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dhsoha-my.sharepoint.com/personal/sarah_c_tinker_odhs_oregon_gov/Documents/Desktop/"/>
    </mc:Choice>
  </mc:AlternateContent>
  <xr:revisionPtr revIDLastSave="1" documentId="13_ncr:1_{966E9ACF-9963-45D4-80ED-03979ACAC269}" xr6:coauthVersionLast="47" xr6:coauthVersionMax="47" xr10:uidLastSave="{5D7A5CC1-20C6-48D7-ADF1-23836E1DD30C}"/>
  <workbookProtection workbookAlgorithmName="SHA-512" workbookHashValue="Q7iamBObIXhtob0BQV8f0p7TRFaIIKeUEtZYSZENBKxZggLXP94me5ESIw2bTV9TR4Ojep4BMksiQ/+BRnFCaw==" workbookSaltValue="YHg+cfnCPPz+FSjzNW/r5A==" workbookSpinCount="100000" lockStructure="1"/>
  <bookViews>
    <workbookView minimized="1" xWindow="29580" yWindow="780" windowWidth="21600" windowHeight="11175" tabRatio="671" xr2:uid="{FBAE0491-9692-4B13-A668-2FFF9F04DDDE}"/>
  </bookViews>
  <sheets>
    <sheet name="SSP APD AAA Branches" sheetId="9" r:id="rId1"/>
    <sheet name="CW Branches" sheetId="5" r:id="rId2"/>
    <sheet name="ZIPs &amp; FIPs" sheetId="4" r:id="rId3"/>
    <sheet name="SSP APD AAA DB Code" sheetId="6" state="hidden" r:id="rId4"/>
    <sheet name="Sheet1" sheetId="10" state="hidden" r:id="rId5"/>
    <sheet name="CW DB Code" sheetId="8" state="hidden" r:id="rId6"/>
    <sheet name="ZIPs &amp; FIPs DB Code"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9" l="1"/>
  <c r="C20"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22" i="6"/>
  <c r="M39" i="5"/>
  <c r="M3" i="5"/>
  <c r="F3" i="5"/>
  <c r="N57" i="9"/>
  <c r="F57" i="9"/>
  <c r="F3" i="9"/>
  <c r="C19" i="6"/>
  <c r="AB6" i="6"/>
  <c r="E3" i="6"/>
  <c r="AP6" i="6" l="1"/>
  <c r="AO6" i="6"/>
  <c r="AN6" i="6"/>
  <c r="AM6" i="6"/>
  <c r="AL6" i="6"/>
  <c r="AK6" i="6"/>
  <c r="AQ6" i="6"/>
  <c r="AJ6" i="6"/>
  <c r="AI6" i="6"/>
  <c r="AG6" i="6"/>
  <c r="AF6" i="6"/>
  <c r="AE6" i="6"/>
  <c r="AD6" i="6"/>
  <c r="AC6" i="6"/>
  <c r="AH6" i="6"/>
  <c r="I6" i="6" l="1"/>
  <c r="J6" i="6"/>
  <c r="K6" i="6"/>
  <c r="AA6" i="6"/>
  <c r="Z6" i="6"/>
  <c r="Y6" i="6"/>
  <c r="X6" i="6"/>
  <c r="W6" i="6"/>
  <c r="V6" i="6"/>
  <c r="U6" i="6"/>
  <c r="T6" i="6"/>
  <c r="S6" i="6"/>
  <c r="R6" i="6"/>
  <c r="Q6" i="6"/>
  <c r="P6" i="6"/>
  <c r="O6" i="6"/>
  <c r="N6" i="6"/>
  <c r="M6" i="6"/>
  <c r="L6" i="6"/>
  <c r="F8" i="6" l="1"/>
  <c r="F9" i="6"/>
  <c r="F10" i="6"/>
  <c r="F11" i="6"/>
  <c r="F12" i="6"/>
  <c r="F13" i="6"/>
  <c r="F14" i="6"/>
  <c r="F15" i="6"/>
  <c r="F16" i="6"/>
  <c r="F17" i="6"/>
  <c r="F18" i="6"/>
  <c r="F7" i="6"/>
  <c r="G5" i="7" l="1"/>
  <c r="F5" i="7"/>
  <c r="M5" i="7"/>
  <c r="H6" i="6"/>
  <c r="C2" i="4" l="1"/>
  <c r="C22" i="8"/>
  <c r="C21" i="8"/>
  <c r="C20" i="8"/>
  <c r="C19" i="8"/>
  <c r="C18" i="8"/>
  <c r="E17" i="8"/>
  <c r="C17" i="8"/>
  <c r="E16" i="8"/>
  <c r="C16" i="8"/>
  <c r="E15" i="8"/>
  <c r="C15" i="8"/>
  <c r="E14" i="8"/>
  <c r="C14" i="8"/>
  <c r="E13" i="8"/>
  <c r="C13" i="8"/>
  <c r="E12" i="8"/>
  <c r="C12" i="8"/>
  <c r="E11" i="8"/>
  <c r="C11" i="8"/>
  <c r="E10" i="8"/>
  <c r="C10" i="8"/>
  <c r="E9" i="8"/>
  <c r="C9" i="8"/>
  <c r="E8" i="8"/>
  <c r="C8" i="8"/>
  <c r="H7" i="8"/>
  <c r="E7" i="8"/>
  <c r="C7" i="8"/>
  <c r="AA6" i="8"/>
  <c r="Z6" i="8"/>
  <c r="Y6" i="8"/>
  <c r="X6" i="8"/>
  <c r="W6" i="8"/>
  <c r="V6" i="8"/>
  <c r="U6" i="8"/>
  <c r="T6" i="8"/>
  <c r="S6" i="8"/>
  <c r="R6" i="8"/>
  <c r="Q6" i="8"/>
  <c r="P6" i="8"/>
  <c r="O6" i="8"/>
  <c r="N6" i="8"/>
  <c r="M6" i="8"/>
  <c r="L6" i="8"/>
  <c r="K6" i="8"/>
  <c r="J6" i="8"/>
  <c r="I6" i="8"/>
  <c r="I7" i="8" s="1"/>
  <c r="H8" i="8"/>
  <c r="H7" i="6" l="1"/>
  <c r="I7" i="6"/>
  <c r="AB7" i="6" s="1"/>
  <c r="I8" i="6"/>
  <c r="I8" i="8"/>
  <c r="H8" i="6"/>
  <c r="H9" i="8"/>
  <c r="I9" i="8"/>
  <c r="AB8" i="6" l="1"/>
  <c r="AH7" i="6"/>
  <c r="AL7" i="6"/>
  <c r="AC7" i="6"/>
  <c r="AF7" i="6"/>
  <c r="AJ7" i="6"/>
  <c r="AI7" i="6"/>
  <c r="AP7" i="6"/>
  <c r="AE7" i="6"/>
  <c r="AD7" i="6"/>
  <c r="AO7" i="6"/>
  <c r="AQ7" i="6"/>
  <c r="AN7" i="6"/>
  <c r="AM7" i="6"/>
  <c r="AG7" i="6"/>
  <c r="AK7" i="6"/>
  <c r="AF8" i="6"/>
  <c r="AE8" i="6"/>
  <c r="AD8" i="6"/>
  <c r="AC8" i="6"/>
  <c r="AG8" i="6"/>
  <c r="AH8" i="6"/>
  <c r="AI8" i="6"/>
  <c r="AN8" i="6"/>
  <c r="AM8" i="6"/>
  <c r="AL8" i="6"/>
  <c r="AK8" i="6"/>
  <c r="AJ8" i="6"/>
  <c r="AP8" i="6"/>
  <c r="AO8" i="6"/>
  <c r="AQ8" i="6"/>
  <c r="Y8" i="6"/>
  <c r="M8" i="6"/>
  <c r="W8" i="6"/>
  <c r="V8" i="6"/>
  <c r="J8" i="6"/>
  <c r="X8" i="6"/>
  <c r="L8" i="6"/>
  <c r="K8" i="6"/>
  <c r="P8" i="6"/>
  <c r="O8" i="6"/>
  <c r="N8" i="6"/>
  <c r="T8" i="6"/>
  <c r="S8" i="6"/>
  <c r="E8" i="6" s="1"/>
  <c r="R8" i="6"/>
  <c r="AA8" i="6"/>
  <c r="Z8" i="6"/>
  <c r="U8" i="6"/>
  <c r="Q8" i="6"/>
  <c r="W7" i="6"/>
  <c r="K7" i="6"/>
  <c r="T7" i="6"/>
  <c r="V7" i="6"/>
  <c r="J7" i="6"/>
  <c r="U7" i="6"/>
  <c r="M7" i="6"/>
  <c r="L7" i="6"/>
  <c r="AA7" i="6"/>
  <c r="Z7" i="6"/>
  <c r="P7" i="6"/>
  <c r="N7" i="6"/>
  <c r="Y7" i="6"/>
  <c r="X7" i="6"/>
  <c r="S7" i="6"/>
  <c r="R7" i="6"/>
  <c r="Q7" i="6"/>
  <c r="O7" i="6"/>
  <c r="T8" i="8"/>
  <c r="W8" i="8"/>
  <c r="U8" i="8"/>
  <c r="N8" i="8"/>
  <c r="Y8" i="8"/>
  <c r="X8" i="8"/>
  <c r="AA8" i="8"/>
  <c r="V8" i="8"/>
  <c r="J8" i="8"/>
  <c r="P8" i="8"/>
  <c r="S8" i="8"/>
  <c r="M8" i="8"/>
  <c r="Z8" i="8"/>
  <c r="L8" i="8"/>
  <c r="O8" i="8"/>
  <c r="Q8" i="8"/>
  <c r="R8" i="8"/>
  <c r="K8" i="8"/>
  <c r="Y9" i="8"/>
  <c r="U9" i="8"/>
  <c r="Q9" i="8"/>
  <c r="M9" i="8"/>
  <c r="X9" i="8"/>
  <c r="T9" i="8"/>
  <c r="P9" i="8"/>
  <c r="L9" i="8"/>
  <c r="V9" i="8"/>
  <c r="N9" i="8"/>
  <c r="O9" i="8"/>
  <c r="AA9" i="8"/>
  <c r="S9" i="8"/>
  <c r="K9" i="8"/>
  <c r="Z9" i="8"/>
  <c r="R9" i="8"/>
  <c r="J9" i="8"/>
  <c r="W9" i="8"/>
  <c r="V485" i="7"/>
  <c r="V484" i="7"/>
  <c r="V483" i="7"/>
  <c r="V482" i="7"/>
  <c r="V481" i="7"/>
  <c r="V480" i="7"/>
  <c r="V479" i="7"/>
  <c r="V478" i="7"/>
  <c r="V477" i="7"/>
  <c r="V476" i="7"/>
  <c r="V475" i="7"/>
  <c r="V474" i="7"/>
  <c r="V473" i="7"/>
  <c r="V472" i="7"/>
  <c r="V471" i="7"/>
  <c r="V470" i="7"/>
  <c r="V469" i="7"/>
  <c r="V468" i="7"/>
  <c r="V467" i="7"/>
  <c r="V466" i="7"/>
  <c r="V465" i="7"/>
  <c r="V464" i="7"/>
  <c r="V463" i="7"/>
  <c r="V462" i="7"/>
  <c r="V461" i="7"/>
  <c r="V460" i="7"/>
  <c r="V459" i="7"/>
  <c r="V458" i="7"/>
  <c r="V457" i="7"/>
  <c r="V456" i="7"/>
  <c r="V455" i="7"/>
  <c r="V454" i="7"/>
  <c r="V453" i="7"/>
  <c r="V452" i="7"/>
  <c r="V451" i="7"/>
  <c r="V450" i="7"/>
  <c r="V449" i="7"/>
  <c r="V448" i="7"/>
  <c r="V447" i="7"/>
  <c r="V446" i="7"/>
  <c r="V445" i="7"/>
  <c r="V444" i="7"/>
  <c r="V443" i="7"/>
  <c r="V442" i="7"/>
  <c r="V441" i="7"/>
  <c r="V440" i="7"/>
  <c r="V439" i="7"/>
  <c r="V438" i="7"/>
  <c r="V437" i="7"/>
  <c r="V436" i="7"/>
  <c r="V435" i="7"/>
  <c r="V434" i="7"/>
  <c r="V433" i="7"/>
  <c r="V432" i="7"/>
  <c r="V431" i="7"/>
  <c r="V430" i="7"/>
  <c r="V429" i="7"/>
  <c r="V428" i="7"/>
  <c r="V427" i="7"/>
  <c r="V426" i="7"/>
  <c r="V425" i="7"/>
  <c r="V424" i="7"/>
  <c r="V423" i="7"/>
  <c r="V422" i="7"/>
  <c r="V421" i="7"/>
  <c r="V420" i="7"/>
  <c r="V419" i="7"/>
  <c r="V418" i="7"/>
  <c r="V417" i="7"/>
  <c r="V416" i="7"/>
  <c r="V415" i="7"/>
  <c r="V414" i="7"/>
  <c r="V413" i="7"/>
  <c r="V412" i="7"/>
  <c r="V411" i="7"/>
  <c r="V410" i="7"/>
  <c r="V409" i="7"/>
  <c r="V408" i="7"/>
  <c r="V407" i="7"/>
  <c r="V406" i="7"/>
  <c r="V405" i="7"/>
  <c r="V404" i="7"/>
  <c r="V403" i="7"/>
  <c r="V402" i="7"/>
  <c r="V401" i="7"/>
  <c r="V400" i="7"/>
  <c r="V399" i="7"/>
  <c r="V398" i="7"/>
  <c r="V397" i="7"/>
  <c r="V396" i="7"/>
  <c r="V395" i="7"/>
  <c r="V394" i="7"/>
  <c r="V393" i="7"/>
  <c r="V392" i="7"/>
  <c r="V391" i="7"/>
  <c r="V390" i="7"/>
  <c r="V389" i="7"/>
  <c r="V388" i="7"/>
  <c r="V387" i="7"/>
  <c r="V386" i="7"/>
  <c r="V385" i="7"/>
  <c r="V384" i="7"/>
  <c r="V383" i="7"/>
  <c r="V382" i="7"/>
  <c r="V381" i="7"/>
  <c r="T381" i="7"/>
  <c r="S381" i="7"/>
  <c r="V380" i="7"/>
  <c r="T380" i="7"/>
  <c r="S380" i="7"/>
  <c r="V379" i="7"/>
  <c r="T379" i="7"/>
  <c r="S379" i="7"/>
  <c r="V378" i="7"/>
  <c r="T378" i="7"/>
  <c r="S378" i="7"/>
  <c r="V377" i="7"/>
  <c r="T377" i="7"/>
  <c r="S377" i="7"/>
  <c r="V376" i="7"/>
  <c r="T376" i="7"/>
  <c r="S376" i="7"/>
  <c r="V375" i="7"/>
  <c r="T375" i="7"/>
  <c r="S375" i="7"/>
  <c r="V374" i="7"/>
  <c r="T374" i="7"/>
  <c r="S374" i="7"/>
  <c r="V373" i="7"/>
  <c r="T373" i="7"/>
  <c r="S373" i="7"/>
  <c r="V372" i="7"/>
  <c r="T372" i="7"/>
  <c r="S372" i="7"/>
  <c r="V371" i="7"/>
  <c r="T371" i="7"/>
  <c r="S371" i="7"/>
  <c r="V370" i="7"/>
  <c r="T370" i="7"/>
  <c r="S370" i="7"/>
  <c r="V369" i="7"/>
  <c r="T369" i="7"/>
  <c r="S369" i="7"/>
  <c r="V368" i="7"/>
  <c r="T368" i="7"/>
  <c r="S368" i="7"/>
  <c r="V367" i="7"/>
  <c r="T367" i="7"/>
  <c r="S367" i="7"/>
  <c r="V366" i="7"/>
  <c r="T366" i="7"/>
  <c r="S366" i="7"/>
  <c r="V365" i="7"/>
  <c r="T365" i="7"/>
  <c r="S365" i="7"/>
  <c r="V364" i="7"/>
  <c r="T364" i="7"/>
  <c r="S364" i="7"/>
  <c r="V363" i="7"/>
  <c r="T363" i="7"/>
  <c r="S363" i="7"/>
  <c r="V362" i="7"/>
  <c r="T362" i="7"/>
  <c r="S362" i="7"/>
  <c r="V361" i="7"/>
  <c r="T361" i="7"/>
  <c r="S361" i="7"/>
  <c r="V360" i="7"/>
  <c r="T360" i="7"/>
  <c r="S360" i="7"/>
  <c r="V359" i="7"/>
  <c r="T359" i="7"/>
  <c r="S359" i="7"/>
  <c r="V358" i="7"/>
  <c r="T358" i="7"/>
  <c r="S358" i="7"/>
  <c r="V357" i="7"/>
  <c r="T357" i="7"/>
  <c r="S357" i="7"/>
  <c r="V356" i="7"/>
  <c r="T356" i="7"/>
  <c r="S356" i="7"/>
  <c r="V355" i="7"/>
  <c r="T355" i="7"/>
  <c r="S355" i="7"/>
  <c r="V354" i="7"/>
  <c r="T354" i="7"/>
  <c r="S354" i="7"/>
  <c r="V353" i="7"/>
  <c r="T353" i="7"/>
  <c r="S353" i="7"/>
  <c r="V352" i="7"/>
  <c r="T352" i="7"/>
  <c r="S352" i="7"/>
  <c r="V351" i="7"/>
  <c r="T351" i="7"/>
  <c r="S351" i="7"/>
  <c r="V350" i="7"/>
  <c r="T350" i="7"/>
  <c r="S350" i="7"/>
  <c r="V349" i="7"/>
  <c r="T349" i="7"/>
  <c r="S349" i="7"/>
  <c r="V348" i="7"/>
  <c r="T348" i="7"/>
  <c r="S348" i="7"/>
  <c r="V347" i="7"/>
  <c r="T347" i="7"/>
  <c r="S347" i="7"/>
  <c r="V346" i="7"/>
  <c r="T346" i="7"/>
  <c r="S346" i="7"/>
  <c r="V345" i="7"/>
  <c r="T345" i="7"/>
  <c r="S345" i="7"/>
  <c r="V344" i="7"/>
  <c r="T344" i="7"/>
  <c r="S344" i="7"/>
  <c r="V343" i="7"/>
  <c r="T343" i="7"/>
  <c r="S343" i="7"/>
  <c r="V342" i="7"/>
  <c r="T342" i="7"/>
  <c r="S342" i="7"/>
  <c r="V341" i="7"/>
  <c r="T341" i="7"/>
  <c r="S341" i="7"/>
  <c r="V340" i="7"/>
  <c r="T340" i="7"/>
  <c r="S340" i="7"/>
  <c r="V339" i="7"/>
  <c r="T339" i="7"/>
  <c r="S339" i="7"/>
  <c r="V338" i="7"/>
  <c r="T338" i="7"/>
  <c r="S338" i="7"/>
  <c r="V337" i="7"/>
  <c r="T337" i="7"/>
  <c r="S337" i="7"/>
  <c r="V336" i="7"/>
  <c r="T336" i="7"/>
  <c r="S336" i="7"/>
  <c r="V335" i="7"/>
  <c r="T335" i="7"/>
  <c r="S335" i="7"/>
  <c r="V334" i="7"/>
  <c r="T334" i="7"/>
  <c r="S334" i="7"/>
  <c r="V333" i="7"/>
  <c r="T333" i="7"/>
  <c r="S333" i="7"/>
  <c r="V332" i="7"/>
  <c r="T332" i="7"/>
  <c r="S332" i="7"/>
  <c r="V331" i="7"/>
  <c r="T331" i="7"/>
  <c r="S331" i="7"/>
  <c r="V330" i="7"/>
  <c r="T330" i="7"/>
  <c r="S330" i="7"/>
  <c r="V329" i="7"/>
  <c r="T329" i="7"/>
  <c r="S329" i="7"/>
  <c r="V328" i="7"/>
  <c r="T328" i="7"/>
  <c r="S328" i="7"/>
  <c r="V327" i="7"/>
  <c r="T327" i="7"/>
  <c r="S327" i="7"/>
  <c r="V326" i="7"/>
  <c r="T326" i="7"/>
  <c r="S326" i="7"/>
  <c r="V325" i="7"/>
  <c r="T325" i="7"/>
  <c r="S325" i="7"/>
  <c r="V324" i="7"/>
  <c r="T324" i="7"/>
  <c r="S324" i="7"/>
  <c r="V323" i="7"/>
  <c r="T323" i="7"/>
  <c r="S323" i="7"/>
  <c r="V322" i="7"/>
  <c r="T322" i="7"/>
  <c r="S322" i="7"/>
  <c r="V321" i="7"/>
  <c r="T321" i="7"/>
  <c r="S321" i="7"/>
  <c r="V320" i="7"/>
  <c r="T320" i="7"/>
  <c r="S320" i="7"/>
  <c r="V319" i="7"/>
  <c r="T319" i="7"/>
  <c r="S319" i="7"/>
  <c r="V318" i="7"/>
  <c r="T318" i="7"/>
  <c r="S318" i="7"/>
  <c r="V317" i="7"/>
  <c r="T317" i="7"/>
  <c r="S317" i="7"/>
  <c r="V316" i="7"/>
  <c r="T316" i="7"/>
  <c r="S316" i="7"/>
  <c r="V315" i="7"/>
  <c r="T315" i="7"/>
  <c r="S315" i="7"/>
  <c r="V314" i="7"/>
  <c r="T314" i="7"/>
  <c r="S314" i="7"/>
  <c r="V313" i="7"/>
  <c r="T313" i="7"/>
  <c r="S313" i="7"/>
  <c r="V312" i="7"/>
  <c r="T312" i="7"/>
  <c r="S312" i="7"/>
  <c r="V311" i="7"/>
  <c r="T311" i="7"/>
  <c r="S311" i="7"/>
  <c r="V310" i="7"/>
  <c r="T310" i="7"/>
  <c r="S310" i="7"/>
  <c r="V309" i="7"/>
  <c r="T309" i="7"/>
  <c r="S309" i="7"/>
  <c r="V308" i="7"/>
  <c r="T308" i="7"/>
  <c r="S308" i="7"/>
  <c r="V307" i="7"/>
  <c r="T307" i="7"/>
  <c r="S307" i="7"/>
  <c r="V306" i="7"/>
  <c r="T306" i="7"/>
  <c r="S306" i="7"/>
  <c r="V305" i="7"/>
  <c r="T305" i="7"/>
  <c r="S305" i="7"/>
  <c r="V304" i="7"/>
  <c r="T304" i="7"/>
  <c r="S304" i="7"/>
  <c r="V303" i="7"/>
  <c r="T303" i="7"/>
  <c r="S303" i="7"/>
  <c r="V302" i="7"/>
  <c r="T302" i="7"/>
  <c r="S302" i="7"/>
  <c r="V301" i="7"/>
  <c r="T301" i="7"/>
  <c r="S301" i="7"/>
  <c r="V300" i="7"/>
  <c r="T300" i="7"/>
  <c r="S300" i="7"/>
  <c r="V299" i="7"/>
  <c r="T299" i="7"/>
  <c r="S299" i="7"/>
  <c r="V298" i="7"/>
  <c r="T298" i="7"/>
  <c r="S298" i="7"/>
  <c r="V297" i="7"/>
  <c r="T297" i="7"/>
  <c r="S297" i="7"/>
  <c r="V296" i="7"/>
  <c r="T296" i="7"/>
  <c r="S296" i="7"/>
  <c r="V295" i="7"/>
  <c r="T295" i="7"/>
  <c r="S295" i="7"/>
  <c r="V294" i="7"/>
  <c r="T294" i="7"/>
  <c r="S294" i="7"/>
  <c r="V293" i="7"/>
  <c r="T293" i="7"/>
  <c r="S293" i="7"/>
  <c r="V292" i="7"/>
  <c r="T292" i="7"/>
  <c r="S292" i="7"/>
  <c r="V291" i="7"/>
  <c r="T291" i="7"/>
  <c r="S291" i="7"/>
  <c r="V290" i="7"/>
  <c r="T290" i="7"/>
  <c r="S290" i="7"/>
  <c r="V289" i="7"/>
  <c r="T289" i="7"/>
  <c r="S289" i="7"/>
  <c r="V288" i="7"/>
  <c r="T288" i="7"/>
  <c r="S288" i="7"/>
  <c r="V287" i="7"/>
  <c r="T287" i="7"/>
  <c r="S287" i="7"/>
  <c r="V286" i="7"/>
  <c r="T286" i="7"/>
  <c r="S286" i="7"/>
  <c r="V285" i="7"/>
  <c r="T285" i="7"/>
  <c r="S285" i="7"/>
  <c r="V284" i="7"/>
  <c r="T284" i="7"/>
  <c r="S284" i="7"/>
  <c r="V283" i="7"/>
  <c r="T283" i="7"/>
  <c r="S283" i="7"/>
  <c r="V282" i="7"/>
  <c r="T282" i="7"/>
  <c r="S282" i="7"/>
  <c r="V281" i="7"/>
  <c r="T281" i="7"/>
  <c r="S281" i="7"/>
  <c r="V280" i="7"/>
  <c r="T280" i="7"/>
  <c r="S280" i="7"/>
  <c r="V279" i="7"/>
  <c r="T279" i="7"/>
  <c r="S279" i="7"/>
  <c r="V278" i="7"/>
  <c r="T278" i="7"/>
  <c r="S278" i="7"/>
  <c r="V277" i="7"/>
  <c r="T277" i="7"/>
  <c r="S277" i="7"/>
  <c r="V276" i="7"/>
  <c r="T276" i="7"/>
  <c r="S276" i="7"/>
  <c r="V275" i="7"/>
  <c r="T275" i="7"/>
  <c r="S275" i="7"/>
  <c r="V274" i="7"/>
  <c r="T274" i="7"/>
  <c r="S274" i="7"/>
  <c r="V273" i="7"/>
  <c r="T273" i="7"/>
  <c r="S273" i="7"/>
  <c r="V272" i="7"/>
  <c r="T272" i="7"/>
  <c r="S272" i="7"/>
  <c r="V271" i="7"/>
  <c r="T271" i="7"/>
  <c r="S271" i="7"/>
  <c r="V270" i="7"/>
  <c r="T270" i="7"/>
  <c r="S270" i="7"/>
  <c r="V269" i="7"/>
  <c r="T269" i="7"/>
  <c r="S269" i="7"/>
  <c r="V268" i="7"/>
  <c r="T268" i="7"/>
  <c r="S268" i="7"/>
  <c r="V267" i="7"/>
  <c r="T267" i="7"/>
  <c r="S267" i="7"/>
  <c r="V266" i="7"/>
  <c r="T266" i="7"/>
  <c r="S266" i="7"/>
  <c r="V265" i="7"/>
  <c r="T265" i="7"/>
  <c r="S265" i="7"/>
  <c r="V264" i="7"/>
  <c r="T264" i="7"/>
  <c r="S264" i="7"/>
  <c r="V263" i="7"/>
  <c r="T263" i="7"/>
  <c r="S263" i="7"/>
  <c r="V262" i="7"/>
  <c r="T262" i="7"/>
  <c r="S262" i="7"/>
  <c r="V261" i="7"/>
  <c r="T261" i="7"/>
  <c r="S261" i="7"/>
  <c r="V260" i="7"/>
  <c r="T260" i="7"/>
  <c r="S260" i="7"/>
  <c r="V259" i="7"/>
  <c r="T259" i="7"/>
  <c r="S259" i="7"/>
  <c r="V258" i="7"/>
  <c r="T258" i="7"/>
  <c r="S258" i="7"/>
  <c r="V257" i="7"/>
  <c r="T257" i="7"/>
  <c r="S257" i="7"/>
  <c r="V256" i="7"/>
  <c r="T256" i="7"/>
  <c r="S256" i="7"/>
  <c r="V255" i="7"/>
  <c r="T255" i="7"/>
  <c r="S255" i="7"/>
  <c r="V254" i="7"/>
  <c r="T254" i="7"/>
  <c r="S254" i="7"/>
  <c r="V253" i="7"/>
  <c r="T253" i="7"/>
  <c r="S253" i="7"/>
  <c r="V252" i="7"/>
  <c r="T252" i="7"/>
  <c r="S252" i="7"/>
  <c r="V251" i="7"/>
  <c r="T251" i="7"/>
  <c r="S251" i="7"/>
  <c r="V250" i="7"/>
  <c r="T250" i="7"/>
  <c r="S250" i="7"/>
  <c r="V249" i="7"/>
  <c r="T249" i="7"/>
  <c r="S249" i="7"/>
  <c r="V248" i="7"/>
  <c r="T248" i="7"/>
  <c r="S248" i="7"/>
  <c r="V247" i="7"/>
  <c r="T247" i="7"/>
  <c r="S247" i="7"/>
  <c r="V246" i="7"/>
  <c r="T246" i="7"/>
  <c r="S246" i="7"/>
  <c r="V245" i="7"/>
  <c r="T245" i="7"/>
  <c r="S245" i="7"/>
  <c r="V244" i="7"/>
  <c r="T244" i="7"/>
  <c r="S244" i="7"/>
  <c r="V243" i="7"/>
  <c r="T243" i="7"/>
  <c r="S243" i="7"/>
  <c r="V242" i="7"/>
  <c r="T242" i="7"/>
  <c r="S242" i="7"/>
  <c r="V241" i="7"/>
  <c r="T241" i="7"/>
  <c r="S241" i="7"/>
  <c r="V240" i="7"/>
  <c r="T240" i="7"/>
  <c r="S240" i="7"/>
  <c r="V239" i="7"/>
  <c r="T239" i="7"/>
  <c r="S239" i="7"/>
  <c r="V238" i="7"/>
  <c r="T238" i="7"/>
  <c r="S238" i="7"/>
  <c r="V237" i="7"/>
  <c r="T237" i="7"/>
  <c r="S237" i="7"/>
  <c r="V236" i="7"/>
  <c r="T236" i="7"/>
  <c r="S236" i="7"/>
  <c r="V235" i="7"/>
  <c r="T235" i="7"/>
  <c r="S235" i="7"/>
  <c r="V234" i="7"/>
  <c r="T234" i="7"/>
  <c r="S234" i="7"/>
  <c r="V233" i="7"/>
  <c r="T233" i="7"/>
  <c r="S233" i="7"/>
  <c r="V232" i="7"/>
  <c r="T232" i="7"/>
  <c r="S232" i="7"/>
  <c r="V231" i="7"/>
  <c r="T231" i="7"/>
  <c r="S231" i="7"/>
  <c r="V230" i="7"/>
  <c r="T230" i="7"/>
  <c r="S230" i="7"/>
  <c r="V229" i="7"/>
  <c r="T229" i="7"/>
  <c r="S229" i="7"/>
  <c r="V228" i="7"/>
  <c r="T228" i="7"/>
  <c r="S228" i="7"/>
  <c r="V227" i="7"/>
  <c r="T227" i="7"/>
  <c r="S227" i="7"/>
  <c r="V226" i="7"/>
  <c r="T226" i="7"/>
  <c r="S226" i="7"/>
  <c r="V225" i="7"/>
  <c r="T225" i="7"/>
  <c r="S225" i="7"/>
  <c r="V224" i="7"/>
  <c r="T224" i="7"/>
  <c r="S224" i="7"/>
  <c r="V223" i="7"/>
  <c r="T223" i="7"/>
  <c r="S223" i="7"/>
  <c r="V222" i="7"/>
  <c r="T222" i="7"/>
  <c r="S222" i="7"/>
  <c r="V221" i="7"/>
  <c r="T221" i="7"/>
  <c r="S221" i="7"/>
  <c r="V220" i="7"/>
  <c r="T220" i="7"/>
  <c r="S220" i="7"/>
  <c r="V219" i="7"/>
  <c r="T219" i="7"/>
  <c r="S219" i="7"/>
  <c r="V218" i="7"/>
  <c r="T218" i="7"/>
  <c r="S218" i="7"/>
  <c r="V217" i="7"/>
  <c r="T217" i="7"/>
  <c r="S217" i="7"/>
  <c r="V216" i="7"/>
  <c r="T216" i="7"/>
  <c r="S216" i="7"/>
  <c r="V215" i="7"/>
  <c r="T215" i="7"/>
  <c r="S215" i="7"/>
  <c r="V214" i="7"/>
  <c r="T214" i="7"/>
  <c r="S214" i="7"/>
  <c r="V213" i="7"/>
  <c r="T213" i="7"/>
  <c r="S213" i="7"/>
  <c r="V212" i="7"/>
  <c r="T212" i="7"/>
  <c r="S212" i="7"/>
  <c r="V211" i="7"/>
  <c r="T211" i="7"/>
  <c r="S211" i="7"/>
  <c r="V210" i="7"/>
  <c r="T210" i="7"/>
  <c r="S210" i="7"/>
  <c r="V209" i="7"/>
  <c r="T209" i="7"/>
  <c r="S209" i="7"/>
  <c r="V208" i="7"/>
  <c r="T208" i="7"/>
  <c r="S208" i="7"/>
  <c r="V207" i="7"/>
  <c r="T207" i="7"/>
  <c r="S207" i="7"/>
  <c r="V206" i="7"/>
  <c r="T206" i="7"/>
  <c r="S206" i="7"/>
  <c r="V205" i="7"/>
  <c r="T205" i="7"/>
  <c r="S205" i="7"/>
  <c r="V204" i="7"/>
  <c r="T204" i="7"/>
  <c r="S204" i="7"/>
  <c r="V203" i="7"/>
  <c r="T203" i="7"/>
  <c r="S203" i="7"/>
  <c r="V202" i="7"/>
  <c r="T202" i="7"/>
  <c r="S202" i="7"/>
  <c r="V201" i="7"/>
  <c r="T201" i="7"/>
  <c r="S201" i="7"/>
  <c r="V200" i="7"/>
  <c r="T200" i="7"/>
  <c r="S200" i="7"/>
  <c r="V199" i="7"/>
  <c r="T199" i="7"/>
  <c r="S199" i="7"/>
  <c r="V198" i="7"/>
  <c r="T198" i="7"/>
  <c r="S198" i="7"/>
  <c r="V197" i="7"/>
  <c r="T197" i="7"/>
  <c r="S197" i="7"/>
  <c r="V196" i="7"/>
  <c r="T196" i="7"/>
  <c r="S196" i="7"/>
  <c r="V195" i="7"/>
  <c r="T195" i="7"/>
  <c r="S195" i="7"/>
  <c r="V194" i="7"/>
  <c r="T194" i="7"/>
  <c r="S194" i="7"/>
  <c r="V193" i="7"/>
  <c r="T193" i="7"/>
  <c r="S193" i="7"/>
  <c r="V192" i="7"/>
  <c r="T192" i="7"/>
  <c r="S192" i="7"/>
  <c r="V191" i="7"/>
  <c r="T191" i="7"/>
  <c r="S191" i="7"/>
  <c r="V190" i="7"/>
  <c r="T190" i="7"/>
  <c r="S190" i="7"/>
  <c r="V189" i="7"/>
  <c r="T189" i="7"/>
  <c r="S189" i="7"/>
  <c r="V188" i="7"/>
  <c r="T188" i="7"/>
  <c r="S188" i="7"/>
  <c r="V187" i="7"/>
  <c r="T187" i="7"/>
  <c r="S187" i="7"/>
  <c r="V186" i="7"/>
  <c r="T186" i="7"/>
  <c r="S186" i="7"/>
  <c r="V185" i="7"/>
  <c r="T185" i="7"/>
  <c r="S185" i="7"/>
  <c r="V184" i="7"/>
  <c r="T184" i="7"/>
  <c r="S184" i="7"/>
  <c r="V183" i="7"/>
  <c r="T183" i="7"/>
  <c r="S183" i="7"/>
  <c r="V182" i="7"/>
  <c r="T182" i="7"/>
  <c r="S182" i="7"/>
  <c r="V181" i="7"/>
  <c r="T181" i="7"/>
  <c r="S181" i="7"/>
  <c r="V180" i="7"/>
  <c r="T180" i="7"/>
  <c r="S180" i="7"/>
  <c r="V179" i="7"/>
  <c r="T179" i="7"/>
  <c r="S179" i="7"/>
  <c r="V178" i="7"/>
  <c r="T178" i="7"/>
  <c r="S178" i="7"/>
  <c r="V177" i="7"/>
  <c r="T177" i="7"/>
  <c r="S177" i="7"/>
  <c r="V176" i="7"/>
  <c r="T176" i="7"/>
  <c r="S176" i="7"/>
  <c r="V175" i="7"/>
  <c r="T175" i="7"/>
  <c r="S175" i="7"/>
  <c r="V174" i="7"/>
  <c r="T174" i="7"/>
  <c r="S174" i="7"/>
  <c r="V173" i="7"/>
  <c r="T173" i="7"/>
  <c r="S173" i="7"/>
  <c r="V172" i="7"/>
  <c r="T172" i="7"/>
  <c r="S172" i="7"/>
  <c r="V171" i="7"/>
  <c r="T171" i="7"/>
  <c r="S171" i="7"/>
  <c r="V170" i="7"/>
  <c r="T170" i="7"/>
  <c r="S170" i="7"/>
  <c r="V169" i="7"/>
  <c r="T169" i="7"/>
  <c r="S169" i="7"/>
  <c r="V168" i="7"/>
  <c r="T168" i="7"/>
  <c r="S168" i="7"/>
  <c r="V167" i="7"/>
  <c r="T167" i="7"/>
  <c r="S167" i="7"/>
  <c r="V166" i="7"/>
  <c r="T166" i="7"/>
  <c r="S166" i="7"/>
  <c r="V165" i="7"/>
  <c r="T165" i="7"/>
  <c r="S165" i="7"/>
  <c r="V164" i="7"/>
  <c r="T164" i="7"/>
  <c r="S164" i="7"/>
  <c r="V163" i="7"/>
  <c r="T163" i="7"/>
  <c r="S163" i="7"/>
  <c r="V162" i="7"/>
  <c r="T162" i="7"/>
  <c r="S162" i="7"/>
  <c r="V161" i="7"/>
  <c r="T161" i="7"/>
  <c r="S161" i="7"/>
  <c r="V160" i="7"/>
  <c r="T160" i="7"/>
  <c r="S160" i="7"/>
  <c r="V159" i="7"/>
  <c r="T159" i="7"/>
  <c r="S159" i="7"/>
  <c r="V158" i="7"/>
  <c r="T158" i="7"/>
  <c r="S158" i="7"/>
  <c r="V157" i="7"/>
  <c r="T157" i="7"/>
  <c r="S157" i="7"/>
  <c r="V156" i="7"/>
  <c r="T156" i="7"/>
  <c r="S156" i="7"/>
  <c r="V155" i="7"/>
  <c r="T155" i="7"/>
  <c r="S155" i="7"/>
  <c r="V154" i="7"/>
  <c r="T154" i="7"/>
  <c r="S154" i="7"/>
  <c r="V153" i="7"/>
  <c r="T153" i="7"/>
  <c r="S153" i="7"/>
  <c r="V152" i="7"/>
  <c r="T152" i="7"/>
  <c r="S152" i="7"/>
  <c r="V151" i="7"/>
  <c r="T151" i="7"/>
  <c r="S151" i="7"/>
  <c r="V150" i="7"/>
  <c r="T150" i="7"/>
  <c r="S150" i="7"/>
  <c r="V149" i="7"/>
  <c r="T149" i="7"/>
  <c r="S149" i="7"/>
  <c r="V148" i="7"/>
  <c r="T148" i="7"/>
  <c r="S148" i="7"/>
  <c r="V147" i="7"/>
  <c r="T147" i="7"/>
  <c r="S147" i="7"/>
  <c r="V146" i="7"/>
  <c r="T146" i="7"/>
  <c r="S146" i="7"/>
  <c r="V145" i="7"/>
  <c r="T145" i="7"/>
  <c r="S145" i="7"/>
  <c r="V144" i="7"/>
  <c r="T144" i="7"/>
  <c r="S144" i="7"/>
  <c r="V143" i="7"/>
  <c r="T143" i="7"/>
  <c r="S143" i="7"/>
  <c r="V142" i="7"/>
  <c r="T142" i="7"/>
  <c r="S142" i="7"/>
  <c r="V141" i="7"/>
  <c r="T141" i="7"/>
  <c r="S141" i="7"/>
  <c r="V140" i="7"/>
  <c r="T140" i="7"/>
  <c r="S140" i="7"/>
  <c r="V139" i="7"/>
  <c r="T139" i="7"/>
  <c r="S139" i="7"/>
  <c r="V138" i="7"/>
  <c r="T138" i="7"/>
  <c r="S138" i="7"/>
  <c r="V137" i="7"/>
  <c r="T137" i="7"/>
  <c r="S137" i="7"/>
  <c r="V136" i="7"/>
  <c r="T136" i="7"/>
  <c r="S136" i="7"/>
  <c r="V135" i="7"/>
  <c r="T135" i="7"/>
  <c r="S135" i="7"/>
  <c r="V134" i="7"/>
  <c r="T134" i="7"/>
  <c r="S134" i="7"/>
  <c r="V133" i="7"/>
  <c r="T133" i="7"/>
  <c r="S133" i="7"/>
  <c r="V132" i="7"/>
  <c r="T132" i="7"/>
  <c r="S132" i="7"/>
  <c r="V131" i="7"/>
  <c r="T131" i="7"/>
  <c r="S131" i="7"/>
  <c r="V130" i="7"/>
  <c r="T130" i="7"/>
  <c r="S130" i="7"/>
  <c r="V129" i="7"/>
  <c r="T129" i="7"/>
  <c r="S129" i="7"/>
  <c r="V128" i="7"/>
  <c r="T128" i="7"/>
  <c r="S128" i="7"/>
  <c r="V127" i="7"/>
  <c r="T127" i="7"/>
  <c r="S127" i="7"/>
  <c r="V126" i="7"/>
  <c r="T126" i="7"/>
  <c r="S126" i="7"/>
  <c r="V125" i="7"/>
  <c r="T125" i="7"/>
  <c r="S125" i="7"/>
  <c r="V124" i="7"/>
  <c r="T124" i="7"/>
  <c r="S124" i="7"/>
  <c r="V123" i="7"/>
  <c r="T123" i="7"/>
  <c r="S123" i="7"/>
  <c r="V122" i="7"/>
  <c r="T122" i="7"/>
  <c r="S122" i="7"/>
  <c r="V121" i="7"/>
  <c r="T121" i="7"/>
  <c r="S121" i="7"/>
  <c r="V120" i="7"/>
  <c r="T120" i="7"/>
  <c r="S120" i="7"/>
  <c r="V119" i="7"/>
  <c r="T119" i="7"/>
  <c r="S119" i="7"/>
  <c r="V118" i="7"/>
  <c r="T118" i="7"/>
  <c r="S118" i="7"/>
  <c r="V117" i="7"/>
  <c r="T117" i="7"/>
  <c r="S117" i="7"/>
  <c r="V116" i="7"/>
  <c r="T116" i="7"/>
  <c r="S116" i="7"/>
  <c r="V115" i="7"/>
  <c r="T115" i="7"/>
  <c r="S115" i="7"/>
  <c r="V114" i="7"/>
  <c r="T114" i="7"/>
  <c r="S114" i="7"/>
  <c r="V113" i="7"/>
  <c r="T113" i="7"/>
  <c r="S113" i="7"/>
  <c r="V112" i="7"/>
  <c r="T112" i="7"/>
  <c r="S112" i="7"/>
  <c r="V111" i="7"/>
  <c r="T111" i="7"/>
  <c r="S111" i="7"/>
  <c r="V110" i="7"/>
  <c r="T110" i="7"/>
  <c r="S110" i="7"/>
  <c r="V109" i="7"/>
  <c r="T109" i="7"/>
  <c r="S109" i="7"/>
  <c r="V108" i="7"/>
  <c r="T108" i="7"/>
  <c r="S108" i="7"/>
  <c r="V107" i="7"/>
  <c r="T107" i="7"/>
  <c r="S107" i="7"/>
  <c r="V106" i="7"/>
  <c r="T106" i="7"/>
  <c r="S106" i="7"/>
  <c r="V105" i="7"/>
  <c r="T105" i="7"/>
  <c r="S105" i="7"/>
  <c r="V104" i="7"/>
  <c r="T104" i="7"/>
  <c r="S104" i="7"/>
  <c r="V103" i="7"/>
  <c r="T103" i="7"/>
  <c r="S103" i="7"/>
  <c r="V102" i="7"/>
  <c r="T102" i="7"/>
  <c r="S102" i="7"/>
  <c r="V101" i="7"/>
  <c r="T101" i="7"/>
  <c r="S101" i="7"/>
  <c r="V100" i="7"/>
  <c r="T100" i="7"/>
  <c r="S100" i="7"/>
  <c r="V99" i="7"/>
  <c r="T99" i="7"/>
  <c r="S99" i="7"/>
  <c r="V98" i="7"/>
  <c r="T98" i="7"/>
  <c r="S98" i="7"/>
  <c r="V97" i="7"/>
  <c r="T97" i="7"/>
  <c r="S97" i="7"/>
  <c r="V96" i="7"/>
  <c r="T96" i="7"/>
  <c r="S96" i="7"/>
  <c r="V95" i="7"/>
  <c r="T95" i="7"/>
  <c r="S95" i="7"/>
  <c r="V94" i="7"/>
  <c r="T94" i="7"/>
  <c r="S94" i="7"/>
  <c r="V93" i="7"/>
  <c r="T93" i="7"/>
  <c r="S93" i="7"/>
  <c r="V92" i="7"/>
  <c r="T92" i="7"/>
  <c r="S92" i="7"/>
  <c r="V91" i="7"/>
  <c r="T91" i="7"/>
  <c r="S91" i="7"/>
  <c r="V90" i="7"/>
  <c r="T90" i="7"/>
  <c r="S90" i="7"/>
  <c r="V89" i="7"/>
  <c r="T89" i="7"/>
  <c r="S89" i="7"/>
  <c r="V88" i="7"/>
  <c r="T88" i="7"/>
  <c r="S88" i="7"/>
  <c r="V87" i="7"/>
  <c r="T87" i="7"/>
  <c r="S87" i="7"/>
  <c r="V86" i="7"/>
  <c r="T86" i="7"/>
  <c r="S86" i="7"/>
  <c r="V85" i="7"/>
  <c r="T85" i="7"/>
  <c r="S85" i="7"/>
  <c r="V84" i="7"/>
  <c r="T84" i="7"/>
  <c r="S84" i="7"/>
  <c r="V83" i="7"/>
  <c r="T83" i="7"/>
  <c r="S83" i="7"/>
  <c r="V82" i="7"/>
  <c r="T82" i="7"/>
  <c r="S82" i="7"/>
  <c r="V81" i="7"/>
  <c r="T81" i="7"/>
  <c r="S81" i="7"/>
  <c r="V80" i="7"/>
  <c r="T80" i="7"/>
  <c r="S80" i="7"/>
  <c r="V79" i="7"/>
  <c r="T79" i="7"/>
  <c r="S79" i="7"/>
  <c r="V78" i="7"/>
  <c r="T78" i="7"/>
  <c r="S78" i="7"/>
  <c r="V77" i="7"/>
  <c r="T77" i="7"/>
  <c r="S77" i="7"/>
  <c r="V76" i="7"/>
  <c r="T76" i="7"/>
  <c r="S76" i="7"/>
  <c r="V75" i="7"/>
  <c r="T75" i="7"/>
  <c r="S75" i="7"/>
  <c r="V74" i="7"/>
  <c r="T74" i="7"/>
  <c r="S74" i="7"/>
  <c r="V73" i="7"/>
  <c r="T73" i="7"/>
  <c r="S73" i="7"/>
  <c r="V72" i="7"/>
  <c r="T72" i="7"/>
  <c r="S72" i="7"/>
  <c r="V71" i="7"/>
  <c r="T71" i="7"/>
  <c r="S71" i="7"/>
  <c r="V70" i="7"/>
  <c r="T70" i="7"/>
  <c r="S70" i="7"/>
  <c r="V69" i="7"/>
  <c r="T69" i="7"/>
  <c r="S69" i="7"/>
  <c r="V68" i="7"/>
  <c r="T68" i="7"/>
  <c r="S68" i="7"/>
  <c r="V67" i="7"/>
  <c r="T67" i="7"/>
  <c r="S67" i="7"/>
  <c r="V66" i="7"/>
  <c r="T66" i="7"/>
  <c r="S66" i="7"/>
  <c r="V65" i="7"/>
  <c r="T65" i="7"/>
  <c r="S65" i="7"/>
  <c r="V64" i="7"/>
  <c r="T64" i="7"/>
  <c r="S64" i="7"/>
  <c r="V63" i="7"/>
  <c r="T63" i="7"/>
  <c r="S63" i="7"/>
  <c r="V62" i="7"/>
  <c r="T62" i="7"/>
  <c r="S62" i="7"/>
  <c r="V61" i="7"/>
  <c r="T61" i="7"/>
  <c r="S61" i="7"/>
  <c r="V60" i="7"/>
  <c r="T60" i="7"/>
  <c r="S60" i="7"/>
  <c r="V59" i="7"/>
  <c r="T59" i="7"/>
  <c r="S59" i="7"/>
  <c r="V58" i="7"/>
  <c r="T58" i="7"/>
  <c r="S58" i="7"/>
  <c r="V57" i="7"/>
  <c r="T57" i="7"/>
  <c r="S57" i="7"/>
  <c r="V56" i="7"/>
  <c r="T56" i="7"/>
  <c r="S56" i="7"/>
  <c r="V55" i="7"/>
  <c r="T55" i="7"/>
  <c r="S55" i="7"/>
  <c r="V54" i="7"/>
  <c r="T54" i="7"/>
  <c r="S54" i="7"/>
  <c r="V53" i="7"/>
  <c r="T53" i="7"/>
  <c r="S53" i="7"/>
  <c r="V52" i="7"/>
  <c r="T52" i="7"/>
  <c r="S52" i="7"/>
  <c r="V51" i="7"/>
  <c r="T51" i="7"/>
  <c r="S51" i="7"/>
  <c r="V50" i="7"/>
  <c r="T50" i="7"/>
  <c r="S50" i="7"/>
  <c r="V49" i="7"/>
  <c r="T49" i="7"/>
  <c r="S49" i="7"/>
  <c r="V48" i="7"/>
  <c r="T48" i="7"/>
  <c r="S48" i="7"/>
  <c r="V47" i="7"/>
  <c r="T47" i="7"/>
  <c r="S47" i="7"/>
  <c r="V46" i="7"/>
  <c r="T46" i="7"/>
  <c r="S46" i="7"/>
  <c r="V45" i="7"/>
  <c r="T45" i="7"/>
  <c r="S45" i="7"/>
  <c r="V44" i="7"/>
  <c r="T44" i="7"/>
  <c r="S44" i="7"/>
  <c r="V43" i="7"/>
  <c r="T43" i="7"/>
  <c r="S43" i="7"/>
  <c r="V42" i="7"/>
  <c r="T42" i="7"/>
  <c r="S42" i="7"/>
  <c r="V41" i="7"/>
  <c r="T41" i="7"/>
  <c r="S41" i="7"/>
  <c r="V40" i="7"/>
  <c r="T40" i="7"/>
  <c r="S40" i="7"/>
  <c r="V39" i="7"/>
  <c r="T39" i="7"/>
  <c r="S39" i="7"/>
  <c r="V38" i="7"/>
  <c r="T38" i="7"/>
  <c r="S38" i="7"/>
  <c r="V37" i="7"/>
  <c r="T37" i="7"/>
  <c r="S37" i="7"/>
  <c r="V36" i="7"/>
  <c r="T36" i="7"/>
  <c r="S36" i="7"/>
  <c r="V35" i="7"/>
  <c r="T35" i="7"/>
  <c r="S35" i="7"/>
  <c r="V34" i="7"/>
  <c r="T34" i="7"/>
  <c r="S34" i="7"/>
  <c r="V33" i="7"/>
  <c r="T33" i="7"/>
  <c r="S33" i="7"/>
  <c r="V32" i="7"/>
  <c r="T32" i="7"/>
  <c r="S32" i="7"/>
  <c r="V31" i="7"/>
  <c r="T31" i="7"/>
  <c r="S31" i="7"/>
  <c r="V30" i="7"/>
  <c r="T30" i="7"/>
  <c r="S30" i="7"/>
  <c r="V29" i="7"/>
  <c r="T29" i="7"/>
  <c r="S29" i="7"/>
  <c r="V28" i="7"/>
  <c r="T28" i="7"/>
  <c r="S28" i="7"/>
  <c r="V27" i="7"/>
  <c r="T27" i="7"/>
  <c r="S27" i="7"/>
  <c r="V26" i="7"/>
  <c r="T26" i="7"/>
  <c r="S26" i="7"/>
  <c r="V25" i="7"/>
  <c r="T25" i="7"/>
  <c r="S25" i="7"/>
  <c r="V24" i="7"/>
  <c r="T24" i="7"/>
  <c r="S24" i="7"/>
  <c r="V23" i="7"/>
  <c r="T23" i="7"/>
  <c r="S23" i="7"/>
  <c r="V22" i="7"/>
  <c r="T22" i="7"/>
  <c r="S22" i="7"/>
  <c r="V21" i="7"/>
  <c r="T21" i="7"/>
  <c r="S21" i="7"/>
  <c r="V20" i="7"/>
  <c r="T20" i="7"/>
  <c r="S20" i="7"/>
  <c r="V19" i="7"/>
  <c r="T19" i="7"/>
  <c r="S19" i="7"/>
  <c r="V18" i="7"/>
  <c r="T18" i="7"/>
  <c r="S18" i="7"/>
  <c r="V17" i="7"/>
  <c r="T17" i="7"/>
  <c r="S17" i="7"/>
  <c r="V16" i="7"/>
  <c r="T16" i="7"/>
  <c r="S16" i="7"/>
  <c r="V15" i="7"/>
  <c r="T15" i="7"/>
  <c r="S15" i="7"/>
  <c r="V14" i="7"/>
  <c r="T14" i="7"/>
  <c r="S14" i="7"/>
  <c r="V13" i="7"/>
  <c r="T13" i="7"/>
  <c r="S13" i="7"/>
  <c r="V12" i="7"/>
  <c r="T12" i="7"/>
  <c r="S12" i="7"/>
  <c r="V11" i="7"/>
  <c r="T11" i="7"/>
  <c r="S11" i="7"/>
  <c r="V10" i="7"/>
  <c r="T10" i="7"/>
  <c r="S10" i="7"/>
  <c r="V9" i="7"/>
  <c r="T9" i="7"/>
  <c r="S9" i="7"/>
  <c r="V8" i="7"/>
  <c r="T8" i="7"/>
  <c r="S8" i="7"/>
  <c r="V7" i="7"/>
  <c r="T7" i="7"/>
  <c r="S7" i="7"/>
  <c r="F7" i="7"/>
  <c r="E7" i="7"/>
  <c r="D7" i="7"/>
  <c r="C7" i="7"/>
  <c r="B7" i="7"/>
  <c r="V6" i="7"/>
  <c r="T6" i="7"/>
  <c r="S6" i="7"/>
  <c r="V5" i="7"/>
  <c r="T5" i="7"/>
  <c r="S5" i="7"/>
  <c r="E5" i="7"/>
  <c r="D5" i="7"/>
  <c r="C5" i="7"/>
  <c r="T4" i="7"/>
  <c r="S4" i="7"/>
  <c r="B8" i="7"/>
  <c r="I10" i="8"/>
  <c r="H9" i="6"/>
  <c r="H10" i="8"/>
  <c r="I9" i="6"/>
  <c r="L16" i="9" l="1"/>
  <c r="L12" i="9"/>
  <c r="G7" i="6"/>
  <c r="G8" i="6"/>
  <c r="N9" i="9"/>
  <c r="E7" i="6"/>
  <c r="B8" i="8"/>
  <c r="AB9" i="6"/>
  <c r="N13" i="9"/>
  <c r="D7" i="6"/>
  <c r="L9" i="9" s="1"/>
  <c r="AF9" i="6"/>
  <c r="AH9" i="6"/>
  <c r="AG9" i="6"/>
  <c r="AE9" i="6"/>
  <c r="AD9" i="6"/>
  <c r="AC9" i="6"/>
  <c r="AI9" i="6"/>
  <c r="AP9" i="6"/>
  <c r="AO9" i="6"/>
  <c r="AN9" i="6"/>
  <c r="AK9" i="6"/>
  <c r="AJ9" i="6"/>
  <c r="AM9" i="6"/>
  <c r="AL9" i="6"/>
  <c r="AQ9" i="6"/>
  <c r="AA9" i="6"/>
  <c r="O9" i="6"/>
  <c r="M9" i="6"/>
  <c r="X9" i="6"/>
  <c r="L9" i="6"/>
  <c r="W9" i="6"/>
  <c r="K9" i="6"/>
  <c r="Z9" i="6"/>
  <c r="N9" i="6"/>
  <c r="Y9" i="6"/>
  <c r="T9" i="6"/>
  <c r="S9" i="6"/>
  <c r="E9" i="6" s="1"/>
  <c r="R9" i="6"/>
  <c r="Q9" i="6"/>
  <c r="P9" i="6"/>
  <c r="U9" i="6"/>
  <c r="J9" i="6"/>
  <c r="V9" i="6"/>
  <c r="C7" i="6"/>
  <c r="G9" i="9" s="1"/>
  <c r="B7" i="6"/>
  <c r="B9" i="8"/>
  <c r="Z10" i="8"/>
  <c r="V10" i="8"/>
  <c r="R10" i="8"/>
  <c r="N10" i="8"/>
  <c r="J10" i="8"/>
  <c r="Y10" i="8"/>
  <c r="U10" i="8"/>
  <c r="Q10" i="8"/>
  <c r="M10" i="8"/>
  <c r="T10" i="8"/>
  <c r="L10" i="8"/>
  <c r="X10" i="8"/>
  <c r="W10" i="8"/>
  <c r="AA10" i="8"/>
  <c r="S10" i="8"/>
  <c r="K10" i="8"/>
  <c r="P10" i="8"/>
  <c r="O10" i="8"/>
  <c r="S2" i="7"/>
  <c r="T2" i="7"/>
  <c r="C8" i="7"/>
  <c r="E8" i="7"/>
  <c r="F8" i="7"/>
  <c r="D8" i="7"/>
  <c r="B9" i="7"/>
  <c r="I10" i="6"/>
  <c r="H10" i="6"/>
  <c r="I11" i="8"/>
  <c r="H11" i="8"/>
  <c r="L20" i="9" l="1"/>
  <c r="G9" i="6"/>
  <c r="AB10" i="6"/>
  <c r="N17" i="9"/>
  <c r="AD10" i="6"/>
  <c r="AE10" i="6"/>
  <c r="AC10" i="6"/>
  <c r="AH10" i="6"/>
  <c r="AG10" i="6"/>
  <c r="AF10" i="6"/>
  <c r="AI10" i="6"/>
  <c r="AL10" i="6"/>
  <c r="AK10" i="6"/>
  <c r="AJ10" i="6"/>
  <c r="AO10" i="6"/>
  <c r="AP10" i="6"/>
  <c r="AN10" i="6"/>
  <c r="AM10" i="6"/>
  <c r="AQ10" i="6"/>
  <c r="Q10" i="6"/>
  <c r="AA10" i="6"/>
  <c r="Z10" i="6"/>
  <c r="N10" i="6"/>
  <c r="M10" i="6"/>
  <c r="P10" i="6"/>
  <c r="O10" i="6"/>
  <c r="Y10" i="6"/>
  <c r="X10" i="6"/>
  <c r="W10" i="6"/>
  <c r="V10" i="6"/>
  <c r="L10" i="6"/>
  <c r="K10" i="6"/>
  <c r="J10" i="6"/>
  <c r="U10" i="6"/>
  <c r="T10" i="6"/>
  <c r="S10" i="6"/>
  <c r="E10" i="6" s="1"/>
  <c r="R10" i="6"/>
  <c r="B10" i="8"/>
  <c r="AA11" i="8"/>
  <c r="W11" i="8"/>
  <c r="S11" i="8"/>
  <c r="O11" i="8"/>
  <c r="K11" i="8"/>
  <c r="Z11" i="8"/>
  <c r="V11" i="8"/>
  <c r="R11" i="8"/>
  <c r="N11" i="8"/>
  <c r="J11" i="8"/>
  <c r="Y11" i="8"/>
  <c r="Q11" i="8"/>
  <c r="U11" i="8"/>
  <c r="T11" i="8"/>
  <c r="L11" i="8"/>
  <c r="X11" i="8"/>
  <c r="P11" i="8"/>
  <c r="M11" i="8"/>
  <c r="J8" i="5"/>
  <c r="BE40" i="6"/>
  <c r="BE39" i="6"/>
  <c r="BE37" i="6"/>
  <c r="BE36" i="6"/>
  <c r="BE35" i="6"/>
  <c r="BE34" i="6"/>
  <c r="BE33" i="6"/>
  <c r="BE32" i="6"/>
  <c r="BE31" i="6"/>
  <c r="BE30" i="6"/>
  <c r="BE29" i="6"/>
  <c r="BE28" i="6"/>
  <c r="BE27" i="6"/>
  <c r="BE26" i="6"/>
  <c r="BE25" i="6"/>
  <c r="BE24" i="6"/>
  <c r="BE22" i="6"/>
  <c r="F9" i="7"/>
  <c r="D9" i="7"/>
  <c r="E9" i="7"/>
  <c r="B10" i="7"/>
  <c r="C9" i="7"/>
  <c r="H12" i="8"/>
  <c r="I11" i="6"/>
  <c r="H11" i="6"/>
  <c r="I12" i="8"/>
  <c r="L24" i="9" l="1"/>
  <c r="G10" i="6"/>
  <c r="AB11" i="6"/>
  <c r="N21" i="9"/>
  <c r="AD11" i="6"/>
  <c r="AH11" i="6"/>
  <c r="AE11" i="6"/>
  <c r="AG11" i="6"/>
  <c r="AF11" i="6"/>
  <c r="AC11" i="6"/>
  <c r="AI11" i="6"/>
  <c r="AP11" i="6"/>
  <c r="AO11" i="6"/>
  <c r="AN11" i="6"/>
  <c r="AM11" i="6"/>
  <c r="AL11" i="6"/>
  <c r="AK11" i="6"/>
  <c r="AJ11" i="6"/>
  <c r="AQ11" i="6"/>
  <c r="S11" i="6"/>
  <c r="E11" i="6" s="1"/>
  <c r="Q11" i="6"/>
  <c r="P11" i="6"/>
  <c r="R11" i="6"/>
  <c r="AA11" i="6"/>
  <c r="O11" i="6"/>
  <c r="M11" i="6"/>
  <c r="L11" i="6"/>
  <c r="K11" i="6"/>
  <c r="J11" i="6"/>
  <c r="W11" i="6"/>
  <c r="T11" i="6"/>
  <c r="Z11" i="6"/>
  <c r="Y11" i="6"/>
  <c r="X11" i="6"/>
  <c r="V11" i="6"/>
  <c r="U11" i="6"/>
  <c r="N11" i="6"/>
  <c r="C9" i="9"/>
  <c r="B11" i="8"/>
  <c r="X12" i="8"/>
  <c r="T12" i="8"/>
  <c r="P12" i="8"/>
  <c r="L12" i="8"/>
  <c r="AA12" i="8"/>
  <c r="W12" i="8"/>
  <c r="S12" i="8"/>
  <c r="O12" i="8"/>
  <c r="K12" i="8"/>
  <c r="Y12" i="8"/>
  <c r="Q12" i="8"/>
  <c r="M12" i="8"/>
  <c r="J12" i="8"/>
  <c r="V12" i="8"/>
  <c r="N12" i="8"/>
  <c r="U12" i="8"/>
  <c r="Z12" i="8"/>
  <c r="R12" i="8"/>
  <c r="B11" i="7"/>
  <c r="F10" i="7"/>
  <c r="C10" i="7"/>
  <c r="E10" i="7"/>
  <c r="D10" i="7"/>
  <c r="H12" i="6"/>
  <c r="I13" i="8"/>
  <c r="I12" i="6"/>
  <c r="H13" i="8"/>
  <c r="L28" i="9" l="1"/>
  <c r="G11" i="6"/>
  <c r="AB12" i="6"/>
  <c r="N25" i="9"/>
  <c r="AC12" i="6"/>
  <c r="AH12" i="6"/>
  <c r="AG12" i="6"/>
  <c r="AF12" i="6"/>
  <c r="AE12" i="6"/>
  <c r="AD12" i="6"/>
  <c r="AI12" i="6"/>
  <c r="AJ12" i="6"/>
  <c r="AM12" i="6"/>
  <c r="AP12" i="6"/>
  <c r="AO12" i="6"/>
  <c r="AN12" i="6"/>
  <c r="AL12" i="6"/>
  <c r="AK12" i="6"/>
  <c r="AQ12" i="6"/>
  <c r="U12" i="6"/>
  <c r="T12" i="6"/>
  <c r="S12" i="6"/>
  <c r="E12" i="6" s="1"/>
  <c r="R12" i="6"/>
  <c r="Q12" i="6"/>
  <c r="W12" i="6"/>
  <c r="V12" i="6"/>
  <c r="P12" i="6"/>
  <c r="O12" i="6"/>
  <c r="N12" i="6"/>
  <c r="Y12" i="6"/>
  <c r="X12" i="6"/>
  <c r="M12" i="6"/>
  <c r="J12" i="6"/>
  <c r="K12" i="6"/>
  <c r="AA12" i="6"/>
  <c r="Z12" i="6"/>
  <c r="L12" i="6"/>
  <c r="B12" i="8"/>
  <c r="Y13" i="8"/>
  <c r="U13" i="8"/>
  <c r="Q13" i="8"/>
  <c r="M13" i="8"/>
  <c r="X13" i="8"/>
  <c r="T13" i="8"/>
  <c r="P13" i="8"/>
  <c r="L13" i="8"/>
  <c r="Z13" i="8"/>
  <c r="R13" i="8"/>
  <c r="J13" i="8"/>
  <c r="V13" i="8"/>
  <c r="S13" i="8"/>
  <c r="W13" i="8"/>
  <c r="O13" i="8"/>
  <c r="N13" i="8"/>
  <c r="AA13" i="8"/>
  <c r="K13" i="8"/>
  <c r="D13" i="5"/>
  <c r="C69" i="4"/>
  <c r="F11" i="7"/>
  <c r="D11" i="7"/>
  <c r="C11" i="7"/>
  <c r="B12" i="7"/>
  <c r="E11" i="7"/>
  <c r="H13" i="6"/>
  <c r="I14" i="8"/>
  <c r="H14" i="8"/>
  <c r="I13" i="6"/>
  <c r="L32" i="9" l="1"/>
  <c r="G12" i="6"/>
  <c r="AB13" i="6"/>
  <c r="N29" i="9"/>
  <c r="AG13" i="6"/>
  <c r="AC13" i="6"/>
  <c r="AF13" i="6"/>
  <c r="AE13" i="6"/>
  <c r="AD13" i="6"/>
  <c r="AH13" i="6"/>
  <c r="AI13" i="6"/>
  <c r="AO13" i="6"/>
  <c r="AN13" i="6"/>
  <c r="AM13" i="6"/>
  <c r="AL13" i="6"/>
  <c r="AK13" i="6"/>
  <c r="AJ13" i="6"/>
  <c r="AP13" i="6"/>
  <c r="AQ13" i="6"/>
  <c r="W13" i="6"/>
  <c r="K13" i="6"/>
  <c r="V13" i="6"/>
  <c r="J13" i="6"/>
  <c r="U13" i="6"/>
  <c r="T13" i="6"/>
  <c r="S13" i="6"/>
  <c r="N33" i="9" s="1"/>
  <c r="AA13" i="6"/>
  <c r="Z13" i="6"/>
  <c r="Y13" i="6"/>
  <c r="X13" i="6"/>
  <c r="R13" i="6"/>
  <c r="M13" i="6"/>
  <c r="L13" i="6"/>
  <c r="Q13" i="6"/>
  <c r="P13" i="6"/>
  <c r="O13" i="6"/>
  <c r="N13" i="6"/>
  <c r="D8" i="6"/>
  <c r="C8" i="6"/>
  <c r="G13" i="9" s="1"/>
  <c r="B8" i="6"/>
  <c r="C13" i="9" s="1"/>
  <c r="B13" i="8"/>
  <c r="Z14" i="8"/>
  <c r="V14" i="8"/>
  <c r="R14" i="8"/>
  <c r="N14" i="8"/>
  <c r="J14" i="8"/>
  <c r="Y14" i="8"/>
  <c r="U14" i="8"/>
  <c r="Q14" i="8"/>
  <c r="M14" i="8"/>
  <c r="X14" i="8"/>
  <c r="P14" i="8"/>
  <c r="AA14" i="8"/>
  <c r="S14" i="8"/>
  <c r="K14" i="8"/>
  <c r="W14" i="8"/>
  <c r="O14" i="8"/>
  <c r="T14" i="8"/>
  <c r="L14" i="8"/>
  <c r="G13" i="5"/>
  <c r="J13" i="5"/>
  <c r="B13" i="7"/>
  <c r="E12" i="7"/>
  <c r="D12" i="7"/>
  <c r="F12" i="7"/>
  <c r="C12" i="7"/>
  <c r="I14" i="6"/>
  <c r="H14" i="6"/>
  <c r="I15" i="8"/>
  <c r="H15" i="8"/>
  <c r="L36" i="9" l="1"/>
  <c r="G13" i="6"/>
  <c r="L13" i="9"/>
  <c r="D13" i="6"/>
  <c r="AB14" i="6"/>
  <c r="AG14" i="6"/>
  <c r="AH14" i="6"/>
  <c r="AF14" i="6"/>
  <c r="AE14" i="6"/>
  <c r="AD14" i="6"/>
  <c r="AC14" i="6"/>
  <c r="AI14" i="6"/>
  <c r="AP14" i="6"/>
  <c r="AO14" i="6"/>
  <c r="AL14" i="6"/>
  <c r="AK14" i="6"/>
  <c r="AN14" i="6"/>
  <c r="AM14" i="6"/>
  <c r="AJ14" i="6"/>
  <c r="AQ14" i="6"/>
  <c r="Y14" i="6"/>
  <c r="M14" i="6"/>
  <c r="V14" i="6"/>
  <c r="J14" i="6"/>
  <c r="U14" i="6"/>
  <c r="X14" i="6"/>
  <c r="L14" i="6"/>
  <c r="W14" i="6"/>
  <c r="K14" i="6"/>
  <c r="P14" i="6"/>
  <c r="O14" i="6"/>
  <c r="N14" i="6"/>
  <c r="Z14" i="6"/>
  <c r="T14" i="6"/>
  <c r="Q14" i="6"/>
  <c r="AA14" i="6"/>
  <c r="S14" i="6"/>
  <c r="R14" i="6"/>
  <c r="D9" i="6"/>
  <c r="L17" i="9" s="1"/>
  <c r="E13" i="6"/>
  <c r="B9" i="6"/>
  <c r="C17" i="9" s="1"/>
  <c r="C9" i="6"/>
  <c r="G17" i="9" s="1"/>
  <c r="B14" i="8"/>
  <c r="AA15" i="8"/>
  <c r="W15" i="8"/>
  <c r="S15" i="8"/>
  <c r="O15" i="8"/>
  <c r="K15" i="8"/>
  <c r="Z15" i="8"/>
  <c r="V15" i="8"/>
  <c r="R15" i="8"/>
  <c r="N15" i="8"/>
  <c r="J15" i="8"/>
  <c r="U15" i="8"/>
  <c r="M15" i="8"/>
  <c r="P15" i="8"/>
  <c r="T15" i="8"/>
  <c r="L15" i="8"/>
  <c r="Y15" i="8"/>
  <c r="Q15" i="8"/>
  <c r="X15" i="8"/>
  <c r="D18" i="5"/>
  <c r="M7" i="4"/>
  <c r="L7" i="4"/>
  <c r="K7" i="4"/>
  <c r="J7" i="4"/>
  <c r="H14" i="4"/>
  <c r="J5" i="4"/>
  <c r="M5" i="4"/>
  <c r="L5" i="4"/>
  <c r="K5" i="4"/>
  <c r="C13" i="7"/>
  <c r="D13" i="7"/>
  <c r="F13" i="7"/>
  <c r="E13" i="7"/>
  <c r="B14" i="7"/>
  <c r="I15" i="6"/>
  <c r="H15" i="6"/>
  <c r="H16" i="8"/>
  <c r="I16" i="8"/>
  <c r="L40" i="9" l="1"/>
  <c r="G14" i="6"/>
  <c r="N37" i="9"/>
  <c r="AB15" i="6"/>
  <c r="AE15" i="6"/>
  <c r="AF15" i="6"/>
  <c r="AD15" i="6"/>
  <c r="AC15" i="6"/>
  <c r="AH15" i="6"/>
  <c r="AG15" i="6"/>
  <c r="AI15" i="6"/>
  <c r="AM15" i="6"/>
  <c r="AL15" i="6"/>
  <c r="AK15" i="6"/>
  <c r="AJ15" i="6"/>
  <c r="AP15" i="6"/>
  <c r="AO15" i="6"/>
  <c r="AN15" i="6"/>
  <c r="AQ15" i="6"/>
  <c r="AA15" i="6"/>
  <c r="O15" i="6"/>
  <c r="L15" i="6"/>
  <c r="K15" i="6"/>
  <c r="Z15" i="6"/>
  <c r="N15" i="6"/>
  <c r="Y15" i="6"/>
  <c r="M15" i="6"/>
  <c r="X15" i="6"/>
  <c r="W15" i="6"/>
  <c r="U15" i="6"/>
  <c r="T15" i="6"/>
  <c r="S15" i="6"/>
  <c r="N41" i="9" s="1"/>
  <c r="R15" i="6"/>
  <c r="Q15" i="6"/>
  <c r="P15" i="6"/>
  <c r="V15" i="6"/>
  <c r="J15" i="6"/>
  <c r="D10" i="6"/>
  <c r="L21" i="9" s="1"/>
  <c r="E14" i="6"/>
  <c r="C10" i="6"/>
  <c r="G21" i="9" s="1"/>
  <c r="B10" i="6"/>
  <c r="C21" i="9" s="1"/>
  <c r="B15" i="8"/>
  <c r="X16" i="8"/>
  <c r="T16" i="8"/>
  <c r="P16" i="8"/>
  <c r="L16" i="8"/>
  <c r="AA16" i="8"/>
  <c r="W16" i="8"/>
  <c r="S16" i="8"/>
  <c r="O16" i="8"/>
  <c r="K16" i="8"/>
  <c r="U16" i="8"/>
  <c r="M16" i="8"/>
  <c r="Y16" i="8"/>
  <c r="Z16" i="8"/>
  <c r="R16" i="8"/>
  <c r="J16" i="8"/>
  <c r="Q16" i="8"/>
  <c r="V16" i="8"/>
  <c r="N16" i="8"/>
  <c r="G18" i="5"/>
  <c r="C14" i="7"/>
  <c r="E14" i="7"/>
  <c r="D14" i="7"/>
  <c r="B15" i="7"/>
  <c r="F14" i="7"/>
  <c r="I17" i="8"/>
  <c r="H17" i="8"/>
  <c r="I16" i="6"/>
  <c r="H16" i="6"/>
  <c r="L44" i="9" l="1"/>
  <c r="G15" i="6"/>
  <c r="AB16" i="6"/>
  <c r="AE16" i="6"/>
  <c r="AH16" i="6"/>
  <c r="AG16" i="6"/>
  <c r="AF16" i="6"/>
  <c r="AD16" i="6"/>
  <c r="AC16" i="6"/>
  <c r="AI16" i="6"/>
  <c r="AP16" i="6"/>
  <c r="AO16" i="6"/>
  <c r="AN16" i="6"/>
  <c r="AM16" i="6"/>
  <c r="AL16" i="6"/>
  <c r="AK16" i="6"/>
  <c r="AJ16" i="6"/>
  <c r="AQ16" i="6"/>
  <c r="Q16" i="6"/>
  <c r="AA16" i="6"/>
  <c r="Z16" i="6"/>
  <c r="N16" i="6"/>
  <c r="Y16" i="6"/>
  <c r="P16" i="6"/>
  <c r="O16" i="6"/>
  <c r="M16" i="6"/>
  <c r="X16" i="6"/>
  <c r="W16" i="6"/>
  <c r="V16" i="6"/>
  <c r="U16" i="6"/>
  <c r="T16" i="6"/>
  <c r="R16" i="6"/>
  <c r="L16" i="6"/>
  <c r="K16" i="6"/>
  <c r="J16" i="6"/>
  <c r="S16" i="6"/>
  <c r="N45" i="9" s="1"/>
  <c r="D11" i="6"/>
  <c r="L25" i="9" s="1"/>
  <c r="E15" i="6"/>
  <c r="B11" i="6"/>
  <c r="C25" i="9" s="1"/>
  <c r="C11" i="6"/>
  <c r="G25" i="9" s="1"/>
  <c r="B16" i="8"/>
  <c r="Y17" i="8"/>
  <c r="U17" i="8"/>
  <c r="Q17" i="8"/>
  <c r="M17" i="8"/>
  <c r="X17" i="8"/>
  <c r="T17" i="8"/>
  <c r="P17" i="8"/>
  <c r="L17" i="8"/>
  <c r="V17" i="8"/>
  <c r="N17" i="8"/>
  <c r="Z17" i="8"/>
  <c r="R17" i="8"/>
  <c r="J17" i="8"/>
  <c r="AA17" i="8"/>
  <c r="S17" i="8"/>
  <c r="K17" i="8"/>
  <c r="W17" i="8"/>
  <c r="O17" i="8"/>
  <c r="J18" i="5"/>
  <c r="L8" i="4"/>
  <c r="M8" i="4"/>
  <c r="K8" i="4"/>
  <c r="J8" i="4"/>
  <c r="E15" i="7"/>
  <c r="D15" i="7"/>
  <c r="C15" i="7"/>
  <c r="B16" i="7"/>
  <c r="F15" i="7"/>
  <c r="I18" i="8"/>
  <c r="H17" i="6"/>
  <c r="H18" i="8"/>
  <c r="I17" i="6"/>
  <c r="L48" i="9" l="1"/>
  <c r="G16" i="6"/>
  <c r="AB17" i="6"/>
  <c r="G17" i="6" s="1"/>
  <c r="AC17" i="6"/>
  <c r="AD17" i="6"/>
  <c r="AH17" i="6"/>
  <c r="AG17" i="6"/>
  <c r="AF17" i="6"/>
  <c r="AE17" i="6"/>
  <c r="AI17" i="6"/>
  <c r="AK17" i="6"/>
  <c r="AJ17" i="6"/>
  <c r="AN17" i="6"/>
  <c r="AP17" i="6"/>
  <c r="AO17" i="6"/>
  <c r="AM17" i="6"/>
  <c r="AL17" i="6"/>
  <c r="AQ17" i="6"/>
  <c r="S17" i="6"/>
  <c r="N49" i="9" s="1"/>
  <c r="P17" i="6"/>
  <c r="O17" i="6"/>
  <c r="R17" i="6"/>
  <c r="Q17" i="6"/>
  <c r="AA17" i="6"/>
  <c r="N17" i="6"/>
  <c r="M17" i="6"/>
  <c r="L17" i="6"/>
  <c r="K17" i="6"/>
  <c r="J17" i="6"/>
  <c r="Y17" i="6"/>
  <c r="X17" i="6"/>
  <c r="T17" i="6"/>
  <c r="U17" i="6"/>
  <c r="Z17" i="6"/>
  <c r="V17" i="6"/>
  <c r="W17" i="6"/>
  <c r="D12" i="6"/>
  <c r="L29" i="9" s="1"/>
  <c r="E16" i="6"/>
  <c r="B12" i="6"/>
  <c r="C29" i="9" s="1"/>
  <c r="C12" i="6"/>
  <c r="G29" i="9" s="1"/>
  <c r="B17" i="8"/>
  <c r="AA18" i="8"/>
  <c r="W18" i="8"/>
  <c r="S18" i="8"/>
  <c r="O18" i="8"/>
  <c r="K18" i="8"/>
  <c r="Z18" i="8"/>
  <c r="V18" i="8"/>
  <c r="R18" i="8"/>
  <c r="N18" i="8"/>
  <c r="J18" i="8"/>
  <c r="U18" i="8"/>
  <c r="M18" i="8"/>
  <c r="Q18" i="8"/>
  <c r="X18" i="8"/>
  <c r="P18" i="8"/>
  <c r="T18" i="8"/>
  <c r="L18" i="8"/>
  <c r="Y18" i="8"/>
  <c r="D23" i="5"/>
  <c r="K9" i="4"/>
  <c r="L9" i="4"/>
  <c r="M9" i="4"/>
  <c r="J9" i="4"/>
  <c r="E16" i="7"/>
  <c r="C16" i="7"/>
  <c r="F16" i="7"/>
  <c r="D16" i="7"/>
  <c r="B17" i="7"/>
  <c r="H18" i="6"/>
  <c r="I19" i="8"/>
  <c r="I18" i="6"/>
  <c r="H19" i="8"/>
  <c r="L52" i="9" l="1"/>
  <c r="AB18" i="6"/>
  <c r="G18" i="6" s="1"/>
  <c r="C3" i="6"/>
  <c r="K5" i="9" s="1"/>
  <c r="D3" i="6"/>
  <c r="AH18" i="6"/>
  <c r="AG18" i="6"/>
  <c r="AF18" i="6"/>
  <c r="AC18" i="6"/>
  <c r="AE18" i="6"/>
  <c r="AD18" i="6"/>
  <c r="AI18" i="6"/>
  <c r="AP18" i="6"/>
  <c r="AO18" i="6"/>
  <c r="AN18" i="6"/>
  <c r="AM18" i="6"/>
  <c r="AL18" i="6"/>
  <c r="AK18" i="6"/>
  <c r="AJ18" i="6"/>
  <c r="AQ18" i="6"/>
  <c r="U18" i="6"/>
  <c r="R18" i="6"/>
  <c r="Q18" i="6"/>
  <c r="T18" i="6"/>
  <c r="S18" i="6"/>
  <c r="N53" i="9" s="1"/>
  <c r="X18" i="6"/>
  <c r="V18" i="6"/>
  <c r="P18" i="6"/>
  <c r="W18" i="6"/>
  <c r="O18" i="6"/>
  <c r="AA18" i="6"/>
  <c r="M18" i="6"/>
  <c r="L18" i="6"/>
  <c r="K18" i="6"/>
  <c r="Z18" i="6"/>
  <c r="Y18" i="6"/>
  <c r="N18" i="6"/>
  <c r="J18" i="6"/>
  <c r="L33" i="9"/>
  <c r="C2" i="6"/>
  <c r="E17" i="6"/>
  <c r="C13" i="6"/>
  <c r="G33" i="9" s="1"/>
  <c r="B13" i="6"/>
  <c r="C33" i="9" s="1"/>
  <c r="B18" i="8"/>
  <c r="Y19" i="8"/>
  <c r="U19" i="8"/>
  <c r="Q19" i="8"/>
  <c r="M19" i="8"/>
  <c r="X19" i="8"/>
  <c r="T19" i="8"/>
  <c r="P19" i="8"/>
  <c r="L19" i="8"/>
  <c r="W19" i="8"/>
  <c r="O19" i="8"/>
  <c r="Z19" i="8"/>
  <c r="R19" i="8"/>
  <c r="J19" i="8"/>
  <c r="V19" i="8"/>
  <c r="N19" i="8"/>
  <c r="AA19" i="8"/>
  <c r="S19" i="8"/>
  <c r="K19" i="8"/>
  <c r="G23" i="5"/>
  <c r="G8" i="5"/>
  <c r="K10" i="4"/>
  <c r="L10" i="4"/>
  <c r="M10" i="4"/>
  <c r="J10" i="4"/>
  <c r="D17" i="7"/>
  <c r="C17" i="7"/>
  <c r="F17" i="7"/>
  <c r="E17" i="7"/>
  <c r="B18" i="7"/>
  <c r="H20" i="8"/>
  <c r="I20" i="8"/>
  <c r="L56" i="9" l="1"/>
  <c r="D18" i="6"/>
  <c r="D14" i="6"/>
  <c r="E18" i="6"/>
  <c r="C14" i="6"/>
  <c r="G37" i="9" s="1"/>
  <c r="B14" i="6"/>
  <c r="C37" i="9" s="1"/>
  <c r="B19" i="8"/>
  <c r="AA20" i="8"/>
  <c r="W20" i="8"/>
  <c r="S20" i="8"/>
  <c r="O20" i="8"/>
  <c r="K20" i="8"/>
  <c r="Z20" i="8"/>
  <c r="V20" i="8"/>
  <c r="R20" i="8"/>
  <c r="N20" i="8"/>
  <c r="J20" i="8"/>
  <c r="X20" i="8"/>
  <c r="P20" i="8"/>
  <c r="Y20" i="8"/>
  <c r="U20" i="8"/>
  <c r="M20" i="8"/>
  <c r="T20" i="8"/>
  <c r="L20" i="8"/>
  <c r="Q20" i="8"/>
  <c r="J23" i="5"/>
  <c r="K11" i="4"/>
  <c r="L11" i="4"/>
  <c r="M11" i="4"/>
  <c r="J11" i="4"/>
  <c r="E18" i="7"/>
  <c r="D18" i="7"/>
  <c r="B19" i="7"/>
  <c r="F18" i="7"/>
  <c r="C18" i="7"/>
  <c r="H21" i="8"/>
  <c r="I21" i="8"/>
  <c r="L37" i="9" l="1"/>
  <c r="D15" i="6"/>
  <c r="L41" i="9" s="1"/>
  <c r="C15" i="6"/>
  <c r="G41" i="9" s="1"/>
  <c r="B15" i="6"/>
  <c r="C41" i="9" s="1"/>
  <c r="B20" i="8"/>
  <c r="Y21" i="8"/>
  <c r="U21" i="8"/>
  <c r="Q21" i="8"/>
  <c r="M21" i="8"/>
  <c r="X21" i="8"/>
  <c r="T21" i="8"/>
  <c r="P21" i="8"/>
  <c r="L21" i="8"/>
  <c r="Z21" i="8"/>
  <c r="R21" i="8"/>
  <c r="J21" i="8"/>
  <c r="W21" i="8"/>
  <c r="O21" i="8"/>
  <c r="V21" i="8"/>
  <c r="N21" i="8"/>
  <c r="AA21" i="8"/>
  <c r="S21" i="8"/>
  <c r="K21" i="8"/>
  <c r="D28" i="5"/>
  <c r="K12" i="4"/>
  <c r="L12" i="4"/>
  <c r="M12" i="4"/>
  <c r="J12" i="4"/>
  <c r="B20" i="7"/>
  <c r="E19" i="7"/>
  <c r="D19" i="7"/>
  <c r="C19" i="7"/>
  <c r="F19" i="7"/>
  <c r="H22" i="8"/>
  <c r="I22" i="8"/>
  <c r="D16" i="6" l="1"/>
  <c r="L45" i="9" s="1"/>
  <c r="C16" i="6"/>
  <c r="G45" i="9" s="1"/>
  <c r="B16" i="6"/>
  <c r="C45" i="9" s="1"/>
  <c r="B21" i="8"/>
  <c r="AA22" i="8"/>
  <c r="W22" i="8"/>
  <c r="S22" i="8"/>
  <c r="O22" i="8"/>
  <c r="K22" i="8"/>
  <c r="Z22" i="8"/>
  <c r="V22" i="8"/>
  <c r="R22" i="8"/>
  <c r="N22" i="8"/>
  <c r="J22" i="8"/>
  <c r="Y22" i="8"/>
  <c r="Q22" i="8"/>
  <c r="M22" i="8"/>
  <c r="L22" i="8"/>
  <c r="X22" i="8"/>
  <c r="P22" i="8"/>
  <c r="U22" i="8"/>
  <c r="T22" i="8"/>
  <c r="C3" i="8"/>
  <c r="G28" i="5"/>
  <c r="K13" i="4"/>
  <c r="L13" i="4"/>
  <c r="M13" i="4"/>
  <c r="J13" i="4"/>
  <c r="F20" i="7"/>
  <c r="C20" i="7"/>
  <c r="B21" i="7"/>
  <c r="E20" i="7"/>
  <c r="D20" i="7"/>
  <c r="D17" i="6" l="1"/>
  <c r="L49" i="9" s="1"/>
  <c r="B17" i="6"/>
  <c r="C17" i="6"/>
  <c r="G49" i="9" s="1"/>
  <c r="I7" i="9"/>
  <c r="B22" i="8"/>
  <c r="U7" i="8"/>
  <c r="T7" i="8"/>
  <c r="P7" i="8"/>
  <c r="Y7" i="8"/>
  <c r="J7" i="8"/>
  <c r="Q7" i="8"/>
  <c r="V7" i="8"/>
  <c r="X7" i="8"/>
  <c r="AA7" i="8"/>
  <c r="Z7" i="8"/>
  <c r="L7" i="8"/>
  <c r="S7" i="8"/>
  <c r="K7" i="8"/>
  <c r="R7" i="8"/>
  <c r="N7" i="8"/>
  <c r="W7" i="8"/>
  <c r="M7" i="8"/>
  <c r="O7" i="8"/>
  <c r="K6" i="5"/>
  <c r="J28" i="5"/>
  <c r="K14" i="4"/>
  <c r="L14" i="4"/>
  <c r="M14" i="4"/>
  <c r="J14" i="4"/>
  <c r="E21" i="7"/>
  <c r="C21" i="7"/>
  <c r="D21" i="7"/>
  <c r="B22" i="7"/>
  <c r="F21" i="7"/>
  <c r="L53" i="9" l="1"/>
  <c r="C18" i="6"/>
  <c r="B18" i="6"/>
  <c r="C49" i="9"/>
  <c r="B7" i="8"/>
  <c r="D8" i="5" s="1"/>
  <c r="D33" i="5"/>
  <c r="K15" i="4"/>
  <c r="L15" i="4"/>
  <c r="M15" i="4"/>
  <c r="J15" i="4"/>
  <c r="E22" i="7"/>
  <c r="D22" i="7"/>
  <c r="C22" i="7"/>
  <c r="F22" i="7"/>
  <c r="B23" i="7"/>
  <c r="C53" i="9" l="1"/>
  <c r="G53" i="9"/>
  <c r="L16" i="4"/>
  <c r="K16" i="4"/>
  <c r="M16" i="4"/>
  <c r="J16" i="4"/>
  <c r="E23" i="7"/>
  <c r="B24" i="7"/>
  <c r="C23" i="7"/>
  <c r="F23" i="7"/>
  <c r="D23" i="7"/>
  <c r="K17" i="4" l="1"/>
  <c r="L17" i="4"/>
  <c r="M17" i="4"/>
  <c r="J17" i="4"/>
  <c r="D24" i="7"/>
  <c r="E24" i="7"/>
  <c r="F24" i="7"/>
  <c r="C24" i="7"/>
  <c r="B25" i="7"/>
  <c r="K18" i="4" l="1"/>
  <c r="J18" i="4"/>
  <c r="L18" i="4"/>
  <c r="M18" i="4"/>
  <c r="E25" i="7"/>
  <c r="F25" i="7"/>
  <c r="D25" i="7"/>
  <c r="C25" i="7"/>
  <c r="B26" i="7"/>
  <c r="J19" i="4" l="1"/>
  <c r="K19" i="4"/>
  <c r="M19" i="4"/>
  <c r="L19" i="4"/>
  <c r="E26" i="7"/>
  <c r="F26" i="7"/>
  <c r="D26" i="7"/>
  <c r="B27" i="7"/>
  <c r="C26" i="7"/>
  <c r="M20" i="4" l="1"/>
  <c r="L20" i="4"/>
  <c r="J20" i="4"/>
  <c r="K20" i="4"/>
  <c r="D27" i="7"/>
  <c r="B28" i="7"/>
  <c r="E27" i="7"/>
  <c r="F27" i="7"/>
  <c r="C27" i="7"/>
  <c r="L21" i="4" l="1"/>
  <c r="K21" i="4"/>
  <c r="M21" i="4"/>
  <c r="J21" i="4"/>
  <c r="D28" i="7"/>
  <c r="B29" i="7"/>
  <c r="F28" i="7"/>
  <c r="C28" i="7"/>
  <c r="E28" i="7"/>
  <c r="L22" i="4" l="1"/>
  <c r="J22" i="4"/>
  <c r="K22" i="4"/>
  <c r="M22" i="4"/>
  <c r="E29" i="7"/>
  <c r="C29" i="7"/>
  <c r="F29" i="7"/>
  <c r="D29" i="7"/>
  <c r="B30" i="7"/>
  <c r="J23" i="4" l="1"/>
  <c r="M23" i="4"/>
  <c r="K23" i="4"/>
  <c r="L23" i="4"/>
  <c r="E30" i="7"/>
  <c r="F30" i="7"/>
  <c r="C30" i="7"/>
  <c r="B31" i="7"/>
  <c r="D30" i="7"/>
  <c r="M24" i="4" l="1"/>
  <c r="J24" i="4"/>
  <c r="L24" i="4"/>
  <c r="K24" i="4"/>
  <c r="F31" i="7"/>
  <c r="C31" i="7"/>
  <c r="E31" i="7"/>
  <c r="B32" i="7"/>
  <c r="D31" i="7"/>
  <c r="M25" i="4" l="1"/>
  <c r="K25" i="4"/>
  <c r="L25" i="4"/>
  <c r="J25" i="4"/>
  <c r="E32" i="7"/>
  <c r="F32" i="7"/>
  <c r="B33" i="7"/>
  <c r="D32" i="7"/>
  <c r="C32" i="7"/>
  <c r="K26" i="4" l="1"/>
  <c r="J26" i="4"/>
  <c r="L26" i="4"/>
  <c r="M26" i="4"/>
  <c r="C33" i="7"/>
  <c r="D33" i="7"/>
  <c r="E33" i="7"/>
  <c r="F33" i="7"/>
  <c r="B34" i="7"/>
  <c r="M27" i="4" l="1"/>
  <c r="L27" i="4"/>
  <c r="K27" i="4"/>
  <c r="J27" i="4"/>
  <c r="D34" i="7"/>
  <c r="F34" i="7"/>
  <c r="C34" i="7"/>
  <c r="E34" i="7"/>
  <c r="B35" i="7"/>
  <c r="K28" i="4" l="1"/>
  <c r="L28" i="4"/>
  <c r="M28" i="4"/>
  <c r="J28" i="4"/>
  <c r="F35" i="7"/>
  <c r="E35" i="7"/>
  <c r="B36" i="7"/>
  <c r="C35" i="7"/>
  <c r="D35" i="7"/>
  <c r="M29" i="4" l="1"/>
  <c r="L29" i="4"/>
  <c r="K29" i="4"/>
  <c r="J29" i="4"/>
  <c r="F36" i="7"/>
  <c r="C36" i="7"/>
  <c r="D36" i="7"/>
  <c r="B37" i="7"/>
  <c r="E36" i="7"/>
  <c r="K30" i="4" l="1"/>
  <c r="L30" i="4"/>
  <c r="J30" i="4"/>
  <c r="M30" i="4"/>
  <c r="F37" i="7"/>
  <c r="D37" i="7"/>
  <c r="B38" i="7"/>
  <c r="E37" i="7"/>
  <c r="C37" i="7"/>
  <c r="K31" i="4" l="1"/>
  <c r="J31" i="4"/>
  <c r="L31" i="4"/>
  <c r="M31" i="4"/>
  <c r="E38" i="7"/>
  <c r="F38" i="7"/>
  <c r="B39" i="7"/>
  <c r="C38" i="7"/>
  <c r="D38" i="7"/>
  <c r="L32" i="4" l="1"/>
  <c r="J32" i="4"/>
  <c r="K32" i="4"/>
  <c r="M32" i="4"/>
  <c r="E39" i="7"/>
  <c r="B40" i="7"/>
  <c r="F39" i="7"/>
  <c r="D39" i="7"/>
  <c r="C39" i="7"/>
  <c r="L33" i="4" l="1"/>
  <c r="K33" i="4"/>
  <c r="J33" i="4"/>
  <c r="M33" i="4"/>
  <c r="E40" i="7"/>
  <c r="C40" i="7"/>
  <c r="B41" i="7"/>
  <c r="D40" i="7"/>
  <c r="F40" i="7"/>
  <c r="L34" i="4" l="1"/>
  <c r="J34" i="4"/>
  <c r="K34" i="4"/>
  <c r="M34" i="4"/>
  <c r="C41" i="7"/>
  <c r="E41" i="7"/>
  <c r="D41" i="7"/>
  <c r="B42" i="7"/>
  <c r="F41" i="7"/>
  <c r="K35" i="4" l="1"/>
  <c r="J35" i="4"/>
  <c r="L35" i="4"/>
  <c r="M35" i="4"/>
  <c r="E42" i="7"/>
  <c r="B43" i="7"/>
  <c r="F42" i="7"/>
  <c r="C42" i="7"/>
  <c r="D42" i="7"/>
  <c r="J36" i="4" l="1"/>
  <c r="K36" i="4"/>
  <c r="L36" i="4"/>
  <c r="M36" i="4"/>
  <c r="E43" i="7"/>
  <c r="D43" i="7"/>
  <c r="C43" i="7"/>
  <c r="F43" i="7"/>
  <c r="B44" i="7"/>
  <c r="L37" i="4" l="1"/>
  <c r="K37" i="4"/>
  <c r="J37" i="4"/>
  <c r="M37" i="4"/>
  <c r="E44" i="7"/>
  <c r="B45" i="7"/>
  <c r="F44" i="7"/>
  <c r="C44" i="7"/>
  <c r="D44" i="7"/>
  <c r="L38" i="4" l="1"/>
  <c r="K38" i="4"/>
  <c r="J38" i="4"/>
  <c r="M38" i="4"/>
  <c r="B46" i="7"/>
  <c r="F45" i="7"/>
  <c r="E45" i="7"/>
  <c r="C45" i="7"/>
  <c r="D45" i="7"/>
  <c r="L39" i="4" l="1"/>
  <c r="K39" i="4"/>
  <c r="J39" i="4"/>
  <c r="M39" i="4"/>
  <c r="C46" i="7"/>
  <c r="D46" i="7"/>
  <c r="E46" i="7"/>
  <c r="F46" i="7"/>
  <c r="B47" i="7"/>
  <c r="L40" i="4" l="1"/>
  <c r="K40" i="4"/>
  <c r="J40" i="4"/>
  <c r="M40" i="4"/>
  <c r="C47" i="7"/>
  <c r="D47" i="7"/>
  <c r="F47" i="7"/>
  <c r="E47" i="7"/>
  <c r="B48" i="7"/>
  <c r="K41" i="4" l="1"/>
  <c r="L41" i="4"/>
  <c r="J41" i="4"/>
  <c r="M41" i="4"/>
  <c r="C48" i="7"/>
  <c r="E48" i="7"/>
  <c r="D48" i="7"/>
  <c r="B49" i="7"/>
  <c r="F48" i="7"/>
  <c r="K42" i="4" l="1"/>
  <c r="J42" i="4"/>
  <c r="L42" i="4"/>
  <c r="M42" i="4"/>
  <c r="E49" i="7"/>
  <c r="C49" i="7"/>
  <c r="F49" i="7"/>
  <c r="B50" i="7"/>
  <c r="D49" i="7"/>
  <c r="L43" i="4" l="1"/>
  <c r="J43" i="4"/>
  <c r="K43" i="4"/>
  <c r="M43" i="4"/>
  <c r="F50" i="7"/>
  <c r="E50" i="7"/>
  <c r="C50" i="7"/>
  <c r="D50" i="7"/>
  <c r="B51" i="7"/>
  <c r="L44" i="4" l="1"/>
  <c r="J44" i="4"/>
  <c r="K44" i="4"/>
  <c r="M44" i="4"/>
  <c r="C51" i="7"/>
  <c r="D51" i="7"/>
  <c r="B52" i="7"/>
  <c r="E51" i="7"/>
  <c r="F51" i="7"/>
  <c r="K45" i="4" l="1"/>
  <c r="L45" i="4"/>
  <c r="J45" i="4"/>
  <c r="M45" i="4"/>
  <c r="C52" i="7"/>
  <c r="F52" i="7"/>
  <c r="D52" i="7"/>
  <c r="B53" i="7"/>
  <c r="E52" i="7"/>
  <c r="J46" i="4" l="1"/>
  <c r="K46" i="4"/>
  <c r="L46" i="4"/>
  <c r="M46" i="4"/>
  <c r="E53" i="7"/>
  <c r="F53" i="7"/>
  <c r="B54" i="7"/>
  <c r="D53" i="7"/>
  <c r="C53" i="7"/>
  <c r="L47" i="4" l="1"/>
  <c r="K47" i="4"/>
  <c r="J47" i="4"/>
  <c r="M47" i="4"/>
  <c r="F54" i="7"/>
  <c r="E54" i="7"/>
  <c r="C54" i="7"/>
  <c r="B55" i="7"/>
  <c r="D54" i="7"/>
  <c r="K48" i="4" l="1"/>
  <c r="L48" i="4"/>
  <c r="J48" i="4"/>
  <c r="M48" i="4"/>
  <c r="F55" i="7"/>
  <c r="E55" i="7"/>
  <c r="D55" i="7"/>
  <c r="B56" i="7"/>
  <c r="C55" i="7"/>
  <c r="L49" i="4" l="1"/>
  <c r="J49" i="4"/>
  <c r="K49" i="4"/>
  <c r="M49" i="4"/>
  <c r="C56" i="7"/>
  <c r="F56" i="7"/>
  <c r="E56" i="7"/>
  <c r="D56" i="7"/>
  <c r="B57" i="7"/>
  <c r="K50" i="4" l="1"/>
  <c r="L50" i="4"/>
  <c r="J50" i="4"/>
  <c r="M50" i="4"/>
  <c r="F57" i="7"/>
  <c r="E57" i="7"/>
  <c r="D57" i="7"/>
  <c r="B58" i="7"/>
  <c r="C57" i="7"/>
  <c r="K51" i="4" l="1"/>
  <c r="J51" i="4"/>
  <c r="L51" i="4"/>
  <c r="M51" i="4"/>
  <c r="E58" i="7"/>
  <c r="F58" i="7"/>
  <c r="B59" i="7"/>
  <c r="C58" i="7"/>
  <c r="D58" i="7"/>
  <c r="K52" i="4" l="1"/>
  <c r="J52" i="4"/>
  <c r="M52" i="4"/>
  <c r="L52" i="4"/>
  <c r="C59" i="7"/>
  <c r="E59" i="7"/>
  <c r="F59" i="7"/>
  <c r="B60" i="7"/>
  <c r="D59" i="7"/>
  <c r="K53" i="4" l="1"/>
  <c r="J53" i="4"/>
  <c r="L53" i="4"/>
  <c r="M53" i="4"/>
  <c r="E60" i="7"/>
  <c r="B61" i="7"/>
  <c r="D60" i="7"/>
  <c r="C60" i="7"/>
  <c r="F60" i="7"/>
  <c r="M54" i="4" l="1"/>
  <c r="J54" i="4"/>
  <c r="K54" i="4"/>
  <c r="L54" i="4"/>
  <c r="D61" i="7"/>
  <c r="F61" i="7"/>
  <c r="E61" i="7"/>
  <c r="C61" i="7"/>
  <c r="B62" i="7"/>
  <c r="K55" i="4" l="1"/>
  <c r="J55" i="4"/>
  <c r="L55" i="4"/>
  <c r="M55" i="4"/>
  <c r="C62" i="7"/>
  <c r="D62" i="7"/>
  <c r="F62" i="7"/>
  <c r="E62" i="7"/>
  <c r="B63" i="7"/>
  <c r="K56" i="4" l="1"/>
  <c r="J56" i="4"/>
  <c r="M56" i="4"/>
  <c r="L56" i="4"/>
  <c r="E63" i="7"/>
  <c r="C63" i="7"/>
  <c r="B64" i="7"/>
  <c r="F63" i="7"/>
  <c r="D63" i="7"/>
  <c r="K57" i="4" l="1"/>
  <c r="J57" i="4"/>
  <c r="L57" i="4"/>
  <c r="M57" i="4"/>
  <c r="D64" i="7"/>
  <c r="C64" i="7"/>
  <c r="E64" i="7"/>
  <c r="F64" i="7"/>
  <c r="B65" i="7"/>
  <c r="K58" i="4" l="1"/>
  <c r="J58" i="4"/>
  <c r="M58" i="4"/>
  <c r="L58" i="4"/>
  <c r="E65" i="7"/>
  <c r="C65" i="7"/>
  <c r="D65" i="7"/>
  <c r="B66" i="7"/>
  <c r="F65" i="7"/>
  <c r="D66" i="7" l="1"/>
  <c r="E66" i="7"/>
  <c r="C66" i="7"/>
  <c r="F66" i="7"/>
  <c r="L59" i="4"/>
  <c r="J59" i="4"/>
  <c r="K59" i="4"/>
  <c r="M59" i="4"/>
  <c r="B67" i="7"/>
  <c r="F67" i="7" l="1"/>
  <c r="D67" i="7"/>
  <c r="C67" i="7"/>
  <c r="E67" i="7"/>
  <c r="K60" i="4"/>
  <c r="J60" i="4"/>
  <c r="M60" i="4"/>
  <c r="L60" i="4"/>
  <c r="B68" i="7"/>
  <c r="D68" i="7" l="1"/>
  <c r="E68" i="7"/>
  <c r="C68" i="7"/>
  <c r="F68" i="7"/>
  <c r="K61" i="4"/>
  <c r="J61" i="4"/>
  <c r="L61" i="4"/>
  <c r="M61" i="4"/>
  <c r="B69" i="7"/>
  <c r="F69" i="7" l="1"/>
  <c r="D69" i="7"/>
  <c r="C69" i="7"/>
  <c r="E69" i="7"/>
  <c r="M62" i="4"/>
  <c r="J62" i="4"/>
  <c r="K62" i="4"/>
  <c r="L62" i="4"/>
  <c r="B70" i="7"/>
  <c r="D70" i="7" l="1"/>
  <c r="F70" i="7"/>
  <c r="C70" i="7"/>
  <c r="E70" i="7"/>
  <c r="C2" i="7"/>
  <c r="K63" i="4"/>
  <c r="J63" i="4"/>
  <c r="L63" i="4"/>
  <c r="M63" i="4"/>
  <c r="M64" i="4" l="1"/>
  <c r="J64" i="4"/>
  <c r="K64" i="4"/>
  <c r="L64" i="4"/>
  <c r="K65" i="4" l="1"/>
  <c r="J65" i="4"/>
  <c r="L65" i="4"/>
  <c r="M65" i="4"/>
  <c r="K66" i="4" l="1"/>
  <c r="J66" i="4"/>
  <c r="M66" i="4"/>
  <c r="L66" i="4"/>
  <c r="L67" i="4" l="1"/>
  <c r="J67" i="4"/>
  <c r="K67" i="4"/>
  <c r="M67" i="4"/>
  <c r="K68" i="4" l="1"/>
  <c r="M68" i="4"/>
  <c r="J68" i="4"/>
  <c r="L68" i="4"/>
  <c r="H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Monroe-Loop Michael E</author>
  </authors>
  <commentList>
    <comment ref="AR6" authorId="0" shapeId="0" xr:uid="{22C40409-0A70-4C06-BA68-5B047738973F}">
      <text>
        <r>
          <rPr>
            <b/>
            <sz val="9"/>
            <color indexed="81"/>
            <rFont val="Tahoma"/>
            <family val="2"/>
          </rPr>
          <t>Monroe-Loop Michael E:</t>
        </r>
        <r>
          <rPr>
            <sz val="9"/>
            <color indexed="81"/>
            <rFont val="Tahoma"/>
            <family val="2"/>
          </rPr>
          <t xml:space="preserve">
# This row is for branch numbers only.  In order to search all the branches in a single cell, the search feature will pull all zip codes that match a branch number e.g. branch 0401 will also pull 97401.  This row is placed to distinguish the two.</t>
        </r>
      </text>
    </comment>
  </commentList>
</comments>
</file>

<file path=xl/sharedStrings.xml><?xml version="1.0" encoding="utf-8"?>
<sst xmlns="http://schemas.openxmlformats.org/spreadsheetml/2006/main" count="6937" uniqueCount="1886">
  <si>
    <t>ONE STATEWIDE ZIP CODE DIRECTORY</t>
  </si>
  <si>
    <t>Row</t>
  </si>
  <si>
    <t>Cost Center</t>
  </si>
  <si>
    <t>SFO/VEC</t>
  </si>
  <si>
    <t>DHS/AAA</t>
  </si>
  <si>
    <t>Office</t>
  </si>
  <si>
    <t>Office Hours Open</t>
  </si>
  <si>
    <t>Office Hours Close</t>
  </si>
  <si>
    <t>Time Zone</t>
  </si>
  <si>
    <t>Phone #</t>
  </si>
  <si>
    <t>Ext.</t>
  </si>
  <si>
    <t>Fax #</t>
  </si>
  <si>
    <t>Office Email</t>
  </si>
  <si>
    <t xml:space="preserve">District </t>
  </si>
  <si>
    <t>Zip Codes</t>
  </si>
  <si>
    <t>Address Line 1</t>
  </si>
  <si>
    <t>Address Line 2</t>
  </si>
  <si>
    <t>City</t>
  </si>
  <si>
    <t>State</t>
  </si>
  <si>
    <t>Zip Code</t>
  </si>
  <si>
    <t>County</t>
  </si>
  <si>
    <t>1B</t>
  </si>
  <si>
    <t>2C</t>
  </si>
  <si>
    <t>3D</t>
  </si>
  <si>
    <t>4E</t>
  </si>
  <si>
    <t>5F</t>
  </si>
  <si>
    <t>6G</t>
  </si>
  <si>
    <t>7H</t>
  </si>
  <si>
    <t>8I</t>
  </si>
  <si>
    <t>9J</t>
  </si>
  <si>
    <t>10K</t>
  </si>
  <si>
    <t>11L</t>
  </si>
  <si>
    <t>12M</t>
  </si>
  <si>
    <t>13N</t>
  </si>
  <si>
    <t>14O</t>
  </si>
  <si>
    <t>15P</t>
  </si>
  <si>
    <t>16Q</t>
  </si>
  <si>
    <t>17R</t>
  </si>
  <si>
    <t>18S</t>
  </si>
  <si>
    <t>19T</t>
  </si>
  <si>
    <t>Salem</t>
  </si>
  <si>
    <t>Column 1 Reference</t>
  </si>
  <si>
    <t>Column 2 Reference</t>
  </si>
  <si>
    <t>BranchNumber</t>
  </si>
  <si>
    <t>OfficeType</t>
  </si>
  <si>
    <t>Agency</t>
  </si>
  <si>
    <t>Office Name</t>
  </si>
  <si>
    <t>Office Hours From</t>
  </si>
  <si>
    <t>Office Hours To</t>
  </si>
  <si>
    <t>Timezone</t>
  </si>
  <si>
    <t>Phone Number</t>
  </si>
  <si>
    <t>Extn</t>
  </si>
  <si>
    <t>Fax</t>
  </si>
  <si>
    <t>Email</t>
  </si>
  <si>
    <t>District</t>
  </si>
  <si>
    <t>Zipcodes Served (Comma seperated List)</t>
  </si>
  <si>
    <t>Mailing Address Line 1</t>
  </si>
  <si>
    <t>City2</t>
  </si>
  <si>
    <t>State2</t>
  </si>
  <si>
    <t>Zip Code2</t>
  </si>
  <si>
    <t>County2</t>
  </si>
  <si>
    <t>Business Reply Address Line 1</t>
  </si>
  <si>
    <t>City3</t>
  </si>
  <si>
    <t>State3</t>
  </si>
  <si>
    <t>Zip Code3</t>
  </si>
  <si>
    <t>County3</t>
  </si>
  <si>
    <t>Implementation Phase</t>
  </si>
  <si>
    <t>Action</t>
  </si>
  <si>
    <t>count</t>
  </si>
  <si>
    <t>SFO</t>
  </si>
  <si>
    <t>DHS</t>
  </si>
  <si>
    <t>PST</t>
  </si>
  <si>
    <t>Ste 200</t>
  </si>
  <si>
    <t>Astoria</t>
  </si>
  <si>
    <t>OR</t>
  </si>
  <si>
    <t>Clatsop</t>
  </si>
  <si>
    <t>PO Box 14015</t>
  </si>
  <si>
    <t>97309</t>
  </si>
  <si>
    <t>Marion</t>
  </si>
  <si>
    <t>Wave 2</t>
  </si>
  <si>
    <t>AAA</t>
  </si>
  <si>
    <t>2002 SE Chokeberry Ave</t>
  </si>
  <si>
    <t>Warrenton</t>
  </si>
  <si>
    <t>Wave 1</t>
  </si>
  <si>
    <t>97016, 97018, 97048, 97051, 97053, 97054, 97056, 97064</t>
  </si>
  <si>
    <t>500 N Highway 30</t>
  </si>
  <si>
    <t>Ste 210</t>
  </si>
  <si>
    <t>St Helens</t>
  </si>
  <si>
    <t>Columbia</t>
  </si>
  <si>
    <t>500 N Columbia River Hwy</t>
  </si>
  <si>
    <t>Ste 240</t>
  </si>
  <si>
    <t>97107, 97108, 97112, 97118, 97122, 97130, 97131, 97134, 97135, 97136, 97141, 97143, 97147, 97149</t>
  </si>
  <si>
    <t>4670 3rd St</t>
  </si>
  <si>
    <t>Tillamook</t>
  </si>
  <si>
    <t>5010 E Third St</t>
  </si>
  <si>
    <t>30 N Webster St</t>
  </si>
  <si>
    <t>Ste A</t>
  </si>
  <si>
    <t>Portland</t>
  </si>
  <si>
    <t>Multnomah</t>
  </si>
  <si>
    <t>8129 SE Malden St</t>
  </si>
  <si>
    <t>50 SW 2nd Ave</t>
  </si>
  <si>
    <t>4610 SE Belmont St</t>
  </si>
  <si>
    <t>Ste 102</t>
  </si>
  <si>
    <t>97203, 97231, 97283</t>
  </si>
  <si>
    <t>6443 N Lombard St</t>
  </si>
  <si>
    <t>5325 NE MLK Blvd</t>
  </si>
  <si>
    <t>Ste 322A</t>
  </si>
  <si>
    <t xml:space="preserve">11826 NE Glisan St </t>
  </si>
  <si>
    <t>120 E Lincoln St</t>
  </si>
  <si>
    <t>Ste 120</t>
  </si>
  <si>
    <t>Woodburn</t>
  </si>
  <si>
    <t>2100 Progress Way</t>
  </si>
  <si>
    <t xml:space="preserve">Ste 100 </t>
  </si>
  <si>
    <t>4074 Winema Place</t>
  </si>
  <si>
    <t>Ste 100</t>
  </si>
  <si>
    <t>97325, 97342, 97346, 97350, 97358, 97360, 97374, 97383, 97384, 97385, 97392</t>
  </si>
  <si>
    <t>11656 Sublimity Rd SE</t>
  </si>
  <si>
    <t>Sublimity</t>
  </si>
  <si>
    <t>97303, 97307</t>
  </si>
  <si>
    <t>3420 Cherry Ave NE</t>
  </si>
  <si>
    <t>Ste 110</t>
  </si>
  <si>
    <t>3410 Cherry Ave NE</t>
  </si>
  <si>
    <t>Dallas</t>
  </si>
  <si>
    <t>Polk</t>
  </si>
  <si>
    <t>260 NE Kings Valley Hwy</t>
  </si>
  <si>
    <t xml:space="preserve">368 NE Norton Lane </t>
  </si>
  <si>
    <t>McMinnville</t>
  </si>
  <si>
    <t>Yamhill</t>
  </si>
  <si>
    <t>300 SW Hill Rd</t>
  </si>
  <si>
    <t>97324, 97326, 97330, 97331, 97333, 97339, 97370, 97456</t>
  </si>
  <si>
    <t>4170 SW Research Way</t>
  </si>
  <si>
    <t>Corvallis</t>
  </si>
  <si>
    <t>Benton</t>
  </si>
  <si>
    <t>120 NE Avery St</t>
  </si>
  <si>
    <t>Newport</t>
  </si>
  <si>
    <t>Lincoln</t>
  </si>
  <si>
    <t>203 N Main St</t>
  </si>
  <si>
    <t>Toledo</t>
  </si>
  <si>
    <t>118 SE 2nd Ave</t>
  </si>
  <si>
    <t>Albany</t>
  </si>
  <si>
    <t>Linn</t>
  </si>
  <si>
    <t>97327, 97329, 97335, 97336, 97345, 97355, 97386</t>
  </si>
  <si>
    <t>44 Industrial Way</t>
  </si>
  <si>
    <t>Ste D</t>
  </si>
  <si>
    <t>Lebanon</t>
  </si>
  <si>
    <t>1400 Queen Ave SE</t>
  </si>
  <si>
    <t>Ste 206</t>
  </si>
  <si>
    <t>101 30th St</t>
  </si>
  <si>
    <t>Springfield</t>
  </si>
  <si>
    <t>Lane</t>
  </si>
  <si>
    <t>2885 Chad Dr</t>
  </si>
  <si>
    <t>Eugene</t>
  </si>
  <si>
    <t>2101 W 11th Ave</t>
  </si>
  <si>
    <t>305 Coop Court</t>
  </si>
  <si>
    <t>Cottage Grove</t>
  </si>
  <si>
    <t>1015 Willamette St</t>
  </si>
  <si>
    <t>3180 Highway 101 N</t>
  </si>
  <si>
    <t>Florence</t>
  </si>
  <si>
    <t>738 W Harvard Ave</t>
  </si>
  <si>
    <t>Ste 160</t>
  </si>
  <si>
    <t>Roseburg</t>
  </si>
  <si>
    <t>Douglas</t>
  </si>
  <si>
    <t>Ste 180</t>
  </si>
  <si>
    <t>1431 Airport Lane</t>
  </si>
  <si>
    <t>North Bend</t>
  </si>
  <si>
    <t>Coos</t>
  </si>
  <si>
    <t>2675 Colorado St</t>
  </si>
  <si>
    <t>94145 W 5th Place</t>
  </si>
  <si>
    <t>Gold Beach</t>
  </si>
  <si>
    <t>Curry</t>
  </si>
  <si>
    <t>673 Market St</t>
  </si>
  <si>
    <t>Medford</t>
  </si>
  <si>
    <t>Jackson</t>
  </si>
  <si>
    <t>1658 Ashland St</t>
  </si>
  <si>
    <t>Ashland</t>
  </si>
  <si>
    <t>3131 Ave C</t>
  </si>
  <si>
    <t>White City</t>
  </si>
  <si>
    <t>2860 State St</t>
  </si>
  <si>
    <t>28 W 6th St</t>
  </si>
  <si>
    <t>2101 NW Hawthorne St</t>
  </si>
  <si>
    <t>Ste B</t>
  </si>
  <si>
    <t>Grants Pass</t>
  </si>
  <si>
    <t>Josephine</t>
  </si>
  <si>
    <t>97523, 97531, 97534, 97538</t>
  </si>
  <si>
    <t>535 East River St</t>
  </si>
  <si>
    <t>Cave Junction</t>
  </si>
  <si>
    <t>700 Union St</t>
  </si>
  <si>
    <t xml:space="preserve">Ste 128 </t>
  </si>
  <si>
    <t>The Dalles</t>
  </si>
  <si>
    <t>Wasco</t>
  </si>
  <si>
    <t>1610 9th Court</t>
  </si>
  <si>
    <t>Hood River</t>
  </si>
  <si>
    <t>3641 Klindt Dr</t>
  </si>
  <si>
    <t>97701, 97702, 97703, 97708, 97709, 97712</t>
  </si>
  <si>
    <t>1300 NW Wall St</t>
  </si>
  <si>
    <t>Ste 101</t>
  </si>
  <si>
    <t>Bend</t>
  </si>
  <si>
    <t>Deschutes</t>
  </si>
  <si>
    <t>97730, 97756, 97759, 97760</t>
  </si>
  <si>
    <t>2158 SE College Loop</t>
  </si>
  <si>
    <t>Redmond</t>
  </si>
  <si>
    <t>97638, 97641, 97707, 97731, 97733, 97735, 97737, 97739</t>
  </si>
  <si>
    <t>16493 Bluewood Place</t>
  </si>
  <si>
    <t>Ste 1</t>
  </si>
  <si>
    <t>1135 Highland Ave</t>
  </si>
  <si>
    <t>97750, 97751, 97752, 97753, 97754</t>
  </si>
  <si>
    <t>457 NE Ochoco Plaza Dr</t>
  </si>
  <si>
    <t>Prineville</t>
  </si>
  <si>
    <t>Crook</t>
  </si>
  <si>
    <t>97001, 97037, 97057, 97711, 97734, 97741,  97830</t>
  </si>
  <si>
    <t>189 NE Cypress St</t>
  </si>
  <si>
    <t>Ste 104</t>
  </si>
  <si>
    <t>Madras</t>
  </si>
  <si>
    <t>Jefferson</t>
  </si>
  <si>
    <t>Warm Springs</t>
  </si>
  <si>
    <t>Ste C</t>
  </si>
  <si>
    <t xml:space="preserve">678 NE Hwy 97 </t>
  </si>
  <si>
    <t>Klamath Falls</t>
  </si>
  <si>
    <t>Klamath</t>
  </si>
  <si>
    <t>108 E St N</t>
  </si>
  <si>
    <t>Lakeview</t>
  </si>
  <si>
    <t>Lake</t>
  </si>
  <si>
    <t>800 SE Emigrant</t>
  </si>
  <si>
    <t>Pendleton</t>
  </si>
  <si>
    <t>Umatilla</t>
  </si>
  <si>
    <t>97818, 97826, 97836, 97838, 97839, 97843, 97844, 97875, 97882</t>
  </si>
  <si>
    <t>950 SE Columbia St</t>
  </si>
  <si>
    <t>Hermiston</t>
  </si>
  <si>
    <t>97813, 97862, 97886</t>
  </si>
  <si>
    <t>Milton-Freewater</t>
  </si>
  <si>
    <t>1555 Southgate Pl</t>
  </si>
  <si>
    <t>940 SE Columbia St E</t>
  </si>
  <si>
    <t>3165 10th St</t>
  </si>
  <si>
    <t>Baker City</t>
  </si>
  <si>
    <t>Baker</t>
  </si>
  <si>
    <t>Ste 400</t>
  </si>
  <si>
    <t>97824, 97827, 97841, 97850, 97859, 97876, 97883</t>
  </si>
  <si>
    <t>1607 Gekeler Lane</t>
  </si>
  <si>
    <t>La Grande</t>
  </si>
  <si>
    <t>Union</t>
  </si>
  <si>
    <t>97828, 97842, 97846, 97857, 97885</t>
  </si>
  <si>
    <t>104 Litch St</t>
  </si>
  <si>
    <t>Enterprise</t>
  </si>
  <si>
    <t>Wallowa</t>
  </si>
  <si>
    <t>97817, 97820, 97825, 97845, 97848, 97856, 97864, 97865, 97869, 97873, 97874, 97884</t>
  </si>
  <si>
    <t>725 W Main St</t>
  </si>
  <si>
    <t>John Day</t>
  </si>
  <si>
    <t>Grant</t>
  </si>
  <si>
    <t>Ste E</t>
  </si>
  <si>
    <t>97710, 97720, 97721, 97722, 97732, 97736, 97738, 97758, 97904, 97911, 97917</t>
  </si>
  <si>
    <t>809 W. Jackson</t>
  </si>
  <si>
    <t>Burns</t>
  </si>
  <si>
    <t>Harney</t>
  </si>
  <si>
    <t>809 W Jackson</t>
  </si>
  <si>
    <t>Ste 300</t>
  </si>
  <si>
    <t>MST</t>
  </si>
  <si>
    <t>97901, 97902, 97903, 97906, 97907, 97908, 97909, 97910, 97913, 97914, 97918, 97920</t>
  </si>
  <si>
    <t>186 East Lane</t>
  </si>
  <si>
    <t>Ste 2</t>
  </si>
  <si>
    <t>Ontario</t>
  </si>
  <si>
    <t>Malheur</t>
  </si>
  <si>
    <t>Ste 4</t>
  </si>
  <si>
    <t>315 S. Beaver Creek Rd</t>
  </si>
  <si>
    <t>Oregon City</t>
  </si>
  <si>
    <t>Clackamas</t>
  </si>
  <si>
    <t>16440 SE 82nd Dr</t>
  </si>
  <si>
    <t>214 SW 2nd</t>
  </si>
  <si>
    <t>Canby</t>
  </si>
  <si>
    <t>221 Molalla Ave</t>
  </si>
  <si>
    <t>4382 SE International Way</t>
  </si>
  <si>
    <t>Milwaukie</t>
  </si>
  <si>
    <t>320 SW Zobrist St</t>
  </si>
  <si>
    <t>Estacada</t>
  </si>
  <si>
    <t>15425 NW Greenbrier Pkwy</t>
  </si>
  <si>
    <t>Beaverton</t>
  </si>
  <si>
    <t>Washington</t>
  </si>
  <si>
    <t>5300 NE Elam Young Pkwy</t>
  </si>
  <si>
    <t>Hillsboro</t>
  </si>
  <si>
    <t>10777 SW Cascade Ave</t>
  </si>
  <si>
    <t>Tigard</t>
  </si>
  <si>
    <t>5240 NE Elam Young Pkwy</t>
  </si>
  <si>
    <t>11515 SW Durham Rd</t>
  </si>
  <si>
    <t>Ste 5</t>
  </si>
  <si>
    <t>4805 SW Griffith Dr</t>
  </si>
  <si>
    <t>VEC</t>
  </si>
  <si>
    <t>0102 - Baker City VEC</t>
  </si>
  <si>
    <t>ONE Upgrade/Pilot</t>
  </si>
  <si>
    <t>0502 - St Helens VEC</t>
  </si>
  <si>
    <t>0602 - North Bend VEC</t>
  </si>
  <si>
    <t>1503 - Medford VEC</t>
  </si>
  <si>
    <t>1504 - White City VEC</t>
  </si>
  <si>
    <t>1803 - Klamath Falls VEC</t>
  </si>
  <si>
    <t>2203 - Corvallis VEC</t>
  </si>
  <si>
    <t>2302 - Ontario VEC</t>
  </si>
  <si>
    <t>2803 - NE Portland VEC</t>
  </si>
  <si>
    <t>2903 - Tillamook VEC</t>
  </si>
  <si>
    <t>3006 - Hermiston VEC</t>
  </si>
  <si>
    <t>3007 - Milton-Freewater VEC</t>
  </si>
  <si>
    <t>3103 - Enterprise VEC</t>
  </si>
  <si>
    <t>3404 - Hillsboro VEC</t>
  </si>
  <si>
    <t>5501 - Salem Cherry VEC</t>
  </si>
  <si>
    <t>5503 - Salem VEC</t>
  </si>
  <si>
    <t>OTH</t>
  </si>
  <si>
    <t>5514 - Central Office</t>
  </si>
  <si>
    <t>550 Capitol St SE</t>
  </si>
  <si>
    <t>St. Helens</t>
  </si>
  <si>
    <t>Gresham</t>
  </si>
  <si>
    <t>Boardman</t>
  </si>
  <si>
    <t>Reedsport</t>
  </si>
  <si>
    <t>1050a</t>
  </si>
  <si>
    <t>ZIP</t>
  </si>
  <si>
    <t>CITY</t>
  </si>
  <si>
    <t>COUNTY</t>
  </si>
  <si>
    <t>FIPS</t>
  </si>
  <si>
    <t>Shaniko</t>
  </si>
  <si>
    <t>001</t>
  </si>
  <si>
    <t>003</t>
  </si>
  <si>
    <t>005</t>
  </si>
  <si>
    <t>007</t>
  </si>
  <si>
    <t>009</t>
  </si>
  <si>
    <t>011</t>
  </si>
  <si>
    <t>013</t>
  </si>
  <si>
    <t>Bridgeport</t>
  </si>
  <si>
    <t>015</t>
  </si>
  <si>
    <t>Haines</t>
  </si>
  <si>
    <t>017</t>
  </si>
  <si>
    <t>Halfway</t>
  </si>
  <si>
    <t>019</t>
  </si>
  <si>
    <t>Hereford</t>
  </si>
  <si>
    <t>Gilliam</t>
  </si>
  <si>
    <t>021</t>
  </si>
  <si>
    <t>Oxbow</t>
  </si>
  <si>
    <t>023</t>
  </si>
  <si>
    <t>Richland</t>
  </si>
  <si>
    <t>025</t>
  </si>
  <si>
    <t>Sumpter</t>
  </si>
  <si>
    <t>027</t>
  </si>
  <si>
    <t>Unity</t>
  </si>
  <si>
    <t>029</t>
  </si>
  <si>
    <t>Durkee</t>
  </si>
  <si>
    <t>031</t>
  </si>
  <si>
    <t>Huntington</t>
  </si>
  <si>
    <t>033</t>
  </si>
  <si>
    <t>Alsea</t>
  </si>
  <si>
    <t>035</t>
  </si>
  <si>
    <t>Blodgett</t>
  </si>
  <si>
    <t>037</t>
  </si>
  <si>
    <t>039</t>
  </si>
  <si>
    <t>041</t>
  </si>
  <si>
    <t>043</t>
  </si>
  <si>
    <t>045</t>
  </si>
  <si>
    <t>Philomath</t>
  </si>
  <si>
    <t>047</t>
  </si>
  <si>
    <t>Monroe</t>
  </si>
  <si>
    <t>Morrow</t>
  </si>
  <si>
    <t>049</t>
  </si>
  <si>
    <t>Beavercreek</t>
  </si>
  <si>
    <t>051</t>
  </si>
  <si>
    <t>Boring</t>
  </si>
  <si>
    <t>053</t>
  </si>
  <si>
    <t>Brightwood</t>
  </si>
  <si>
    <t>Sherman</t>
  </si>
  <si>
    <t>055</t>
  </si>
  <si>
    <t>057</t>
  </si>
  <si>
    <t>059</t>
  </si>
  <si>
    <t>Colton</t>
  </si>
  <si>
    <t>061</t>
  </si>
  <si>
    <t>Eagle Creek</t>
  </si>
  <si>
    <t>063</t>
  </si>
  <si>
    <t>065</t>
  </si>
  <si>
    <t>Gladstone</t>
  </si>
  <si>
    <t>067</t>
  </si>
  <si>
    <t>Government Camp</t>
  </si>
  <si>
    <t>Wheeler</t>
  </si>
  <si>
    <t>069</t>
  </si>
  <si>
    <t>Lake Oswego</t>
  </si>
  <si>
    <t>071</t>
  </si>
  <si>
    <t>Marylhurst</t>
  </si>
  <si>
    <t>Molalla</t>
  </si>
  <si>
    <t>Mulino</t>
  </si>
  <si>
    <t>Rhododendron</t>
  </si>
  <si>
    <t>Sandy</t>
  </si>
  <si>
    <t>Welches</t>
  </si>
  <si>
    <t>West Linn</t>
  </si>
  <si>
    <t>Wilsonville</t>
  </si>
  <si>
    <t>Arch Cape</t>
  </si>
  <si>
    <t>Cannon Beach</t>
  </si>
  <si>
    <t>Hammond</t>
  </si>
  <si>
    <t>Seaside</t>
  </si>
  <si>
    <t>Tolovana Park</t>
  </si>
  <si>
    <t>Clatskanie</t>
  </si>
  <si>
    <t>Columbia City</t>
  </si>
  <si>
    <t>Rainier</t>
  </si>
  <si>
    <t>Saint Helens</t>
  </si>
  <si>
    <t>Warren</t>
  </si>
  <si>
    <t>Deer Island</t>
  </si>
  <si>
    <t>Scappoose</t>
  </si>
  <si>
    <t>Vernonia</t>
  </si>
  <si>
    <t>Allegany</t>
  </si>
  <si>
    <t>Bandon</t>
  </si>
  <si>
    <t>Broadbent</t>
  </si>
  <si>
    <t>Coos Bay</t>
  </si>
  <si>
    <t>Coquille</t>
  </si>
  <si>
    <t>Lakeside</t>
  </si>
  <si>
    <t>Myrtle Point</t>
  </si>
  <si>
    <t>Powers</t>
  </si>
  <si>
    <t>Paulina</t>
  </si>
  <si>
    <t>Post</t>
  </si>
  <si>
    <t>Powell Butte</t>
  </si>
  <si>
    <t>Agness</t>
  </si>
  <si>
    <t>Brookings</t>
  </si>
  <si>
    <t>Langlois</t>
  </si>
  <si>
    <t>Ophir</t>
  </si>
  <si>
    <t>Port Orford</t>
  </si>
  <si>
    <t>Sixes</t>
  </si>
  <si>
    <t>Wedderburn</t>
  </si>
  <si>
    <t>Brothers</t>
  </si>
  <si>
    <t>La Pine</t>
  </si>
  <si>
    <t>Sisters</t>
  </si>
  <si>
    <t>Azalea</t>
  </si>
  <si>
    <t>Camas Valley</t>
  </si>
  <si>
    <t>Canyonville</t>
  </si>
  <si>
    <t>Curtin</t>
  </si>
  <si>
    <t>Days Creek</t>
  </si>
  <si>
    <t>Dillard</t>
  </si>
  <si>
    <t>Drain</t>
  </si>
  <si>
    <t>Elkton</t>
  </si>
  <si>
    <t>Gardiner</t>
  </si>
  <si>
    <t>Glendale</t>
  </si>
  <si>
    <t>Glide</t>
  </si>
  <si>
    <t>Idleyld Park</t>
  </si>
  <si>
    <t>Myrtle Creek</t>
  </si>
  <si>
    <t>Oakland</t>
  </si>
  <si>
    <t>Riddle</t>
  </si>
  <si>
    <t>Scottsburg</t>
  </si>
  <si>
    <t>Sutherlin</t>
  </si>
  <si>
    <t>Tenmile</t>
  </si>
  <si>
    <t>Tiller</t>
  </si>
  <si>
    <t>Umpqua</t>
  </si>
  <si>
    <t>Wilbur</t>
  </si>
  <si>
    <t>Winchester</t>
  </si>
  <si>
    <t>Winston</t>
  </si>
  <si>
    <t>Yoncalla</t>
  </si>
  <si>
    <t>Arlington</t>
  </si>
  <si>
    <t>Condon</t>
  </si>
  <si>
    <t>Mikkalo</t>
  </si>
  <si>
    <t>Bates</t>
  </si>
  <si>
    <t>Canyon City</t>
  </si>
  <si>
    <t>Dayville</t>
  </si>
  <si>
    <t>Kimberly</t>
  </si>
  <si>
    <t>Long Creek</t>
  </si>
  <si>
    <t>Monument</t>
  </si>
  <si>
    <t>Mount Vernon</t>
  </si>
  <si>
    <t>Prairie City</t>
  </si>
  <si>
    <t>Seneca</t>
  </si>
  <si>
    <t>Fields</t>
  </si>
  <si>
    <t>Princeton</t>
  </si>
  <si>
    <t>Diamond</t>
  </si>
  <si>
    <t>Crane</t>
  </si>
  <si>
    <t>Frenchglen</t>
  </si>
  <si>
    <t>Hines</t>
  </si>
  <si>
    <t>Riley</t>
  </si>
  <si>
    <t>Drewsey</t>
  </si>
  <si>
    <t>Cascade Locks</t>
  </si>
  <si>
    <t>Mount Hood Parkdale</t>
  </si>
  <si>
    <t>Odell</t>
  </si>
  <si>
    <t>Central Point</t>
  </si>
  <si>
    <t>Butte Falls</t>
  </si>
  <si>
    <t>Eagle Point</t>
  </si>
  <si>
    <t>Gold Hill</t>
  </si>
  <si>
    <t>Jacksonville</t>
  </si>
  <si>
    <t>Phoenix</t>
  </si>
  <si>
    <t>Prospect</t>
  </si>
  <si>
    <t>Rogue River</t>
  </si>
  <si>
    <t>Shady Cove</t>
  </si>
  <si>
    <t>Talent</t>
  </si>
  <si>
    <t>Trail</t>
  </si>
  <si>
    <t>Ashwood</t>
  </si>
  <si>
    <t>Camp Sherman</t>
  </si>
  <si>
    <t>Culver</t>
  </si>
  <si>
    <t>Terrebonne</t>
  </si>
  <si>
    <t>Wolf Creek</t>
  </si>
  <si>
    <t>Kerby</t>
  </si>
  <si>
    <t>Merlin</t>
  </si>
  <si>
    <t>Murphy</t>
  </si>
  <si>
    <t>O Brien</t>
  </si>
  <si>
    <t>Selma</t>
  </si>
  <si>
    <t>Wilderville</t>
  </si>
  <si>
    <t>Williams</t>
  </si>
  <si>
    <t>Crescent Lake</t>
  </si>
  <si>
    <t>Crater Lake</t>
  </si>
  <si>
    <t>Beatty</t>
  </si>
  <si>
    <t>Bly</t>
  </si>
  <si>
    <t>Bonanza</t>
  </si>
  <si>
    <t>Chiloquin</t>
  </si>
  <si>
    <t>Dairy</t>
  </si>
  <si>
    <t>Fort Klamath</t>
  </si>
  <si>
    <t>Keno</t>
  </si>
  <si>
    <t>Malin</t>
  </si>
  <si>
    <t>Merrill</t>
  </si>
  <si>
    <t>Midland</t>
  </si>
  <si>
    <t>Sprague River</t>
  </si>
  <si>
    <t>Chemult</t>
  </si>
  <si>
    <t>Crescent</t>
  </si>
  <si>
    <t>Gilchrist</t>
  </si>
  <si>
    <t>Adel</t>
  </si>
  <si>
    <t>New Pine Creek</t>
  </si>
  <si>
    <t>Paisley</t>
  </si>
  <si>
    <t>Plush</t>
  </si>
  <si>
    <t>Silver Lake</t>
  </si>
  <si>
    <t>Summer Lake</t>
  </si>
  <si>
    <t>Christmas Valley</t>
  </si>
  <si>
    <t>Fort Rock</t>
  </si>
  <si>
    <t>Alvadore</t>
  </si>
  <si>
    <t>Blachly</t>
  </si>
  <si>
    <t>Blue River</t>
  </si>
  <si>
    <t>Cheshire</t>
  </si>
  <si>
    <t>Creswell</t>
  </si>
  <si>
    <t>Culp Creek</t>
  </si>
  <si>
    <t>Deadwood</t>
  </si>
  <si>
    <t>Dexter</t>
  </si>
  <si>
    <t>Dorena</t>
  </si>
  <si>
    <t>Elmira</t>
  </si>
  <si>
    <t>Fall Creek</t>
  </si>
  <si>
    <t>Junction City</t>
  </si>
  <si>
    <t>Lorane</t>
  </si>
  <si>
    <t>Lowell</t>
  </si>
  <si>
    <t>Mapleton</t>
  </si>
  <si>
    <t>Marcola</t>
  </si>
  <si>
    <t>Pleasant Hill</t>
  </si>
  <si>
    <t>Noti</t>
  </si>
  <si>
    <t>Oakridge</t>
  </si>
  <si>
    <t>Saginaw</t>
  </si>
  <si>
    <t>Swisshome</t>
  </si>
  <si>
    <t>Thurston</t>
  </si>
  <si>
    <t>Veneta</t>
  </si>
  <si>
    <t>Vida</t>
  </si>
  <si>
    <t>Walterville</t>
  </si>
  <si>
    <t>Walton</t>
  </si>
  <si>
    <t>Westfir</t>
  </si>
  <si>
    <t>Westlake</t>
  </si>
  <si>
    <t>Depoe Bay</t>
  </si>
  <si>
    <t>Eddyville</t>
  </si>
  <si>
    <t>Logsden</t>
  </si>
  <si>
    <t>Neotsu</t>
  </si>
  <si>
    <t>South Beach</t>
  </si>
  <si>
    <t>Lincoln City</t>
  </si>
  <si>
    <t>Otis</t>
  </si>
  <si>
    <t>Otter Rock</t>
  </si>
  <si>
    <t>Rose Lodge</t>
  </si>
  <si>
    <t>Seal Rock</t>
  </si>
  <si>
    <t>Siletz</t>
  </si>
  <si>
    <t>Gleneden Beach</t>
  </si>
  <si>
    <t>Tidewater</t>
  </si>
  <si>
    <t>Waldport</t>
  </si>
  <si>
    <t>Yachats</t>
  </si>
  <si>
    <t>Brownsville</t>
  </si>
  <si>
    <t>Cascadia</t>
  </si>
  <si>
    <t>Crabtree</t>
  </si>
  <si>
    <t>Crawfordsville</t>
  </si>
  <si>
    <t>Foster</t>
  </si>
  <si>
    <t>Halsey</t>
  </si>
  <si>
    <t>Lyons</t>
  </si>
  <si>
    <t>Mill City</t>
  </si>
  <si>
    <t>Scio</t>
  </si>
  <si>
    <t>Shedd</t>
  </si>
  <si>
    <t>Sweet Home</t>
  </si>
  <si>
    <t>Tangent</t>
  </si>
  <si>
    <t>Harrisburg</t>
  </si>
  <si>
    <t>Adrian</t>
  </si>
  <si>
    <t>Arock</t>
  </si>
  <si>
    <t>Brogan</t>
  </si>
  <si>
    <t>Harper</t>
  </si>
  <si>
    <t>Ironside</t>
  </si>
  <si>
    <t>Jamieson</t>
  </si>
  <si>
    <t>Jordan Valley</t>
  </si>
  <si>
    <t>Juntura</t>
  </si>
  <si>
    <t>Nyssa</t>
  </si>
  <si>
    <t>Riverside</t>
  </si>
  <si>
    <t>Vale</t>
  </si>
  <si>
    <t>Westfall</t>
  </si>
  <si>
    <t>Aurora</t>
  </si>
  <si>
    <t>Donald</t>
  </si>
  <si>
    <t>Gervais</t>
  </si>
  <si>
    <t>Hubbard</t>
  </si>
  <si>
    <t>Saint Paul</t>
  </si>
  <si>
    <t>Keizer</t>
  </si>
  <si>
    <t>Aumsville</t>
  </si>
  <si>
    <t>Detroit</t>
  </si>
  <si>
    <t>Gates</t>
  </si>
  <si>
    <t>Idanha</t>
  </si>
  <si>
    <t>Mount Angel</t>
  </si>
  <si>
    <t>Saint Benedict</t>
  </si>
  <si>
    <t>Scotts Mills</t>
  </si>
  <si>
    <t>Silverton</t>
  </si>
  <si>
    <t>Stayton</t>
  </si>
  <si>
    <t>Mehama</t>
  </si>
  <si>
    <t>Turner</t>
  </si>
  <si>
    <t>Heppner</t>
  </si>
  <si>
    <t>Lexington</t>
  </si>
  <si>
    <t>Ione</t>
  </si>
  <si>
    <t>Irrigon</t>
  </si>
  <si>
    <t>Bridal Veil</t>
  </si>
  <si>
    <t>Corbett</t>
  </si>
  <si>
    <t>Fairview</t>
  </si>
  <si>
    <t>Troutdale</t>
  </si>
  <si>
    <t>Falls City</t>
  </si>
  <si>
    <t>Grand Ronde</t>
  </si>
  <si>
    <t>Independence</t>
  </si>
  <si>
    <t>Monmouth</t>
  </si>
  <si>
    <t>Rickreall</t>
  </si>
  <si>
    <t>Grass Valley</t>
  </si>
  <si>
    <t>Kent</t>
  </si>
  <si>
    <t>Moro</t>
  </si>
  <si>
    <t>Rufus</t>
  </si>
  <si>
    <t>Bay City</t>
  </si>
  <si>
    <t>Beaver</t>
  </si>
  <si>
    <t>Cloverdale</t>
  </si>
  <si>
    <t>Garibaldi</t>
  </si>
  <si>
    <t>Hebo</t>
  </si>
  <si>
    <t>Manzanita</t>
  </si>
  <si>
    <t>Nehalem</t>
  </si>
  <si>
    <t>Oceanside</t>
  </si>
  <si>
    <t>Pacific City</t>
  </si>
  <si>
    <t>Rockaway Beach</t>
  </si>
  <si>
    <t>Netarts</t>
  </si>
  <si>
    <t>Neskowin</t>
  </si>
  <si>
    <t>Adams</t>
  </si>
  <si>
    <t>Athena</t>
  </si>
  <si>
    <t>Echo</t>
  </si>
  <si>
    <t>Helix</t>
  </si>
  <si>
    <t>Meacham</t>
  </si>
  <si>
    <t>Milton Freewater</t>
  </si>
  <si>
    <t>Pilot Rock</t>
  </si>
  <si>
    <t>Stanfield</t>
  </si>
  <si>
    <t>Ukiah</t>
  </si>
  <si>
    <t>Weston</t>
  </si>
  <si>
    <t>Cove</t>
  </si>
  <si>
    <t>Elgin</t>
  </si>
  <si>
    <t>Imbler</t>
  </si>
  <si>
    <t>North Powder</t>
  </si>
  <si>
    <t>Summerville</t>
  </si>
  <si>
    <t>Imnaha</t>
  </si>
  <si>
    <t>Joseph</t>
  </si>
  <si>
    <t>Lostine</t>
  </si>
  <si>
    <t>Antelope</t>
  </si>
  <si>
    <t>Dufur</t>
  </si>
  <si>
    <t>Maupin</t>
  </si>
  <si>
    <t>Mosier</t>
  </si>
  <si>
    <t>Tygh Valley</t>
  </si>
  <si>
    <t>Tualatin</t>
  </si>
  <si>
    <t>Banks</t>
  </si>
  <si>
    <t>Buxton</t>
  </si>
  <si>
    <t>Cornelius</t>
  </si>
  <si>
    <t>Forest Grove</t>
  </si>
  <si>
    <t>Gales Creek</t>
  </si>
  <si>
    <t>Gaston</t>
  </si>
  <si>
    <t>Manning</t>
  </si>
  <si>
    <t>North Plains</t>
  </si>
  <si>
    <t>Sherwood</t>
  </si>
  <si>
    <t>Timber</t>
  </si>
  <si>
    <t>Mitchell</t>
  </si>
  <si>
    <t>Fossil</t>
  </si>
  <si>
    <t>Spray</t>
  </si>
  <si>
    <t>Amity</t>
  </si>
  <si>
    <t>Carlton</t>
  </si>
  <si>
    <t>Dayton</t>
  </si>
  <si>
    <t>Dundee</t>
  </si>
  <si>
    <t>Lafayette</t>
  </si>
  <si>
    <t>Newberg</t>
  </si>
  <si>
    <t>Sheridan</t>
  </si>
  <si>
    <t>Willamina</t>
  </si>
  <si>
    <t>Do not Delete</t>
  </si>
  <si>
    <t>600 NE 8th St</t>
  </si>
  <si>
    <t>Rm 100</t>
  </si>
  <si>
    <t>(503) 988-3840</t>
  </si>
  <si>
    <t>(503) 988-5676</t>
  </si>
  <si>
    <t>(503) 988-5480</t>
  </si>
  <si>
    <t>(503) 988-3490</t>
  </si>
  <si>
    <t>(541) 682-4038</t>
  </si>
  <si>
    <t>(541) 682-7820</t>
  </si>
  <si>
    <t>97102, 97103, 97110, 97121, 97138, 97145, 97146</t>
  </si>
  <si>
    <t>97107, 97108, 97112, 97118, 97122, 97130, 97131, 97134, 97135, 97136, 97141, 97143, 97147, 97149, 97364, 97372</t>
  </si>
  <si>
    <t>97211, 97217, 97227, 97296</t>
  </si>
  <si>
    <t>97203, 97211, 97212, 97213, 97217, 97218, 97227, 97232, 97238, 97283, 97290, 97296</t>
  </si>
  <si>
    <t>97101, 97111, 97114, 97115, 97128, 97132, 97148, 97127, 97378</t>
  </si>
  <si>
    <t>97406, 97415, 97444, 97450, 97464, 97465, 97476, 97491</t>
  </si>
  <si>
    <t>97520, 97535, 97540</t>
  </si>
  <si>
    <t>97001, 97037, 97057, 97711, 97734, 97741, 97761, 97830</t>
  </si>
  <si>
    <t>97601, 97602, 97603, 97604, 97620, 97621, 97622, 97623, 97624, 97625, 97626, 97627, 97630, 97632, 97633, 97634, 97635, 97636, 97637, 97639, 97640</t>
  </si>
  <si>
    <t>97801, 97810, 97835, 97868, 97880</t>
  </si>
  <si>
    <t>97801, 97810, 97813, 97835, 97862, 97886, 97868, 97880</t>
  </si>
  <si>
    <t>97062, 97140, 97223, 97224, 97281</t>
  </si>
  <si>
    <t>97301, 97305, 97308, 97309, 97311, 97312, 97314, 97381</t>
  </si>
  <si>
    <t>(971) 673-5504</t>
  </si>
  <si>
    <t>97501, 97502, 97503, 97504, 97520, 97522, 97524, 97525, 97530, 97535, 97536, 97539, 97540, 97541</t>
  </si>
  <si>
    <t>All branches updated so that a zip code is associated with at least one SSP &amp; APD office.  This was a major undertaking.  45% of zip codes only associated to one branch.  In five cases, a zip code associated to either two SSP or APD offices.  All zip codes now correctly associate across both office types.
St Johns (2601) Fax # updated per request from field.</t>
  </si>
  <si>
    <t>^Lane</t>
  </si>
  <si>
    <t>DV Lead 1</t>
  </si>
  <si>
    <t>DV Lead 3</t>
  </si>
  <si>
    <t>DV Lead 2</t>
  </si>
  <si>
    <t>DV Lead Email 1</t>
  </si>
  <si>
    <t>DV Lead Email 2</t>
  </si>
  <si>
    <t>DV Lead Email 3</t>
  </si>
  <si>
    <t>20U</t>
  </si>
  <si>
    <t>21V</t>
  </si>
  <si>
    <t>22W</t>
  </si>
  <si>
    <t>23X</t>
  </si>
  <si>
    <t>24Y</t>
  </si>
  <si>
    <t>25Z</t>
  </si>
  <si>
    <t>^2020</t>
  </si>
  <si>
    <t>2020 - Cottage Grove AAA SFO</t>
  </si>
  <si>
    <t>DV Lead 4</t>
  </si>
  <si>
    <t>DV Lead 5</t>
  </si>
  <si>
    <t>DV Lead Email 4</t>
  </si>
  <si>
    <t>DV Lead Email 5</t>
  </si>
  <si>
    <t>26AA</t>
  </si>
  <si>
    <t>27AB</t>
  </si>
  <si>
    <t>28AC</t>
  </si>
  <si>
    <t>29AD</t>
  </si>
  <si>
    <t>Branch Address</t>
  </si>
  <si>
    <t>Branch Contact Information</t>
  </si>
  <si>
    <t>Happy Valley</t>
  </si>
  <si>
    <t>1A</t>
  </si>
  <si>
    <t>2B</t>
  </si>
  <si>
    <t>Validation Tables</t>
  </si>
  <si>
    <t>Verified and corrected all case transfer emails.</t>
  </si>
  <si>
    <t>Finished logic design to allow for searching branches by whole districts.
Finished conditional formatting for new UI layout.</t>
  </si>
  <si>
    <t>Request to add DV point contact information.  This was done by adding a third column on the UI and adding columns AP through AY.  Column R was added for the third column reference formulas.
UI layout was redesigned to six rows per result section to accommodate third column for DV point contact information.
Conditional formatting done to H6 for district number accommodation.  Formatting includes numbers in length of 1 or 2 characters will display as such, while branch office codes will still display as 0000.
Klamath Falls APD &amp; SSP fax numbers updated.
Corrected 0811, 3518 case transfer email.</t>
  </si>
  <si>
    <t>Branch name, branch number, district number, county, city or ZIP:</t>
  </si>
  <si>
    <t>Finalized adding four additional rows in the UI.
Corrected forumlas in V column to reference the city column (AK) to pull results for a city query.  Branch name (column Y) can still be queried however city takes precedence in the logic.
Also built in county querying logic.  Logic to query by district still needs to be built.</t>
  </si>
  <si>
    <t>APD</t>
  </si>
  <si>
    <t>SSP</t>
  </si>
  <si>
    <t xml:space="preserve">0411 - Warrenton </t>
  </si>
  <si>
    <t>AAA Senior &amp; Disability Services (NWSDS)</t>
  </si>
  <si>
    <t xml:space="preserve">2911 - Tillamook </t>
  </si>
  <si>
    <t xml:space="preserve">1911 - Woodburn </t>
  </si>
  <si>
    <t xml:space="preserve">2411 - Salem </t>
  </si>
  <si>
    <t xml:space="preserve">2711 - Dallas </t>
  </si>
  <si>
    <t>AAA Aging &amp; Disability (NWSDS)</t>
  </si>
  <si>
    <t xml:space="preserve">3617 - McMinnville </t>
  </si>
  <si>
    <t xml:space="preserve">1017 - Roseburg </t>
  </si>
  <si>
    <t xml:space="preserve">1501 - Medford </t>
  </si>
  <si>
    <t xml:space="preserve">1502 - Ashland </t>
  </si>
  <si>
    <t xml:space="preserve">1505 - White City </t>
  </si>
  <si>
    <t xml:space="preserve">1513 - Medford </t>
  </si>
  <si>
    <t xml:space="preserve">1517 - Medford </t>
  </si>
  <si>
    <t xml:space="preserve">1701 - Grants Pass </t>
  </si>
  <si>
    <t xml:space="preserve">1702 - Cave Junction </t>
  </si>
  <si>
    <t xml:space="preserve">1717 - Grants Pass </t>
  </si>
  <si>
    <t xml:space="preserve">0911 - Bend </t>
  </si>
  <si>
    <t xml:space="preserve">0913 - La Pine </t>
  </si>
  <si>
    <t xml:space="preserve">0914 - Redmond </t>
  </si>
  <si>
    <t xml:space="preserve">1611 - Prineville </t>
  </si>
  <si>
    <t xml:space="preserve">1612 - Madras </t>
  </si>
  <si>
    <t xml:space="preserve">1811 - Klamath Falls/Lakeview </t>
  </si>
  <si>
    <t xml:space="preserve">0111 - Baker City </t>
  </si>
  <si>
    <t xml:space="preserve">3111 - La Grande </t>
  </si>
  <si>
    <t xml:space="preserve">3112 - Enterprise </t>
  </si>
  <si>
    <t xml:space="preserve">1211 - John Day </t>
  </si>
  <si>
    <t xml:space="preserve">1311 - Burns </t>
  </si>
  <si>
    <t xml:space="preserve">2311 - Ontario </t>
  </si>
  <si>
    <t xml:space="preserve">0314 - Estacada </t>
  </si>
  <si>
    <t xml:space="preserve">3401 - Beaverton </t>
  </si>
  <si>
    <t xml:space="preserve">3402 - Hillsboro </t>
  </si>
  <si>
    <t xml:space="preserve">3403 - Tigard </t>
  </si>
  <si>
    <t xml:space="preserve">3411 - Hillsboro </t>
  </si>
  <si>
    <t xml:space="preserve">3415 - Tigard </t>
  </si>
  <si>
    <t xml:space="preserve">3417 - Beaverton </t>
  </si>
  <si>
    <t xml:space="preserve">1418 - Southeast Portland </t>
  </si>
  <si>
    <t xml:space="preserve">2518 - West Portland </t>
  </si>
  <si>
    <t xml:space="preserve">2818 - North/Northeast Portland </t>
  </si>
  <si>
    <t xml:space="preserve">3515 - Portland (Mid Area) </t>
  </si>
  <si>
    <t xml:space="preserve">3518 - Gresham/East Multnomah </t>
  </si>
  <si>
    <t xml:space="preserve">2111 - Toledo/Lincoln Co. </t>
  </si>
  <si>
    <t xml:space="preserve">2211 - Albany </t>
  </si>
  <si>
    <t>Changed the office naming convention to better highlight an SSP vs. APD vs. AAA office.  Required removing SFO DHS from every office in column Z and reassigning the name (AAA NWSDS) to column Y as well as identifying each office as either AAA, APD or SSP in column Y.
Updated 3417 Fax # per request.</t>
  </si>
  <si>
    <t>Added 97086 ZIP, City, County &amp; FIPS information.
Updated to version 6.  Removed concantenate logic and replaced with standard database design (vlookup, xlookup) which consolidated the whole table into columns U-X.  Logic for validation field (D5, 6 &amp; 9) is now housed in the respective row and column above the table.
Validation tables moved to columns Z &amp; AA.</t>
  </si>
  <si>
    <t>DV Lead Email 6</t>
  </si>
  <si>
    <t>DV Lead 6</t>
  </si>
  <si>
    <t>30AE</t>
  </si>
  <si>
    <t>Added sixth column for TADVS point person name and email address.  Added person #6 for D9 SSP offices.</t>
  </si>
  <si>
    <t>DV Lead Email 7</t>
  </si>
  <si>
    <t>DV Lead 7</t>
  </si>
  <si>
    <t>31AF</t>
  </si>
  <si>
    <t>32AG</t>
  </si>
  <si>
    <t>33AH</t>
  </si>
  <si>
    <t>DV Lead 8</t>
  </si>
  <si>
    <t>Added 7th column for TADVS point person name and email address.  Updated all D2 SSP offices per TADVS policy analyst request.</t>
  </si>
  <si>
    <t>Finalized adding 8th column for TADVS point person name &amp; email address.  Established with TADVS policy analysts that eight names would be the upper limit of the range that a single office can have.</t>
  </si>
  <si>
    <t>Updated #4 TADVS Contact person name and email address at 1401 as well as #2 TADVS contact person and email address at 1501.</t>
  </si>
  <si>
    <t>Corrected 2111 &amp; 2211 phone, fax and case transfer email addresses per request.
Corrected 1017 case transfer email address per request.
Corrected 3201 phone &amp; fax numbers per request.</t>
  </si>
  <si>
    <t>Per request, removed zip code 97420 from 2002 &amp; 2011 as it is already correctly associated with 0601 &amp; 0611.
Per request, added 97502 to 1505.
Removed 97304 from 2711 per request.</t>
  </si>
  <si>
    <t>0304 - Oregon City VEC</t>
  </si>
  <si>
    <t>1003 - Roseburg VEC</t>
  </si>
  <si>
    <t>3303 - The Dalles VEC</t>
  </si>
  <si>
    <t>1604 - Warm Springs VEC</t>
  </si>
  <si>
    <t>Per request, changed 97219 from 3403 to 1402.
Per request, changed 97220 from 3501 to 2801.
Updated TADVS contacts #'s 3 &amp; 4 for branch 3403.
Per request, changed 97236 from 3501 to 1401.
Per request, added 97424 to branch 1017.</t>
  </si>
  <si>
    <t>97014, 97031, 97037, 97040, 97041, 97044, 97057, 97750</t>
  </si>
  <si>
    <t>97021, 97029, 97033, 97037, 97039, 97050, 97057, 97058, 97063, 97065, 97750, 97812, 97823, 97861</t>
  </si>
  <si>
    <t>Count of instance of City &amp; Zip Code relationship</t>
  </si>
  <si>
    <t>Count of instance of County &amp; Zip Code relationship</t>
  </si>
  <si>
    <t>Selection (C7)</t>
  </si>
  <si>
    <t>ROW</t>
  </si>
  <si>
    <t xml:space="preserve">190 W Ellendale Ave </t>
  </si>
  <si>
    <t>Enter a Zip Code:</t>
  </si>
  <si>
    <t>Select a City or County:</t>
  </si>
  <si>
    <t>97321, 97322, 97348, 97352, 97374, 97377, 97389, 97446</t>
  </si>
  <si>
    <t>Change Notes 12/22/20</t>
  </si>
  <si>
    <t xml:space="preserve">2011 - Eugene Lane Council of Govts </t>
  </si>
  <si>
    <t>97620, 97622, 97630, 97635, 97636, 97637, 97638, 97640, 97641, 97735</t>
  </si>
  <si>
    <t>97106, 97109, 97113, 97116, 97117, 97119, 97123, 97124, 97125, 97133, 97144, 97129</t>
  </si>
  <si>
    <t>Result Counter</t>
  </si>
  <si>
    <t>Version Label</t>
  </si>
  <si>
    <t>ZIPS and FIPs</t>
  </si>
  <si>
    <t>97402, 97409, 97412, 97419, 97437, 97440, 97461, 97487, 97490</t>
  </si>
  <si>
    <t>Added 5 columns to the UI (D-I on the left hand side) which pushed out all the columns to the right.
Consolidated the City &amp; County fields into a single validation field.  This Selection validation table was added to column AF.  Redesigned the rules engine to accommodate this consolidation.  Moved the rules engine to columns S-W and added rows 7-70 to accommodate all possible values depending on city or county selection.  Zip Code selection remains separate from City &amp; County.  
Milwaukie was added as a city association for zip codes 97222 &amp; 97267. 
FIPS was moved from the right hand side of th UI to the left hand side - column 1.  No change was made to the database layout.  FIPS remains as column 4.
Added result counter to render how many results a value returns.  This appears in H8 on the UI and is calculated in cell S2.
Added version label at C2 for faster viewing rather than scrolling down to the bottom of the UI.  Both version labels (C2 &amp; C70) now reference W2.
Froze panes at C7.
Changed text for C71 emailing instructions.</t>
  </si>
  <si>
    <t>Updated contact message to show group name.
Added Version Label at H34 for reference in cells C2 &amp; C30.</t>
  </si>
  <si>
    <t>Change Notes 04/05/21 - 04/22/21 v 6.2.2</t>
  </si>
  <si>
    <t>Change Notes 04/27/21 v 6.2.3</t>
  </si>
  <si>
    <t>97020, 97026, 97032, 97038, 97071, 97137, 97362, 97373, 97375</t>
  </si>
  <si>
    <t>97304, 97338, 97344, 97347, 97351, 97361, 97371, 97396</t>
  </si>
  <si>
    <t>Added 97037, 97057 &amp; 97750 to all D9 offices per request.
Per request, associated 97004 to 0311 and removed from 0314.
Per request, associated 97038 to 0310 and removed from 1911.
Per request, removed 97080 from 0314.
Per request, associated 97361 to 2701.  Removed from 2201.
Per request, associated 97304 to 2701.  Removed from 2401.
Added results counter in cell P5.  This value displays on the UI below the value input field (cell I7) to show at a quick glance the number of results based on the entry.
Removed and added new DV contacts #'s 1 &amp; 3 for 0701.
Removed 97467 from 3201 &amp; 3211 and reassigned to 0601 &amp; 0611 per request.
Added 97446 to 2211.  Removed from 2011 per request.
Added 97119 to 3402 &amp; 3411.  This was a noted absence on the Branches tab.  This value is present on the ZIPs &amp; FIPs tab.
Per request, removed 97015 from 0314 and associated it with 0311.
Per request, removed 97404 &amp; 97405 from 2002 and associated them to 2001.
Updated contact message to include search name for SSP BA group.
Per request, removed 97638, 97461 &amp; 97735  from 0903 and associated them to 1802.
Per request, corrected fax number for 1017.
Removed 97120 from 3402 &amp; 3411 as it is not a valid zip code.
Added release stamp in cell M2 so that it can be more easily viewed rather than scrolling all the way to the bottom of the UI.  Both M2 &amp; C75 now reference Q5.
Phone number for 3004 is corrected per request.
97419 is not associated to a branch.  Added 97419 to 2002 per request &amp; added to 2011 AAA due to geographic proximity.</t>
  </si>
  <si>
    <t>Per request, added TADVS contact Melissa Prettyman to all D3 SSP offices.
Per request, associated 97371 to 2701 &amp; 2711.  Removed from 1901 &amp; 1911.</t>
  </si>
  <si>
    <t>Change Notes 05/11/21 v 6.2.4</t>
  </si>
  <si>
    <t>Per request, adjusted TADVS contact #1 in branch 2202.  Removed old contact and added new contact.</t>
  </si>
  <si>
    <t>Change Notes 02/11/21 v 6.2.1</t>
  </si>
  <si>
    <t>Change Notes 02/25/21 v 6.2.1</t>
  </si>
  <si>
    <t>Change Notes 03/01/21 v 6.2.1</t>
  </si>
  <si>
    <t>Change Notes 03/16/21 v 6.2.1</t>
  </si>
  <si>
    <t>Change Notes 03/22/21 v 6.2.1</t>
  </si>
  <si>
    <t>Change Notes 03/29/21 v 6.2.1</t>
  </si>
  <si>
    <t>Change Notes 05/20/21 v 6.2.5</t>
  </si>
  <si>
    <t>Per request, adjusted TADVS contact #1 in branch 1001.  Removed old contact and added new contact.</t>
  </si>
  <si>
    <t>97101, 97304, 97338, 97344, 97347, 97351, 97361, 97371, 97396</t>
  </si>
  <si>
    <t>Change Notes 06/02/21 v 6.2.6</t>
  </si>
  <si>
    <t>Per request, removed 97304 from 2411 &amp; 97306 from 2711.</t>
  </si>
  <si>
    <t>Per request, changed transfer email for branch 2002.</t>
  </si>
  <si>
    <t>Change Notes 06/08/21 v 6.3.0</t>
  </si>
  <si>
    <t>Change Notes 06/07/21 v 6.3.0</t>
  </si>
  <si>
    <t>Created new code and table sheet and updated the rules engine to account for column mapping changes.  This is done to better assist changes.  This sheet will remain hidden when not in use and cannot be accessed when protecting the workbook.  Tests demonstrate this will work.
Removed TADVS point person #'s 3, 4 &amp; 5 and moved #6 to the #3 position at 3301 &amp; 3302 per request.
Updated TADVS point person #3 at 2401 per request.</t>
  </si>
  <si>
    <t>34AI</t>
  </si>
  <si>
    <t>35AJ</t>
  </si>
  <si>
    <t>Change Notes 04/06/21 v 6.1.0</t>
  </si>
  <si>
    <t>Moved rules engine and database to a separate sheet to align with changes made for version 6.3.0 on the SSP APD AAA Branches sheet.  This will permit easier changes.  This sheet can be hidden when not in use and when protecting the workbook rather than hiding it on the same sheet as the UI.  Updated indirect function mapping to match the new column locations.</t>
  </si>
  <si>
    <t>Ste 220</t>
  </si>
  <si>
    <t>Wilson River Building 4670 3rd St</t>
  </si>
  <si>
    <t>2446 SE Ladd Ave</t>
  </si>
  <si>
    <t>3618 SE 122nd Ave</t>
  </si>
  <si>
    <t>177 SW Oak St</t>
  </si>
  <si>
    <t>368 NE Norton Lane</t>
  </si>
  <si>
    <t>4600 25th Ave NE</t>
  </si>
  <si>
    <t>118-SE 2nd Ave</t>
  </si>
  <si>
    <t>118-2nd Ave SE</t>
  </si>
  <si>
    <t>555 NW 5th</t>
  </si>
  <si>
    <t>119 NE 4th St</t>
  </si>
  <si>
    <t>Rm 5</t>
  </si>
  <si>
    <t>McKenzie Center 2885 Chad Dr</t>
  </si>
  <si>
    <t>Gateway Center 1040 Harlow Rd</t>
  </si>
  <si>
    <t>1937 W Harvard Ave</t>
  </si>
  <si>
    <t>2630 Frontage Rd</t>
  </si>
  <si>
    <t>Newmark Center 2110 Newmark Ave</t>
  </si>
  <si>
    <t>800 Cardley Ave</t>
  </si>
  <si>
    <t>726 NE 7th St</t>
  </si>
  <si>
    <t>909 Royal Court</t>
  </si>
  <si>
    <t>Rm 216</t>
  </si>
  <si>
    <t>103 S Main St</t>
  </si>
  <si>
    <t>PO Box 65</t>
  </si>
  <si>
    <t>Ste 230</t>
  </si>
  <si>
    <t>1135 SW Highland Ave</t>
  </si>
  <si>
    <t>678 NE Highway 97</t>
  </si>
  <si>
    <t>108 N E St</t>
  </si>
  <si>
    <t>950 SE Columbia</t>
  </si>
  <si>
    <t>103 SW Kinkade Ave</t>
  </si>
  <si>
    <t>PO Box 498</t>
  </si>
  <si>
    <t>800 SE Emigrant Ave</t>
  </si>
  <si>
    <t>PO Box A</t>
  </si>
  <si>
    <t>725 W Main</t>
  </si>
  <si>
    <t>Ste 3</t>
  </si>
  <si>
    <t>315 S Beaver Creek Rd</t>
  </si>
  <si>
    <t>315 S. Beavercreek Rd</t>
  </si>
  <si>
    <t>15625 SW Greystone Court</t>
  </si>
  <si>
    <t>5350 NE Elam Young Pky</t>
  </si>
  <si>
    <t>Malhuer</t>
  </si>
  <si>
    <t>District 1 Office (0559)</t>
  </si>
  <si>
    <t>Astoria (0450)</t>
  </si>
  <si>
    <t>St. Helens (0550)</t>
  </si>
  <si>
    <t>Tillamook (2950)</t>
  </si>
  <si>
    <t>District 2 Office (4259)</t>
  </si>
  <si>
    <t>East Child Welfare (4250)</t>
  </si>
  <si>
    <t>New Market (4950)</t>
  </si>
  <si>
    <t>Alberta (4450)</t>
  </si>
  <si>
    <t>Child Welfare Hotline (4850)</t>
  </si>
  <si>
    <t>Midtown (4350)</t>
  </si>
  <si>
    <t>Gresham (4750)</t>
  </si>
  <si>
    <t>District 3 Office (2459)</t>
  </si>
  <si>
    <t>Dallas (2750)</t>
  </si>
  <si>
    <t>McMinnville (3650)</t>
  </si>
  <si>
    <t>Salem (2450)</t>
  </si>
  <si>
    <t>District 4 Office (2259)</t>
  </si>
  <si>
    <t>Albany (2250)</t>
  </si>
  <si>
    <t>Corvallis (0250)</t>
  </si>
  <si>
    <t>Newport (2150)</t>
  </si>
  <si>
    <t>District 5 Office (2059)</t>
  </si>
  <si>
    <t>Eugene (2050)</t>
  </si>
  <si>
    <t>West Eugene Family Center (2051)</t>
  </si>
  <si>
    <t>Springfield (2052)</t>
  </si>
  <si>
    <t>District 6 Office (1059)</t>
  </si>
  <si>
    <t>Roseburg (1050)</t>
  </si>
  <si>
    <t>Reedsport (1050a)</t>
  </si>
  <si>
    <t>District 7 Office (0659)</t>
  </si>
  <si>
    <t>Coos Bay / North Bend (0650)</t>
  </si>
  <si>
    <t>Gold Beach (0850)</t>
  </si>
  <si>
    <t>District 8 Office (1559)</t>
  </si>
  <si>
    <t>Grants Pass (1750)</t>
  </si>
  <si>
    <t>Medford (1550)</t>
  </si>
  <si>
    <t>District 9 Office (3359)</t>
  </si>
  <si>
    <t>Condon Gilliam Co (1150)</t>
  </si>
  <si>
    <t>Condon Wheeler Co (3550)</t>
  </si>
  <si>
    <t>Condon Sherman Co (2850)</t>
  </si>
  <si>
    <t>Hood River (1450)</t>
  </si>
  <si>
    <t>The Dalles (3350)</t>
  </si>
  <si>
    <t>District 10 Office (1659)</t>
  </si>
  <si>
    <t>Bend (0950)</t>
  </si>
  <si>
    <t>Madras (1650)</t>
  </si>
  <si>
    <t>Prineville (0750)</t>
  </si>
  <si>
    <t>Redmond (0951)</t>
  </si>
  <si>
    <t>District 11 Office (1859)</t>
  </si>
  <si>
    <t>Klamath Falls (1850)</t>
  </si>
  <si>
    <t>Lakeview (1950)</t>
  </si>
  <si>
    <t>District 12 Office (3059)</t>
  </si>
  <si>
    <t>Boardman (2550)</t>
  </si>
  <si>
    <t>Hermiston (3051)</t>
  </si>
  <si>
    <t>Pendleton (3050)</t>
  </si>
  <si>
    <t>District 13 Office (0159)</t>
  </si>
  <si>
    <t>Baker City (0150)</t>
  </si>
  <si>
    <t>Enterprise (3250)</t>
  </si>
  <si>
    <t>La Grande (3150)</t>
  </si>
  <si>
    <t>District 14 Office (2359)</t>
  </si>
  <si>
    <t>Burns (1350)</t>
  </si>
  <si>
    <t>John Day (1250)</t>
  </si>
  <si>
    <t>Ontario (2350)</t>
  </si>
  <si>
    <t>District 15 Office (0359)</t>
  </si>
  <si>
    <t>North Clackamas (0351)</t>
  </si>
  <si>
    <t>Oregon City (0350)</t>
  </si>
  <si>
    <t>District 16 Office (3459)</t>
  </si>
  <si>
    <t>Beaverton (3451)</t>
  </si>
  <si>
    <t>Hillsboro (3450)</t>
  </si>
  <si>
    <t>CW</t>
  </si>
  <si>
    <t>Branch number, branch name, district number, county or city:</t>
  </si>
  <si>
    <t>STATEWIDE CHILD WELFARE OFFICE DIRECTORY</t>
  </si>
  <si>
    <t>Release Notes 06/10/21 v 6.3.0</t>
  </si>
  <si>
    <t>Release Notes 04/22/21 v 5.0.1</t>
  </si>
  <si>
    <t>Upgraded to version 6.  Implemented standard database design and removed old concantenate logic.  Implementing a more standard database design permits being able to build out a more expansive search engine.  Modeled design on SSP APD AAA design.  Built out columns V-AO.  CW page is less intensive as there is currently no branch/zip code associations.  Redesigned rules engine in columns V&amp;W to account for this shift.  UI was also redesigned to allow more results to display.  Column Q, which contained the logic for branch contact information was consolidated into column P, which housed the branch address information.  Moved version label and result counter above column P reference table. Writing these notes out before moving the whole rules engine and database to a separate sheet.  This is done to bring the CW page into 6.3 alignment with the other two sheets.
Moved database and code onto new spreadsheet title CW DB Code</t>
  </si>
  <si>
    <t>97202, 97206, 97236, 97242, 97266, 97282, 97286</t>
  </si>
  <si>
    <t>Removed TADVS point person #1 at 3601.  Moved point person #2 to #1 position and added #'s 2 &amp; 3 per request.
Removed TADVS point person #'s 1-5 at 3501.  Moved point person #6 to #1 position and added #2 per request.
Adjusted version update standard to correspond with the Thursday on which the updated version is released.  Dates when items are worked will continue to be reflected in the change notes.
Removed 97086 from 1401 per observation since that zip code is in D15.  Can be reinstated as requested/needed.</t>
  </si>
  <si>
    <t>Change Notes 06/30/21 - 07/01/21 v 6.3.1</t>
  </si>
  <si>
    <t>Change Notes 08/05/21 v 6.3.2</t>
  </si>
  <si>
    <t>Database</t>
  </si>
  <si>
    <t>Column Reference Table</t>
  </si>
  <si>
    <t>"Rules Engine" Table</t>
  </si>
  <si>
    <t>Per request, removed Estalla Gutierrez and Shavonne Brazzle from branch 2601.  Also added Kaylin Smith to branch 2601.
Per request, removed Heaven Hopkins from branch 2801.  Also added Omar Moalim to branch 2801.
(As I removed existing TADVS Point Persons, I shifted the remaining TADVS Point Persons up the row and added the new TADVS Point Persons to the next available slot toward the end of the row</t>
  </si>
  <si>
    <t>97035, 97086, 97206, 97222, 97267, 97268, 97269</t>
  </si>
  <si>
    <t>Per request, added 97206 to 0313.  This is a confirmed zip code association per D15 Zip Breakdown document shared by Annette Johnston.
Per request, corrected 2003 phone number from 542-042-9186 to 542-942-9186.  Confirmed correction on Self Sufficiency local office webpage.
Per request, changed 2518 phone number from 503-988-5460 to 503-988-3646.  Could not locate this branch in the Seniors &amp; People with Physical Disabilities Offices Local Offices page to confirm.
Added TADVS point person #5 to both 0302 &amp; 0303 per request.</t>
  </si>
  <si>
    <t>Change Notes 08/31/21 &amp; 09/02/21 v 6.3.4</t>
  </si>
  <si>
    <t>Change Notes 09/23/21 v 6.3.5</t>
  </si>
  <si>
    <t>Per request, removed TADVS point person #1 at 3501.  Shifted point person #2 into #1 position and added #'s 2-4.</t>
  </si>
  <si>
    <t>Change Notes 09/28/21 &amp; 10/06/21 v 6.3.6</t>
  </si>
  <si>
    <t>Formatted rules engine and column reference table formulas to be easier to read.  Conditional statements were blocked out on separate lines.
Per request, updated TADVS point person #1 contact, removing original name and adding a new name, and removed point person #4 at branch 3601.</t>
  </si>
  <si>
    <t>Change Notes 10/18/21 - 10/20/21 v 6.3.7</t>
  </si>
  <si>
    <t>Per request, removed TADVS point person contact #'s 1 &amp; 3 and added a new contact to position #1 at branch 2701.
Per request, added TADVS point person contact #6 to branches 0302 &amp; 0303.
Per request, removed TADVS point person contact #'s 1 &amp; 5 at branch 0701.  Adjusted #'s 2-4 &amp; 6 up a position to #'s 1-4.  Added point person # 5. 
Per request, added TADVS point person contact # 3 at branch 2601.
Per request, removed TADVS point person contact #'s 1 - 3 at branch 1402.  Added point person # 1.
Per request, removed TADVS point person contact #'s 1 &amp; 2 at branch 2801 and shifted # 3 to position #1.</t>
  </si>
  <si>
    <t>Per request, updated last name of TADVS point person # 2 at branch 1001.
Per request, removed TADVS point person # 3 and moved point person # 4 into the # 3 spot at branch 1001.
Per request, removed TADVS point person # 2 at branch 1502 and added a new TADVS point person in that spot.</t>
  </si>
  <si>
    <t>Change Notes 10/26/21 v 6.3.8</t>
  </si>
  <si>
    <t>Per request, corrected phone number for branch 2201.  Area code displayed 542 and needs to be 541.  Verified per office locator webpage.</t>
  </si>
  <si>
    <t>Per request, changed TADVS point person #2 at branch 3403.</t>
  </si>
  <si>
    <t>Change notes 11/03/21 v 6.3.9</t>
  </si>
  <si>
    <t>Change notes 11/30/21 v 6.3.10</t>
  </si>
  <si>
    <t>Added 97019 to branches 3501 &amp; 3518 as well as put all zip codes in numerical order at 3518.</t>
  </si>
  <si>
    <t>635 SE 223rd Ave</t>
  </si>
  <si>
    <t>Change Notes 12/14/21 v 6.3.11</t>
  </si>
  <si>
    <t>Added 3502 to the database based on information in de0094 received on 12/9.  Currently, it is outside the data range, but will be moved within the data range once a date for adding it to the zip matrix is identified.  There is currently still some information for the zip matrix which is missing such as branch email address and fax #.
Per request, removed and updated TADVS point person #1 at 2201.</t>
  </si>
  <si>
    <t>Release Notes 01/10/22 v 6.3.0</t>
  </si>
  <si>
    <t>Change Notes 01/13/22 v 6.3.12</t>
  </si>
  <si>
    <t>Updated TADVS contact person at 2801, per request.</t>
  </si>
  <si>
    <t>Added three TADVS contacs for 3502.  The three came from 3501 and need to be removed at the time of putting 3502 into the database.  
Per request, adding an additional TADVS scheduler for 3501 which will remain after 1/31 when the other three will be removed.
Added two TADVS contacts for 2801 - #'s 2 &amp; 3.</t>
  </si>
  <si>
    <t>Change Notes 08/23/21 v 6.3.3</t>
  </si>
  <si>
    <t>Change Notes 01/18/22 &amp; 01/19/22 v 6.3.13</t>
  </si>
  <si>
    <t>2005 - Cottage Grove VEC</t>
  </si>
  <si>
    <t>Release Notes 01/24/22 v 6.3.1</t>
  </si>
  <si>
    <t>Change Notes 01/24/22 v 6.3.13.1</t>
  </si>
  <si>
    <t>Added new 4750 address outsidef the table array.  New address takes effect 1/24 and will need to be released in the updated version 1/27.</t>
  </si>
  <si>
    <t xml:space="preserve">Updated branch 4750 address.  Releasing on 1/24 instead of 1/27.
Request to add suite # 101 to branch 3450 per de0094 effective 2/15.  Building new row outside table array to update on 2/15. </t>
  </si>
  <si>
    <t>Updated VEC 2005 name per de0094.  VEC's are not used for the Zip Matrix, so this change is just for record keeping should that requirement be added in the future.
Adding suite number to branch 3402 per de0094 request.  This request takes effect 02/15.  Building updated row outside table array.</t>
  </si>
  <si>
    <t>3104 - La Grande VEC</t>
  </si>
  <si>
    <t>5509 - VEC Central Operations</t>
  </si>
  <si>
    <t>Change Notes 01/31/22 &amp; 02/01/22 v 6.4.0</t>
  </si>
  <si>
    <t>97009, 97010, 97019, 97024, 97030, 97060, 97080, 97230, 97233</t>
  </si>
  <si>
    <t>Corrected 3104 VEC office name.  It read 3401.
Added 3502 to the table array and expanded the array to account for the increased rows.  Made adjustments noted below to TADVS point persons at both offices.  Removed five zip codes (97010, 97019, 97020, 97030, 97060, 97080) from 3501 and added them to 3502.
The addition of 3502 increased the maxinum number of offices per a single district which required the addition of a 12th row to the Column Reference and Rules Engine tables and an expansion of the user interface.
Added contact banner to the top of the SSP APD AAA Branch tab.
Removed 97020 from 3502 &amp; 3518 as geographically it is nowhere near either office.  It is already assigned to 1901 &amp; 1911 which appears correct.</t>
  </si>
  <si>
    <t>Updated case transfer email at 2111 per request.  Verified in Outlook address book.
Per request, corrected phone numbers at both 3101 &amp; 3111.
Added 3502 case transfer email to the table.
Corrected suite # for 0201 to match current central office list.</t>
  </si>
  <si>
    <t>Change Notes 02/07/22 - 02/08/22 v 6.4.1</t>
  </si>
  <si>
    <t>Change Notes 02/14/22 - 02/15/22 v 6.4.2</t>
  </si>
  <si>
    <t>Removed TADVS point person #3 at 1505.  Moved #4 to #3 position and added a new contact per request.
Added suite number to 3402 branch address per de0094.</t>
  </si>
  <si>
    <t>Release Notes 02/15/22 v 6.3.2</t>
  </si>
  <si>
    <t>Updated branch 3450 address to include suite #101.</t>
  </si>
  <si>
    <t>Change Notes 02/24/22 v 6.4.3</t>
  </si>
  <si>
    <t>Per request, removed TADVS point person #2 at 2601.  Moved #1 to #2 and #3 to #1.  Added person #3.</t>
  </si>
  <si>
    <t>Change Notes 02/28/22 - 03/03/22 v 6.4.4</t>
  </si>
  <si>
    <t xml:space="preserve">Per request, removed TADVS point person #2 at branch 3402, moved #3 to the #5 position and added #'s 2, 3, 4 &amp; 6.
Added text "* Send a group Teams chat to all listed individuals" below TADVS Point column header per request from TADVS policy unit. </t>
  </si>
  <si>
    <t>Removed TADVS point person #3 from 3301 &amp; 3302.
Per request, corrected phone number for branch 0913.
Per request, removed TADVS point person #'s 1 &amp; 3 for branches 0101, 3101 &amp; 3102.  Made #'s 2 &amp; 4, 1 &amp; 2 respectively.  Added #'s 3-5.
Per request, removed TADVS point person #4 at 0302 &amp; 0303 and added a new entry to the same spot.</t>
  </si>
  <si>
    <t>Change Notes 03/07/22, 03/22/22 &amp; 03/24/22 v 6.4.5</t>
  </si>
  <si>
    <t>355 Timbermill Dr</t>
  </si>
  <si>
    <t>Ste 130</t>
  </si>
  <si>
    <t>Change Notes 03/18/21 v 6.2.1</t>
  </si>
  <si>
    <t>Per request, removed TADVS point person #'s 1 &amp; 2 at branch 3601.  Added point person #'s 1-3.
Received 0094 request to update address for branches 1801 &amp; 1811 effective 04/11/22.  Added two rows outside table array with new information.  These rows will be added to the array for the special release on 04/11/22.
TADVS point person contacts were listed on branch 0511.  Per request, removed these as 0511 is an APD office, not SSP.
Per request, corrected fax number for branch 0511.
Per request, updated TADVS point person contact # 1 at 0401, 0501 &amp; 2901.</t>
  </si>
  <si>
    <t>Change Notes 03/29/22 &amp; 03/30/22 v 6.4.6</t>
  </si>
  <si>
    <t>Change Notes 04/04/22 v 6.4.7</t>
  </si>
  <si>
    <t>Per request, updated TADVS person #1 at branches 1801 &amp; 1802.</t>
  </si>
  <si>
    <t>Change Notes 04/12/22 v 6.4.8</t>
  </si>
  <si>
    <t>Per updated 0094, corrected phone number for 3502.
Added updated 1801 &amp; 1811 addresses to the array table.
Per request, corrected fax numbers for branches 0401, 0501 &amp; 2901.
Per request, removed TADVS point person #3 from branches 0401 &amp; 0501.  Shifted point person #4 to #3 position.
Per request, removed TADVS point person #2 from branch 2901.  Shifted point person #'s 3 &amp; 4 to positions 2 &amp; 3.</t>
  </si>
  <si>
    <t>Change Notes 04/13/22 v 6.4.9</t>
  </si>
  <si>
    <t>Per request, added TADVS point person #4 to branch 1001.</t>
  </si>
  <si>
    <t>Release Notes 04/13/22 v 6.3.3</t>
  </si>
  <si>
    <t>Updated branch 1850 &amp; 1859 street and suite address.</t>
  </si>
  <si>
    <t>Ste 1802</t>
  </si>
  <si>
    <t>Received 0094 for branch 1850.  Corrected suite number from 130 to 120 based on the 0094.</t>
  </si>
  <si>
    <t>Release Notes 04/18/22 v 6.3.4</t>
  </si>
  <si>
    <t>Change Notes 04/20/22 v 6.4.10</t>
  </si>
  <si>
    <t>Per request updated both phone &amp; fax numbers at 2404.</t>
  </si>
  <si>
    <t>Change Notes 05/12/22 v 6.4.11</t>
  </si>
  <si>
    <t>Per request, reassigned 97426 from 1101 to 2003.</t>
  </si>
  <si>
    <t>Change Notes 05/16/22 v 6.4.12</t>
  </si>
  <si>
    <t>Table Array/Database</t>
  </si>
  <si>
    <t>Per request, corrected phone number for 1802.  Verified on office location web page.
Based on the 1802 request, conducted a search of all phone numbers with 542 area code and found that branch 2003 &amp; 2311 phone numbers needed correcting.  Verified with office location web page.
Created a new SSP APD AAA Branches sheet and removed the TADVS point person column per request from TADVS policy.  That column is being removed as TADVS scheduling process has moved into the ONE system.</t>
  </si>
  <si>
    <t>97401, 97403, 97404, 97405, 97408, 97448</t>
  </si>
  <si>
    <t>Change Notes 06/02/22 v 6.5.0</t>
  </si>
  <si>
    <t>97401, 97402, 97403, 97404, 97405, 97408, 97409, 97412, 97413, 97419, 97424, 97426, 97431, 97434, 97437, 97438, 97440, 97448, 97451, 97452, 97454, 97455, 97461, 97463, 97475, 97477, 97478, 97487, 97488, 97489, 97490, 97492</t>
  </si>
  <si>
    <t>Per request, removed zip code 97446 from branch 2001.
Pointed the reference and rules engine tables to the new v 6.5 UI tab.  Tested and confirmed connections are all mapping correctly.
Per request, corrected fax number at branch 2003.
Per request, removed zip code 97456 from branch 2011 and added it to branch 2211.</t>
  </si>
  <si>
    <t>4217 Holliday St</t>
  </si>
  <si>
    <t>97009, 97011, 97022, 97023, 97028, 97049, 97055, 97067</t>
  </si>
  <si>
    <t>97015, 97027, 97086, 97089, 97011, 97222, 97267, 97268, 97269</t>
  </si>
  <si>
    <t>97002, 97004, 97013, 97017, 97034, 97035, 97036, 97042, 97045, 97068, 97070</t>
  </si>
  <si>
    <t>Change Notes 06/22/22 v 6.5.1</t>
  </si>
  <si>
    <t>Per de0094, updated address at 1603.
Per de0094, added new row for branch 0305 outside table array.  Per de0094, zip codes 97009, 97011, 97022, 97023, 97028, 97049, 97055 &amp; 97067 will now associate with that branch.  The above zip codes were removed from 0302 &amp; 0303.  Effective date for these updates will be 07/01/22.</t>
  </si>
  <si>
    <t>Added updated rows for branches 0302, 0303 &amp; 0305 to the table array.  0305 now displays as a branch.
Updated dhsoha to odhsoha for case transfer emails. 
Updated case transfer email return message for branch value inputs where no transfer email has yet been submitted.  New message reads: "No Case Transfer Email has been Submitted."  Previously, it read "No Case Transfer Email is Listed."
Updated the branch value input logic (S6) to match other rows and display the new message.</t>
  </si>
  <si>
    <t>Change Notes 06/27/22 - 06/30/22 v 6.5.2</t>
  </si>
  <si>
    <t>Updated case transfer email for 0305.</t>
  </si>
  <si>
    <t>Change Notes 07/07/22 v 6.5.3</t>
  </si>
  <si>
    <t>97430, 97439, 97441, 97453, 97480, 97493</t>
  </si>
  <si>
    <t>97324, 97341, 97343, 97357, 97364, 97365, 97366, 97367, 97368, 97369, 97372, 97376, 97380, 97388, 97390, 97391, 97394, 97498</t>
  </si>
  <si>
    <t>97341, 97343, 97348, 97357, 97365, 97366, 97367, 97368, 97369, 97372, 97376, 97380, 97388, 97390, 97391, 97394, 97498</t>
  </si>
  <si>
    <t>Updated Florence AAA name.
Per request, re-assigned zip codes 97441 &amp; 97473 to 0611 from 3211.
Pre request, re-assigned zip code 97498 to 2111 from 3211.
Corrected case transfer email for 3501.</t>
  </si>
  <si>
    <t xml:space="preserve">3211 - Florence </t>
  </si>
  <si>
    <t>Change Notes 07/18/22 - 07/21/22 v 6.5.4</t>
  </si>
  <si>
    <t>Change Notes 09/15/20 v 6.1.0</t>
  </si>
  <si>
    <t>Change Notes 12/17/20 v 6.2.0</t>
  </si>
  <si>
    <t>Change Notes 12/30/20 v 6.2.0</t>
  </si>
  <si>
    <t>Change Notes 01/07/21 v 6.2.0</t>
  </si>
  <si>
    <t>Change Notes 01/04/21 v 6.2.0</t>
  </si>
  <si>
    <t>97448 requested to be associated with 2001.  Request approved.  97448 is now associated with 2001.  Changed from 2002.
97477 requested to be associated with 1101.  Request approved.  97447 is now associated with 1101.  Changed from 1001.
 97007 requested to be associated with 3415.  97007 is currently associated to 3417.  Request is escalated.  Request has not yet been approved.  No changes made at this time.
97007 renders a value in every cell.  Issue is tied to last row of the range, so all zip codes at 3417 will take up every field because of the Indirect function extending the top end of the range outside that of the lower bounds.  Changed bottom range value from 114 to 115 and that resolved the issue.
Added 97639 to branch 1811.</t>
  </si>
  <si>
    <t>Change Notes 09/03/20 v 6.0.1</t>
  </si>
  <si>
    <t>Change Notes 08/13/20 v 6.0.1</t>
  </si>
  <si>
    <t>Per de0094, updated the phone number for branches 1150, 2850 &amp; 3550.</t>
  </si>
  <si>
    <t>Release Notes 07/25/22 v 6.3.5</t>
  </si>
  <si>
    <t>3502.SSPCASETRANSFERS@odhsoha.oregon.gov</t>
  </si>
  <si>
    <t>1101.SSPCASETRANSFERS@odhsoha.oregon.gov</t>
  </si>
  <si>
    <t>1017.CaseTransfer@odhsoha.oregon.gov</t>
  </si>
  <si>
    <t>Clackamas-82nd.0303SSPCASETRANSFERS@odhsoha.oregon.gov</t>
  </si>
  <si>
    <t>0305.CaseTransfers@odhsoha.oregon.gov</t>
  </si>
  <si>
    <t>3403.SSPCASETRANSFERS@odhsoha.oregon.gov</t>
  </si>
  <si>
    <t>0401SSPCASETRANSFE@odhsoha.oregon.gov</t>
  </si>
  <si>
    <t>0501SSPCASETRANSFE@odhsoha.oregon.gov</t>
  </si>
  <si>
    <t>2101SSPCASETRANSFE@odhsoha.oregon.gov</t>
  </si>
  <si>
    <t>1001SSPCASETRANSFE@odhsoha.oregon.gov</t>
  </si>
  <si>
    <t>0611.apdCASETRANSFERS@odhsoha.oregon.gov</t>
  </si>
  <si>
    <t>0801SSPCASETRANSFERS@odhsoha.oregon.gov</t>
  </si>
  <si>
    <t>0811.apdCASETRANSFERS@odhsoha.oregon.gov</t>
  </si>
  <si>
    <t>1502SSPCASETRANSFE@odhsoha.oregon.gov</t>
  </si>
  <si>
    <t>1517.apdCASETRANSFERS@odhsoha.oregon.gov</t>
  </si>
  <si>
    <t>0901SSPCASETRANSFE@odhsoha.oregon.gov</t>
  </si>
  <si>
    <t>1601SSPCASETRANSFE@odhsoha.oregon.gov</t>
  </si>
  <si>
    <t>1801SSPCASETRANSFE@odhsoha.oregon.gov</t>
  </si>
  <si>
    <t>0302SSPCASETRANSFE@odhsoha.oregon.gov</t>
  </si>
  <si>
    <t>3401SSPCASETRANSFE@odhsoha.oregon.gov</t>
  </si>
  <si>
    <t>3402SSPCASETRANSFE@odhsoha.oregon.gov</t>
  </si>
  <si>
    <t>For updates or corrections, please email SSPBusiness.Analysts@odhsoha.oregon.gov.  Search using SSP Business Analysts.</t>
  </si>
  <si>
    <t>Release Notes 08/22/22 v 6.3.6</t>
  </si>
  <si>
    <t>Updated BA email address and moved messaging to the top of the page to align with SSP, APD &amp; AAA, as well as Zips and Fips page.</t>
  </si>
  <si>
    <t>Change Notes 08/22/22 v 6.3.1</t>
  </si>
  <si>
    <t>Updated BA contact email address and moved messaging to the top of the page to align with the other pages.</t>
  </si>
  <si>
    <t>Change Notes 08/02/22 - 08/22/22 v 6.5.5</t>
  </si>
  <si>
    <t>Updated odhsoha.state.or.us to odhsoha.oregon.gov for all appropriate case transfer emails.
Per request, corrected 3515 case transfer email address to match Outlook.
Created Outlook case transfer email group to update all branches with current Outlook case transfer emails.  All branches now reflect the email that exists in Outlook.
Updated BA contact email address to odhsoha.oregon.gov.</t>
  </si>
  <si>
    <t>Change Notes 02/03/21 - 02/08/21 v 6.2.0</t>
  </si>
  <si>
    <t>Updated TADVS point person #2 for 3001, 3003 &amp; 3004.  Removed TADVS point person #1 for District 13 SSP offices.  Moved #'s 2 &amp; 3 into #'s 1 &amp; 2 postions and added #'s 3 &amp; 4 per request.
Corrected fax numbers for Canby &amp; Estacada APD per request.
Corrected telephone &amp; fax numbers for Albany SSP.
97079 added to 3417.</t>
  </si>
  <si>
    <t>2001.SSPCASETRANSFERS@odhsoha.oregon.gov</t>
  </si>
  <si>
    <t>Change Notes 11/03/22 v 6.5.6</t>
  </si>
  <si>
    <t>2002SSP.CASETRANSFER@odhsoha.oregon.gov</t>
  </si>
  <si>
    <t>1431 Airport Ln</t>
  </si>
  <si>
    <t>1660 Oak St SE</t>
  </si>
  <si>
    <t>97501, 97502, 97504, 97525, 97530</t>
  </si>
  <si>
    <t>97410, 97442, 97497, 97526, 97527, 97528, 97532, 97533, 97537, 97543, 97544</t>
  </si>
  <si>
    <t>97008, 97062, 97140, 97223, 97224, 97280, 97281</t>
  </si>
  <si>
    <t>Corrected case transfer email for branch 2001 &amp; 2002.
Corrected branch address at 2401.
Corrected branch 2518 phone number.
Reassigned zip code 97537 to 1701 from 1501.
Per request, removed 97035 from 3403 leaving it associated solely with 0302.</t>
  </si>
  <si>
    <t>Per request, updated address at branch 0650.</t>
  </si>
  <si>
    <t>Release Notes 11/03/22 v 6.3.7</t>
  </si>
  <si>
    <t>ODHS</t>
  </si>
  <si>
    <t>LTC</t>
  </si>
  <si>
    <t>Change Notes 02/06/23 v 6.5.7</t>
  </si>
  <si>
    <t>97424, 97426, 97434, 97436, 97451</t>
  </si>
  <si>
    <t>0314.apdcasetransfers@odhsoha.oregon.gov</t>
  </si>
  <si>
    <t>Per request, updated fax number for branch 3013.
Updated 0305 Agency title from SSP to ODHS per request from the field.  
Per request, 97435 &amp; 97499 have been removed from branch 2003 associated with branch 1001.
Per request, corrected the transfer email for branch 0314.
Per request, removed 97233 from branch 3515.  It is now solely associated with branch 3518.</t>
  </si>
  <si>
    <t>Change Notes 02/15/23 v 6.5.8</t>
  </si>
  <si>
    <t>1418.casetransfers@multco.us</t>
  </si>
  <si>
    <t>2518.casetransfers@multco.us</t>
  </si>
  <si>
    <t>2818.casetransfers@multco.us</t>
  </si>
  <si>
    <t>3515.casetransfers@multco.us</t>
  </si>
  <si>
    <t>3518.casetransfers@multco.us</t>
  </si>
  <si>
    <t>Per request, updated case transfer emails for all AAA branches in D2 - 1418, 2518, 2818, 3515 &amp; 3518.  A request was also made for branch 3516 however cannot find any information on this branch.</t>
  </si>
  <si>
    <t>209 SW 4th Ave</t>
  </si>
  <si>
    <t>Change Notes 02/23/23 v 6.5.9</t>
  </si>
  <si>
    <t>Per request, updated address, phone &amp; fax numbers for branch 2518.</t>
  </si>
  <si>
    <t>ODHS-APD-3417-CASETRANSFERS@odhsoha.oregon.gov</t>
  </si>
  <si>
    <t>ODHS-SSP-1401CASETRANSFERS@odhsoha.oregon.gov</t>
  </si>
  <si>
    <t>Change Notes 04/25-27/23 v 6.5.10</t>
  </si>
  <si>
    <t>ODHS-SSP-2801CASETRANSFERS@odhsoha.oregon.gov</t>
  </si>
  <si>
    <t>ODHS-SSP-2601CASETRANSFERS@odhsoha.oregon.gov</t>
  </si>
  <si>
    <t>ODHS-SSP-1402CASETRANSFERS@odhsoha.oregon.gov</t>
  </si>
  <si>
    <t>ODHS-SSP-0701CASETRANSFERS@odhsoha.oregon.gov</t>
  </si>
  <si>
    <t>ODHS-SSP-3501CASETRANSFERS@odhsoha.oregon.gov</t>
  </si>
  <si>
    <t>Per request, updated 3417 case transfer email.  Verified group address in Outlook.
Per request, updated 1901 case transfer email.  Verified group address in Outlook.
Per request, updated 1401 case transfer email.  Verified group address in Outlook.
Updated D2 case transfer emails except 3502.  This branch did not have an updated address in Outlook.</t>
  </si>
  <si>
    <t>97216, 97230, 97233, 97251, 97292, 97294, 97253, 97254, 97250</t>
  </si>
  <si>
    <t>97010, 97019, 97024, 97030, 97060, 97080</t>
  </si>
  <si>
    <t xml:space="preserve">0811 - Curry </t>
  </si>
  <si>
    <t>Change Notes 05/22/23 - 06/12/23 v 6.5.11</t>
  </si>
  <si>
    <t>Added new data row outside table array for branch 1402 changes to be released on 06/12/23.
Updated 1402 address and name per 0094.
Reassigned 97024 from 3501 to 3502 to match ONE system zip code assignments.</t>
  </si>
  <si>
    <t>Per 0094, updated 1402 branch name to 5 Oak.
Per request, updated phone number at both branches 1801 &amp; 1811.
Per request, shifted 97221 to 1402 &amp; 2518 from 3401 &amp; 3417.  This will differ from the ONE Case Office Zip Code assignment.  Will note to see if discrepancies arise.</t>
  </si>
  <si>
    <t>97201, 97204, 97205, 97207, 97208, 97209, 97210, 97219, 97221, 97228, 97239, 97240, 97256, 97258, 97293</t>
  </si>
  <si>
    <t>97201, 97204, 97205, 97207, 97208, 97209, 97210, 97219, 97221, 97223, 97228, 97231, 97239, 97240, 97256, 97258, 97252, 97280, 97286</t>
  </si>
  <si>
    <t>97003, 97005, 97006, 97007, 97075, 97076, 97077, 97078, 97079, 97225, 97229, 97291, 97298</t>
  </si>
  <si>
    <t>97003, 97005, 97006, 97007, 97008, 97075, 97076, 97077, 97078, 97079, 97225, 97229, 97291, 97298</t>
  </si>
  <si>
    <t>Change Notes 07/05/23 v 6.5.12</t>
  </si>
  <si>
    <t>290 SW 5th Ave</t>
  </si>
  <si>
    <t>Release Notes 07/25/23 v 6.3.8</t>
  </si>
  <si>
    <t>Per 0094, changed address for branch 4850.
Updated input cell with conditional logic to reflect 1 &amp; 4 digit length numbers.</t>
  </si>
  <si>
    <t>97014, 97021, 97029, 97031, 97033, 97037, 97039, 97040, 97041, 97044, 97050, 97057, 97058, 97063, 97065, 97750, 97812, 97823, 97861, 97874</t>
  </si>
  <si>
    <t>97814, 97820, 97833, 97834, 97837, 97840, 97867, 97870, 97877, 97884, 97905</t>
  </si>
  <si>
    <t>97817, 97820, 97825, 97845, 97848, 97856, 97864, 97865, 97869, 97873</t>
  </si>
  <si>
    <t>Change Notes 08/10/23 v 6.5.13</t>
  </si>
  <si>
    <t>Per 0094, updated 1402 branch name to Five Oak and corrected the branch address.
Per request, updated case transfer email for branch 1513.
Per request, changed 97874 from branch 1211 to 3311.
Per request, changed 97884 from branch 1211 to 0111.</t>
  </si>
  <si>
    <t>0402 - Warrenton VEC</t>
  </si>
  <si>
    <t>Per 0094, VEC 0402 branch name updated.  This update is just for record keeping as VEC's are not displayed in the Zip Matrix.
Per request, removed 97820 from 0101.</t>
  </si>
  <si>
    <t>97814, 97833, 97834, 97837, 97840, 97867, 97870, 97877, 97905</t>
  </si>
  <si>
    <t>Change Notes 08/15/23 - 08/24/23 v 6.5.14</t>
  </si>
  <si>
    <t>4299 NE Killingsworth St</t>
  </si>
  <si>
    <t>97202, 97206, 97214, 97215, 97242, 97266, 97282, 97293</t>
  </si>
  <si>
    <t>Change Notes 10/18/23 v 6.5.15</t>
  </si>
  <si>
    <t>Per 0094, updated address for branch 2801.
Per request, added 97266 to branch 1418 along with 3515.
Added 3516 outside the table array.  Request was received to add this branch to the Zip Matrix however it appears to be a specialized branch.  Follow up questions have been submitted.</t>
  </si>
  <si>
    <t>Per request, corrected phone number for branch 3302.
Added new column for email hyperlink on the branches tab.
Built new functionality for this new column to display a functional hyperlink that launches an email with the email address in the table array.
The formulas for the hyperlink exist on the branches tab directly but call the value from the DB code tab.  These cells have to be unlocked however the formulas have been hidden in those cells as well as the whole sheet.
Per request, corrected transfer email for branch 0311.</t>
  </si>
  <si>
    <t>Change Notes 11/15/23 v 6.6.0</t>
  </si>
  <si>
    <t>Change Notes 11/28/23 v 6.6.1</t>
  </si>
  <si>
    <t>Per request, updated transfer email address for branch 0601.</t>
  </si>
  <si>
    <t>97413, 97431, 97438, 97452, 97454, 97455, 97463, 97475, 97477, 97478, 97488, 97489, 97492</t>
  </si>
  <si>
    <t>97497, 97523, 97526, 97527, 97528, 97531, 97532, 97533, 97534, 97537, 97538, 97543, 97544, 97410, 97442</t>
  </si>
  <si>
    <t>97416, 97417, 97429, 97432, 97435, 97436, 97443, 97447, 97457, 97462, 97469, 97470, 97471, 97479, 97481, 97484, 97486, 97494, 97495, 97496, 97499</t>
  </si>
  <si>
    <t>97502, 97503, 97522, 97524, 97536, 97539, 97541</t>
  </si>
  <si>
    <t>97601, 97602, 97603, 97604, 97621, 97623, 97624, 97625, 97626, 97627, 97632, 97633, 97634, 97639</t>
  </si>
  <si>
    <t>Result Message</t>
  </si>
  <si>
    <t>422 Gateway Ave</t>
  </si>
  <si>
    <t>Ste 260</t>
  </si>
  <si>
    <t>Associated zip code 97447 with branch 1001 from branch 1101.
Associated zip code 97534 with branch 1717 from branch 0811.
Associated zip code 97604 with branch 1801 from branch 1505.
Associated zip code 97436 with 1001 in addition to 2003 (&amp; 1017) since it is roughly equidistant from both 1001 &amp; 2003.
Associated zip code 97441 with both 0601 &amp; 3211 in addition to 3201 &amp; 0611 since it is roughly equidistant from all offices.
Changed branch agency title to ODHS for branches 3201 &amp; 3211 from SSP &amp; AAA respectively.
Changed branch agency title to ODHS for branches 1801 &amp; 1811 from SSP &amp; APD respectively.
Changed branch agency title to ODHS for branches 1001 &amp; 1017 from SSP &amp; APD respectively.
Added message to alert staff to zip codes which have more than two associated branches.
Per 0094, updated branch 0401 address.</t>
  </si>
  <si>
    <t>Release Notes 12/27/23 v 6.3.9</t>
  </si>
  <si>
    <t>Per 0094, changed address for branch 0450.</t>
  </si>
  <si>
    <t>Change Notes 12/05/23 - 12/27/23 v 6.6.2</t>
  </si>
  <si>
    <t>Change Notes 01/18/24 v 6.3.2</t>
  </si>
  <si>
    <t>Added zip code 97317.</t>
  </si>
  <si>
    <t>Change Notes 01/23/24 v 6.6.3</t>
  </si>
  <si>
    <t>Per request, corrected branch 0902 transfer email address.</t>
  </si>
  <si>
    <t>Change Notes 03/06/24 v 6.3.3</t>
  </si>
  <si>
    <t>Added zip codes 97079, 97129, 97250</t>
  </si>
  <si>
    <t>Release Notes 03/07/24 v 6.3.10</t>
  </si>
  <si>
    <t>2901.SSPCASETRANSFERS@odhsoha.oregon.gov</t>
  </si>
  <si>
    <t>1901.SSPCASETRANSFERS@odhsoha.oregon.gov</t>
  </si>
  <si>
    <t>2701.SSPCASETRANSFERS@odhsoha.oregon.gov</t>
  </si>
  <si>
    <t>3601.SSPCASETRANSFERS@odhsoha.oregon.gov</t>
  </si>
  <si>
    <t>2401.SSPCASETRANSFERS@odhsoha.oregon.gov</t>
  </si>
  <si>
    <t>2405.SSPCASETRANSFERS@odhsoha.oregon.gov</t>
  </si>
  <si>
    <t>2003.SSPCASETRANSFERS@odhsoha.oregon.gov</t>
  </si>
  <si>
    <t>0601.SSPCASETRANSFERS@odhsoha.oregon.gov</t>
  </si>
  <si>
    <t>1701.SSPCASETRANSFERS@odhsoha.oregon.gov</t>
  </si>
  <si>
    <t>1702.SSPCASETRANSFERS@odhsoha.oregon.gov</t>
  </si>
  <si>
    <t>0902.SSPCASETRANSFERS@odhsoha.oregon.gov</t>
  </si>
  <si>
    <t xml:space="preserve">Per 0094, updated branch 3515 address.
Updated case transfer email address for branch 1505, 1701, 1702, 1901, 2003, 2401, 2501, 2701, 2901, 3601, and 3302. </t>
  </si>
  <si>
    <t>Change Notes 03/11/24 - 03/14/24 v 6.6.4</t>
  </si>
  <si>
    <t>01</t>
  </si>
  <si>
    <t>04</t>
  </si>
  <si>
    <t>16</t>
  </si>
  <si>
    <t>07</t>
  </si>
  <si>
    <t>10</t>
  </si>
  <si>
    <t>06</t>
  </si>
  <si>
    <t>09</t>
  </si>
  <si>
    <t>14</t>
  </si>
  <si>
    <t>08</t>
  </si>
  <si>
    <t>11</t>
  </si>
  <si>
    <t>05</t>
  </si>
  <si>
    <t>03</t>
  </si>
  <si>
    <t>12</t>
  </si>
  <si>
    <t>02</t>
  </si>
  <si>
    <t>15</t>
  </si>
  <si>
    <t>DISTRICT</t>
  </si>
  <si>
    <t>97301, 97302, 97303, 97305, 97306, 97307, 97308, 97309, 97310, 97314, 97317, 97325, 97342, 97346, 97350, 97352, 97358, 97360, 97383, 97384, 97385, 97392</t>
  </si>
  <si>
    <t>97301, 97302, 97306, 97308, 97309, 97310, 97311, 97312, 97317, 97352</t>
  </si>
  <si>
    <t>Per request, added 97352 to branch 2401 &amp; 2411.
Corrected branch 3515 address.
Per request, updated fax numbers for branches 3301, 3302, &amp; 3311.</t>
  </si>
  <si>
    <t>Change Notes 04/16/24 - 04/29/24 v 6.6.5</t>
  </si>
  <si>
    <t>Column 4 Reference</t>
  </si>
  <si>
    <t>Column 3 Reference</t>
  </si>
  <si>
    <t>ODHS-APD-AAA-0411-CASETRANSFERS@odhsoha.oregon.gov</t>
  </si>
  <si>
    <t>ODHS-APD-0511-CASETRANSFERS@odhsoha.oregon.gov</t>
  </si>
  <si>
    <t>ODHS-APD-AAA-2911-CASETRANSFERS@odhsoha.oregon.gov</t>
  </si>
  <si>
    <t>ODHS-APD-AAA-1911-CASETRANSFERS@odhsoha.oregon.gov</t>
  </si>
  <si>
    <t>ODHS-SSP-2402CASETRANSFERS@odhsoha.oregon.gov</t>
  </si>
  <si>
    <t>ODHS-SSP-2404CASETRANSFERS@odhsoha.oregon.gov</t>
  </si>
  <si>
    <t>ODHS-APD-AAA-2411-CASETRANSFERS@odhsoha.oregon.gov</t>
  </si>
  <si>
    <t>ODHS-APD-AAA-2711-CASETRANSFERS@odhsoha.oregon.gov</t>
  </si>
  <si>
    <t>ODHS-APD-AAA-3617-CASETRANSFERS@odhsoha.oregon.gov</t>
  </si>
  <si>
    <t>ODHS-APD-AAA-2111-CASETRANSFERS@odhsoha.oregon.gov</t>
  </si>
  <si>
    <t>ODHS-APD-AAA-2211-CASETRANSFERS@odhsoha.oregon.gov</t>
  </si>
  <si>
    <t>ODHS-APD-AAA-2011-CASETRANSFERS@odhsoha.oregon.gov</t>
  </si>
  <si>
    <t>ODHS-SSP-3201CASETRANSFERS@odhsoha.oregon.gov</t>
  </si>
  <si>
    <t>ODHS-APD-AAA-3211-CASETRANSFERS@odhsoha.oregon.gov</t>
  </si>
  <si>
    <t>ODHS-SSP-1505CASETRANSFERS@odhsoha.oregon.gov</t>
  </si>
  <si>
    <t>ODHS-APD-1513-CASETRANSFERS@odhsoha.oregon.gov</t>
  </si>
  <si>
    <t>ODHS-APD-1717-CASETRANSFERS@odhsoha.oregon.gov</t>
  </si>
  <si>
    <t>ODHS-SSP-3301CASETRANSFERS2@odhsoha.oregon.gov</t>
  </si>
  <si>
    <t>ODHS-SSP-3302CASETRANSFERS@odhsoha.oregon.gov</t>
  </si>
  <si>
    <t>ODHS-APD-3311-CASETRANSFERS@odhsoha.oregon.gov</t>
  </si>
  <si>
    <t>ODHS-APD-0913-CASETRANSFERS@odhsoha.oregon.gov</t>
  </si>
  <si>
    <t>ODHS-APD-0914-CASETRANSFERS@odhsoha.oregon.gov</t>
  </si>
  <si>
    <t>ODHS-APD-1612-CASETRANSFERS@odhsoha.oregon.gov</t>
  </si>
  <si>
    <t>ODHS-APD-1811-CASETRANSFERS@odhsoha.oregon.gov</t>
  </si>
  <si>
    <t>ODHS-SSP-3001CASETRANSFERS@odhsoha.oregon.gov</t>
  </si>
  <si>
    <t>ODHS-SSP-3003CASETRANSFERS@odhsoha.oregon.gov</t>
  </si>
  <si>
    <t>ODHS-SSP-3004CASETRANSFERS@odhsoha.oregon.gov</t>
  </si>
  <si>
    <t>ODHS-APD-3011-CASETRANSFERS@odhsoha.oregon.gov</t>
  </si>
  <si>
    <t>ODHS-APD-3013-CASETRANSFERS@odhsoha.oregon.gov</t>
  </si>
  <si>
    <t>ODHS-SSP-0101CASETRANSFERS@odhsoha.oregon.gov</t>
  </si>
  <si>
    <t>ODHS-APD-0111-CASETRANSFERS@odhsoha.oregon.gov</t>
  </si>
  <si>
    <t>ODHS-SSP-3101CASETRANSFERS@odhsoha.oregon.gov</t>
  </si>
  <si>
    <t>ODHS-SSP-3102CASETRANSFERS@odhsoha.oregon.gov</t>
  </si>
  <si>
    <t>ODHS-APD-3111-CASETRANSFERS@odhsoha.oregon.gov</t>
  </si>
  <si>
    <t>ODHS-APD-3112-CASETRANSFERS@odhsoha.oregon.gov</t>
  </si>
  <si>
    <t>ODHS-SSP-1201CASETRANSFERS@odhsoha.oregon.gov</t>
  </si>
  <si>
    <t>ODHS-APD-1211-CASETRANSFERS@odhsoha.oregon.gov</t>
  </si>
  <si>
    <t>ODHS-SSP-1301CASETRANSFERS@odhsoha.oregon.gov</t>
  </si>
  <si>
    <t>ODHS-APD-1311-CASETRANSFERS@odhsoha.oregon.gov</t>
  </si>
  <si>
    <t>ODHS-SSP-2301CASETRANSFERS@odhsoha.oregon.gov</t>
  </si>
  <si>
    <t>ODHS-APD-2311-CASETRANSFERS@odhsoha.oregon.gov</t>
  </si>
  <si>
    <t>ODHS-APD-0310-CASETRANSFERS@odhsoha.oregon.gov</t>
  </si>
  <si>
    <t>ODHS-APD-0311-CASETRANSFERS@odhsoha.oregon.gov</t>
  </si>
  <si>
    <t>ODHS-APD-0313-CASETRANSFERS@odhsoha.oregon.gov</t>
  </si>
  <si>
    <t>ODHS-APD-3411-CASETRANSFERS@odhsoha.oregon.gov</t>
  </si>
  <si>
    <t>ODHS-APD-3415-CASETRANSFERS@odhsoha.oregon.gov</t>
  </si>
  <si>
    <t>Warm Handoff 1</t>
  </si>
  <si>
    <t>Warm Handoff 2</t>
  </si>
  <si>
    <t>Warm Handoff 3</t>
  </si>
  <si>
    <t>Warm Handoff 4</t>
  </si>
  <si>
    <t>Warm Handoff 5</t>
  </si>
  <si>
    <t>Warm Handoff 6</t>
  </si>
  <si>
    <t>Warm Handoff 7</t>
  </si>
  <si>
    <t>Warm Handoff 8</t>
  </si>
  <si>
    <t>Warm Handoff Email 1</t>
  </si>
  <si>
    <t>Warm Handoff Email 2</t>
  </si>
  <si>
    <t>Warm Handoff Email 3</t>
  </si>
  <si>
    <t>Warm Handoff Email 4</t>
  </si>
  <si>
    <t>Warm Handoff Email 5</t>
  </si>
  <si>
    <t>Warm Handoff Email 6</t>
  </si>
  <si>
    <t>Warm Handoff Email 7</t>
  </si>
  <si>
    <t>Warm Handoff Email 8</t>
  </si>
  <si>
    <t>Updated case transfer email for branches 0411, 0511, 2911, 1911, 2402, 2404, 2411, 2711, 3617, 2111, 2211, 2011, 3201, 3211, 1017, 1505, 1513, 1717, 3301, 3302, 3311, 0913, 0914, 1612, 1811, 3001, 3003, 3004, 3011, 3013, 0101, 0111, 3101, 3102, 3111, 3112, 1201, 1211, 1301, 1311, 2301, 2311, 0310, 0311, 0313, 0314, 3401, 3402, 3403, 3411, 3415 and 3417.
Corrected branch 3515 address back to 6.6.4 release.  Unsure why that got reverted.</t>
  </si>
  <si>
    <t>11982 NE Glisan St</t>
  </si>
  <si>
    <t>Lisette Santiago</t>
  </si>
  <si>
    <t>Melissa Castilleja</t>
  </si>
  <si>
    <t>John Hudson</t>
  </si>
  <si>
    <t>Alx Gilmer</t>
  </si>
  <si>
    <t>Karin Hall</t>
  </si>
  <si>
    <t>Debra Stegman</t>
  </si>
  <si>
    <t>Agnes Cassel</t>
  </si>
  <si>
    <t>Anita Peckron</t>
  </si>
  <si>
    <t>carolin.martinez@odhs.oregon.gov</t>
  </si>
  <si>
    <t>Lori Bargayo</t>
  </si>
  <si>
    <t>Nicole Ramsey</t>
  </si>
  <si>
    <t>Lori.J.Bargayo@odhs.oregon.gov</t>
  </si>
  <si>
    <t>Nicole.Ramsey@odhs.oregon.gov</t>
  </si>
  <si>
    <t>Change Notes 06/11/24 - 06/17/24 v 6.6.6</t>
  </si>
  <si>
    <t>Change Notes 07/08/24 v 6.6.7</t>
  </si>
  <si>
    <t>Received 0094 for branch 0802 addition effective 08/01/24.  Adding a separate row outside the array at this time with the information provided.  Currently no phone or fax number provided.  97415 is the only zip code being associated.</t>
  </si>
  <si>
    <t>1210 Chetco Ave</t>
  </si>
  <si>
    <t>Change Notes 06/11/24 - 07/18/24 v 6.7.0</t>
  </si>
  <si>
    <t>Lessa Ciciriello</t>
  </si>
  <si>
    <t>Gray Evans</t>
  </si>
  <si>
    <t>lessa.m.ciciriello@odhs.oregon.gov</t>
  </si>
  <si>
    <t>Gray.evans@odhs.oregon.gov</t>
  </si>
  <si>
    <t>Esperanza Rodriguez</t>
  </si>
  <si>
    <t>Jennie Nelson</t>
  </si>
  <si>
    <t>Cacye Gonzales-Cobb</t>
  </si>
  <si>
    <t>Michelle Ramos</t>
  </si>
  <si>
    <t>kris.vandeweghe-ross@odhs.oregon.gov</t>
  </si>
  <si>
    <t>michelle.ramos@odhs.oregon.gov</t>
  </si>
  <si>
    <t>Calle Tamayo</t>
  </si>
  <si>
    <t>Randall Heiken</t>
  </si>
  <si>
    <t>Martha Gomez</t>
  </si>
  <si>
    <t>martha.a.gomez@odhs.oregon.gov</t>
  </si>
  <si>
    <t>jared.hale-meador@odhs.oregon.gov</t>
  </si>
  <si>
    <t>Entered warm hand off point names and emails for branches 0401, 0501, 2901, 2404, 2405, 2701, 3601, 2201, 0903, 3401, 3402, 1602, 2101, 0302, and 0303.
Reversed Office Name &amp; City search precedence so City will now be searched and returned before Office Name.
In anticipation of requested changes to the Zip Matrix, repurposed Column 3 Reference to return Warm Handoff Name placements.  Column 4 will be used to capture the branch case transfer email link and click event.
Cleared all DV contact names and emails.  Retitled the DV contact name and email columns.</t>
  </si>
  <si>
    <t>Tripler Orrukem</t>
  </si>
  <si>
    <t>Asante Athanasio</t>
  </si>
  <si>
    <t>tripler.n.orrukem@odhs.oregon.gov</t>
  </si>
  <si>
    <t>asante.n.athanasio@odhs.oregon.gov</t>
  </si>
  <si>
    <t>Greg Wilding</t>
  </si>
  <si>
    <t>Josue Geronimo</t>
  </si>
  <si>
    <t>Sarah Osgood</t>
  </si>
  <si>
    <t>Coral Goldstein</t>
  </si>
  <si>
    <t>GREGORY.R.WILDING@odhs.oregon.gov</t>
  </si>
  <si>
    <t>JOSUE.GERONIMO@odhs.oregon.gov</t>
  </si>
  <si>
    <t>Sarah.Osgood@odhs.oregon.gov</t>
  </si>
  <si>
    <t>Coral.L.Goldstein2@odhs.oregon.gov</t>
  </si>
  <si>
    <t>Susan Southworth</t>
  </si>
  <si>
    <t>susan.a.southworth@odhs.oregon.gov</t>
  </si>
  <si>
    <t>james.r.maxwell@odhs.oregon.gov</t>
  </si>
  <si>
    <t>Carol Zekan</t>
  </si>
  <si>
    <t>Syvlia Bustamante</t>
  </si>
  <si>
    <t>Jessica Bustamante</t>
  </si>
  <si>
    <t>SYLVIA.BUSTAMANTE@odhs.oregon.gov</t>
  </si>
  <si>
    <t>Jessica.C.BUSTAMANTE@odhs.oregon.gov</t>
  </si>
  <si>
    <t>Vivianne Vu</t>
  </si>
  <si>
    <t>Tim Rust</t>
  </si>
  <si>
    <t>Bambi Brown</t>
  </si>
  <si>
    <t>Miranda Daniel</t>
  </si>
  <si>
    <t>Leo Corona</t>
  </si>
  <si>
    <t>Deidra Ott</t>
  </si>
  <si>
    <t>Kyla Epling</t>
  </si>
  <si>
    <t>Mya Kilby</t>
  </si>
  <si>
    <t>Rebecca Palafox</t>
  </si>
  <si>
    <t>miranda-janie.daniel@odhs.oregon.gov</t>
  </si>
  <si>
    <t>leo.corona@odhs.oregon.gov</t>
  </si>
  <si>
    <t>deidra.l.ott@odhs.oregon.gov</t>
  </si>
  <si>
    <t>kyla.a.epling@odhs.oregon.gov</t>
  </si>
  <si>
    <t>mya.kilby@odhs.oregon.gov</t>
  </si>
  <si>
    <t>rebecca.a.palafox@odhs.oregon.gov</t>
  </si>
  <si>
    <t>Abbie Damico</t>
  </si>
  <si>
    <t>Caley Stelzer</t>
  </si>
  <si>
    <t>abbie.damico@odhs.oregon.gov</t>
  </si>
  <si>
    <t>Bill Barnes</t>
  </si>
  <si>
    <t>Shari Wills</t>
  </si>
  <si>
    <t>Deb Loveless</t>
  </si>
  <si>
    <t>Kacie Howell</t>
  </si>
  <si>
    <t>Torey Houcin</t>
  </si>
  <si>
    <t>william.barnes@odhs.oregon.gov</t>
  </si>
  <si>
    <t>sharon.wills@odhs.oregon.gov</t>
  </si>
  <si>
    <t>deb.d.loveless@odhs.oregon.gov</t>
  </si>
  <si>
    <t>kacie.m.howell@odhs.oregon.gov</t>
  </si>
  <si>
    <t>torey.b.houchin@odhs.oregon.gov</t>
  </si>
  <si>
    <t>Maria Campos</t>
  </si>
  <si>
    <t>Robyn Fischer</t>
  </si>
  <si>
    <t>Tanja Gardiner</t>
  </si>
  <si>
    <t>Jessica Succo</t>
  </si>
  <si>
    <t>Laura Lopez</t>
  </si>
  <si>
    <t>maria.d.campos@odhs.oregon.gov</t>
  </si>
  <si>
    <t>robyn.r.fischer@odhs.oregon.gov</t>
  </si>
  <si>
    <t>tanja.gardiner@odhs.oregon.gov</t>
  </si>
  <si>
    <t>jessica.succo@odhs.oregon.gov</t>
  </si>
  <si>
    <t>laura.lopezrodriguez@odhs.oregon.gov</t>
  </si>
  <si>
    <t>Annette Boes</t>
  </si>
  <si>
    <t>David Miller</t>
  </si>
  <si>
    <t>Rachael Briggs</t>
  </si>
  <si>
    <t>annette.m.boes@odhs.oregon.gov</t>
  </si>
  <si>
    <t>david.r.miller@odhs.oregon.gov</t>
  </si>
  <si>
    <t>rachael.d.briggs@odhs.oregon.gov</t>
  </si>
  <si>
    <t>Change Notes 07/29/24 v 6.7.1</t>
  </si>
  <si>
    <t>Alicia Ruiz</t>
  </si>
  <si>
    <t>Amber Chamberlain</t>
  </si>
  <si>
    <t>Amy Hicks</t>
  </si>
  <si>
    <t>Lesly.Castro-Cruz@odhs.oregon.gov</t>
  </si>
  <si>
    <t>Entered warm hand off point names and emails for branches 1602, 3003, 3001, 2801, 0101, 3101, 3102, 3301, 2101, 1901, 2402, 3403, 0601, 2301, 1301, 1201, 2201, 2202, 0902, 2003, 3004, 1001, 3302, 3501, 0901, 0701, 2601, 2002, 3502, 1402, 1601, 2401, 2404, 0314.
Fixed reference error in the rules engine preventing multiple returns.
Added phone &amp; fax numbers for branch 0802.</t>
  </si>
  <si>
    <t>Allison Thompson</t>
  </si>
  <si>
    <t>Anna Demarco</t>
  </si>
  <si>
    <t>Bud Carter</t>
  </si>
  <si>
    <t>Yeni Jiron</t>
  </si>
  <si>
    <t>Doug Sannes</t>
  </si>
  <si>
    <t>Araceli Martinez</t>
  </si>
  <si>
    <t>Araceli.Martinez@odhs.oregon.gov</t>
  </si>
  <si>
    <t>Amanda Catron</t>
  </si>
  <si>
    <t>Rosa Guzman</t>
  </si>
  <si>
    <t>Karen Duke</t>
  </si>
  <si>
    <t>karen.l.duke@odhs.oregon.gov</t>
  </si>
  <si>
    <t>Pat Cartwright-Chow</t>
  </si>
  <si>
    <t>Alainna Roach</t>
  </si>
  <si>
    <t>pat.cartwright-chow@odhs.oregon.gov</t>
  </si>
  <si>
    <t>Entered warm hand off point names and emails for branches 1101, 2002, 2001, 3201, 3004, 0201, 1801, 1802, 1401.
Added branch 0802 to the table array.</t>
  </si>
  <si>
    <t>Change Notes 07/30/24 - 08/05/24 v 6.7.2</t>
  </si>
  <si>
    <t>Change Notes 08/07/24 v 6.7.3</t>
  </si>
  <si>
    <t>Corrected warm hand off point names and emails for branch 2001.
Updated warm hand off point names and emails for branch 0201.
Expanded rows on the SSP APD AAA Branches UI to account for all eight names in the warm hand off point name column.
Corrected table array boundaries within the rules engine table to account for all columns in the table array.</t>
  </si>
  <si>
    <t>Perry Andrews</t>
  </si>
  <si>
    <t>Megan Williams</t>
  </si>
  <si>
    <t>Change Notes 08/13/24 v 6.7.4</t>
  </si>
  <si>
    <t>3601.caseaides@odhsoha.oregon.gov</t>
  </si>
  <si>
    <t>Added warm hand off point names and emails for branch 1801.
Updated warm hand off point names and emails for branch 3601.</t>
  </si>
  <si>
    <t>Change Notes 08/29/24 v 6.7.5</t>
  </si>
  <si>
    <t>1111 Roosevelt Dr</t>
  </si>
  <si>
    <t>Ste 340</t>
  </si>
  <si>
    <t>Seaside (0451)</t>
  </si>
  <si>
    <t>Ste 336</t>
  </si>
  <si>
    <t>Change Notes 09/25/24 v 6.7.6</t>
  </si>
  <si>
    <t xml:space="preserve">Updated warm hand off point names and emails for branch 0501.
</t>
  </si>
  <si>
    <t>Added 0403 outside the table array to be effective 11/01/2024.</t>
  </si>
  <si>
    <t xml:space="preserve">Per 0094, updated address for branch 2050.
</t>
  </si>
  <si>
    <t>Added 0451 outside the array table to be added effective 11/01/2024.</t>
  </si>
  <si>
    <t>97216, 97220, 97230, 97236, 97250, 97266, 97292, 97294</t>
  </si>
  <si>
    <t>97212, 97213, 97214, 97215, 97218, 97220, 97232, 97238, 97252, 97290</t>
  </si>
  <si>
    <t>Change Notes 10/07/24 - 10/16/24 v 6.7.7</t>
  </si>
  <si>
    <t>Delfina Cervantez</t>
  </si>
  <si>
    <t>delfina.cervantez@odhs.oregon.gov</t>
  </si>
  <si>
    <t>Bruce Gigstad</t>
  </si>
  <si>
    <t>Lavette Ervin</t>
  </si>
  <si>
    <t>Dave Gall</t>
  </si>
  <si>
    <t>Billie J. Arnold</t>
  </si>
  <si>
    <t>Dave.S.Gall@odhs.oregon.gov</t>
  </si>
  <si>
    <t>billie.j.arnold@odhs.oregon.gov</t>
  </si>
  <si>
    <t xml:space="preserve">Updated warm hand off point names and emails for branches 0701, 0901, 1101, 1505, 2002, 2201, 2402 &amp; 3402.
Corrected phone number for branch 1201 per request.
Added 97250 to branch 3515.
Added 97252 to branch 2801.
</t>
  </si>
  <si>
    <t>Change Notes 10/22/24 v 6.7.8</t>
  </si>
  <si>
    <t>Monica Gunnell</t>
  </si>
  <si>
    <t>Rosa Wagner</t>
  </si>
  <si>
    <t>monica.j.gunnell@odhs.oregon.gov</t>
  </si>
  <si>
    <t>rosa.m.wagner@odhs.oregon.gov</t>
  </si>
  <si>
    <t>0911.apdCASETRANSFERS@odhsoha.oregon.gov</t>
  </si>
  <si>
    <t>Added warm hand off point names and emails for branch 1603.
Updated warm hand off point names and emails for branch 1602.
Per request, updated transfer email address for branch 0911.</t>
  </si>
  <si>
    <t>Drew Handforth</t>
  </si>
  <si>
    <t>Drew.Handforth@odhs.oregon.gov</t>
  </si>
  <si>
    <t>Change Notes 10/31/24 v 6.7.9</t>
  </si>
  <si>
    <t>Tricia Hockett</t>
  </si>
  <si>
    <t>Updated warm hand off point names and emails for branches 0501 and 3001.</t>
  </si>
  <si>
    <t>Taylor Miner</t>
  </si>
  <si>
    <t>Taylor.M.Miner@odhs.oregon.gov</t>
  </si>
  <si>
    <t>MELISSA.J.CASTILLEJA@odhs.oregon.gov</t>
  </si>
  <si>
    <t>Lisette.M.Santiago-Moulin@odhs.oregon.gov</t>
  </si>
  <si>
    <t>Ana Molina</t>
  </si>
  <si>
    <t>Ana.Molina@odhs.oregon.gov</t>
  </si>
  <si>
    <t>Sarai Bedolla</t>
  </si>
  <si>
    <t>sarai.bedolla@odhs.oregon.gov</t>
  </si>
  <si>
    <t>Updated warm hand off point names and emails for branches 0401, 2002, 3001, and 3004.</t>
  </si>
  <si>
    <t>Change Notes 11/04/24 - 11/07/24 v 6.7.10</t>
  </si>
  <si>
    <t>Change Notes 11/26/24 v 6.7.11</t>
  </si>
  <si>
    <t>Nicholas Lenerville</t>
  </si>
  <si>
    <t>Nancy Williams</t>
  </si>
  <si>
    <t>Michael Herrera</t>
  </si>
  <si>
    <t>Jared Hale Meadro</t>
  </si>
  <si>
    <t>Michael.Herrera@odhs.oregon.gov</t>
  </si>
  <si>
    <t>Updated warm hand off point names and emails for branches 0302, 0303, and 2101.</t>
  </si>
  <si>
    <t>0903.SSPCASETRANSFERS@odhsoha.oregon.gov</t>
  </si>
  <si>
    <t>*Follow process prior to sending email - Click below to send to a transfer email if the individual doesn’t want to connect with the local office, there’s no response from the point of contact, or no contact is listed.</t>
  </si>
  <si>
    <t>Trinity Alexander</t>
  </si>
  <si>
    <t>Jennie.Nelson@odhs.oregon.gov</t>
  </si>
  <si>
    <t>Cacye.A.Gonzales-Cobb@odhs.oregon.gov</t>
  </si>
  <si>
    <t>Julie Barker</t>
  </si>
  <si>
    <t>Change Notes 01/07/25 - 01/09/25 v 6.7.12</t>
  </si>
  <si>
    <t>Per request, updated case transfer email for branch 1602 and 0903.
Per request, updated fax number for branch 0911.
Updated hyperlink wording for case transfer email cells to read: "Click here for case transfer email".
Also added banner message above the case transfer email hyperlinks detailing updated process guidelines regarding use of the case transfer email.
Updated warm hand off point names and emails for branches 0501 &amp; 3401.
Added branch 0403 into the table array.</t>
  </si>
  <si>
    <t>Change Notes 01/23/25 v 6.7.13</t>
  </si>
  <si>
    <t>1501.SSPCASETRANSFERS@odhsoha.oregon.gov</t>
  </si>
  <si>
    <t>Per request, updated warm hand off point names and emails for branches 0501 &amp; 2101.
Per request, updated case transfer email for 1501.</t>
  </si>
  <si>
    <t>97102, 97110, 97138, 97145</t>
  </si>
  <si>
    <t>Change Notes 02/24/25 v 6.7.14</t>
  </si>
  <si>
    <t>Jace Vaughn</t>
  </si>
  <si>
    <t>Tiffany Bennett</t>
  </si>
  <si>
    <t>Kim Smith</t>
  </si>
  <si>
    <t>Diana Porter</t>
  </si>
  <si>
    <t>tiffany.d.bennett@odhs.oregon.gov</t>
  </si>
  <si>
    <t>kim.smith2@odhs.oregon.gov</t>
  </si>
  <si>
    <t>diana.r.porter@odhs.oregon.gov</t>
  </si>
  <si>
    <t>Anne Sellers</t>
  </si>
  <si>
    <t>Rebekah Nagel</t>
  </si>
  <si>
    <t>anne.sellers2@odhs.oregon.gov</t>
  </si>
  <si>
    <t>rebekah.j.nagel@odhs.oregon.gov</t>
  </si>
  <si>
    <t>alexandra.frease@odhs.oregon.gov</t>
  </si>
  <si>
    <t>97004, 97015, 97027, 97034, 97035, 97036, 97045, 97068, 97086</t>
  </si>
  <si>
    <t>97009, 97011, 97017, 97022, 97023, 97028, 97049, 97055, 97067, 97086, 97089</t>
  </si>
  <si>
    <t>Per request, reorganized zip code associations for branches 0401 &amp; 0403.
Per request, updated warm hand off point names and emails for branches 1101, 1701, 1801, 2001, 2402, 2601, 2801, &amp; 3403.
Per request, added zip code 97086 to branches 0311 &amp; 0314.</t>
  </si>
  <si>
    <t>Tetiana Ginesin</t>
  </si>
  <si>
    <t>Hillary Walden</t>
  </si>
  <si>
    <t>97407, 97411, 97414, 97420, 97423, 97441, 97449, 97458, 97459, 97466, 97473</t>
  </si>
  <si>
    <t>97430, 97439, 97441, 97453, 97467, 97480, 97493</t>
  </si>
  <si>
    <t>Change Notes 02/26/25 v 6.7.15</t>
  </si>
  <si>
    <t>Per request, and to align with ONE system zip code associations, changed 97467 to associate with 3201.</t>
  </si>
  <si>
    <t>Claudia Andrade</t>
  </si>
  <si>
    <t>Claudia.Y.Andrade@odhs.oregon.gov</t>
  </si>
  <si>
    <t>Per request, updated warm hand off point names and emails for branches 0302, 2404, &amp; 2801.</t>
  </si>
  <si>
    <t>Change Notes 03/13/25 v 6.7.16</t>
  </si>
  <si>
    <t>Release Notes 03/24/25 v 6.3.12</t>
  </si>
  <si>
    <t>Release Notes 09/25/24 v 6.3.11</t>
  </si>
  <si>
    <t>Per 0094, updated address for branch 4350.
Inserted 0451 in the array.</t>
  </si>
  <si>
    <t>Change Notes 04/29/25 v 6.7.17</t>
  </si>
  <si>
    <t>Rhonda Rose</t>
  </si>
  <si>
    <t>Cesar Alvarado</t>
  </si>
  <si>
    <t>Rhonda.Rose@odhs.oregon.gov</t>
  </si>
  <si>
    <t>Shelby Sheets</t>
  </si>
  <si>
    <t>shelby.l.sheets@odhs.oregon.gov</t>
  </si>
  <si>
    <t>Per request, updated warm hand off point names and emails for branches 1201, 2001, 2601, &amp; 3501.</t>
  </si>
  <si>
    <t>Allie Frease</t>
  </si>
  <si>
    <t>Cal Dowers</t>
  </si>
  <si>
    <t>mccallester.u.dowers-ii@odhs.oregon.gov</t>
  </si>
  <si>
    <t>97020, 97026, 97032, 97038, 97071, 97137, 97362, 97373, 97375, 97381</t>
  </si>
  <si>
    <t>97002, 97013, 97042, 97070</t>
  </si>
  <si>
    <t>Change Notes 05/05/25 - 06/03/25 v 6.7.18</t>
  </si>
  <si>
    <t>1602.sspcasetransfers@odhsoha.oregon.gov</t>
  </si>
  <si>
    <t>1603.SSPCASETRANSFERS@odhsoha.oregon.gov</t>
  </si>
  <si>
    <t>Release Notes 06/03/25 v 6.3.13</t>
  </si>
  <si>
    <t>Per 0094, updated phone &amp; fax numbers for branch 0451.</t>
  </si>
  <si>
    <t>97415,</t>
  </si>
  <si>
    <t>Yvonne Schaleger</t>
  </si>
  <si>
    <t>Jen Collins</t>
  </si>
  <si>
    <t>Todd Hirano</t>
  </si>
  <si>
    <t>Esther Pedersen</t>
  </si>
  <si>
    <t>Cesar.C.Alvarado@odhs.oregon.gov</t>
  </si>
  <si>
    <t>Todd.Hirano@odhs.oregon.gov</t>
  </si>
  <si>
    <t>Esther.P.Pedersen@odhs.oregon.gov</t>
  </si>
  <si>
    <t>2201.SSPCASETRANSFERS@odhsoha.oregon.gov</t>
  </si>
  <si>
    <t>2202.SSPCASETRANSFERS@odhsoha.oregon.gov</t>
  </si>
  <si>
    <t>0201.SSPCASETRANSFERS@odhsoha.oregon.gov</t>
  </si>
  <si>
    <t>Updated 97038 to associate with branch 1911 in order to align with the ONE system zip code associations.
Per request, corrected branch 0201, 1602, 1603, 2201, &amp; 2202 email addresses.
Updated Warm Hand Off column header to include TANF.
Per 0094, updated both phone and fax numbers for branch 0403.
Corrected 0802 zip code to read 97415, instead of just 97415.  Missing the comma, it failed to be read by the rules engine.
Updated warm hand off point names and emails for branches 0901, 2405, 3502</t>
  </si>
  <si>
    <t>97761,</t>
  </si>
  <si>
    <t>Christopher Kutsch</t>
  </si>
  <si>
    <t>Kristen Garcia</t>
  </si>
  <si>
    <t>Mary Sehrer</t>
  </si>
  <si>
    <t>Evalyn Ketsdever</t>
  </si>
  <si>
    <t>amanda.l.catron@odhs.oregon.gov</t>
  </si>
  <si>
    <t>christopher.j.kutsch@odhs.oregon.gov</t>
  </si>
  <si>
    <t>kristen.m.garcia@odhs.oregon.gov</t>
  </si>
  <si>
    <t>mary.e.sehrer@odhs.oregon.gov</t>
  </si>
  <si>
    <t>evalyn.m.ketsdever@odhs.oregon.gov</t>
  </si>
  <si>
    <t>rosa.guzman@odhs.oregon.gov</t>
  </si>
  <si>
    <t>Ana Padilla</t>
  </si>
  <si>
    <t>Natasha Ashworth</t>
  </si>
  <si>
    <t>ANA.L.PADILLA@odhs.oregon.gov</t>
  </si>
  <si>
    <t>Allison.THOMPSON@odhs.oregon.gov</t>
  </si>
  <si>
    <t>BUD.E.CARTER@odhs.oregon.gov</t>
  </si>
  <si>
    <t>Yeni.Jiron@odhs.oregon.gov</t>
  </si>
  <si>
    <t>Anna.DeMarco@odhs.oregon.gov</t>
  </si>
  <si>
    <t>Natasha.Ashworth@odhs.oregon.gov</t>
  </si>
  <si>
    <t>odhs-apd-1611-casetransfers@odhsoha.oregon.gov</t>
  </si>
  <si>
    <t>0403.seaside@odhs.oregon.gov</t>
  </si>
  <si>
    <t>Alaina Baker</t>
  </si>
  <si>
    <t>97103, 97016, 97121, 97146</t>
  </si>
  <si>
    <t>Faisal Dost</t>
  </si>
  <si>
    <t>Esper Quilez</t>
  </si>
  <si>
    <t>Taylor.m.miner@odhs.oregon.gov</t>
  </si>
  <si>
    <t>Lisette.m.santiago-moulin@odhs.oregon.gov</t>
  </si>
  <si>
    <t>Melissa.j.castilleja@odhs.oregon.gov</t>
  </si>
  <si>
    <t>Change Notes 06/24/25 - 06/27/25 v 6.7.19</t>
  </si>
  <si>
    <t>Courtney Blass</t>
  </si>
  <si>
    <t>Courtney.Blass@odhs.oregon.gov</t>
  </si>
  <si>
    <t>Castro-Cruz Lesly</t>
  </si>
  <si>
    <t>Blass Courtney</t>
  </si>
  <si>
    <t>Updated Warm Hand Off point names and emails for branches 0201, 0302, 0305, 0403, 0902, 1101, and 3401.
Per request, updated case transfer email for branches 0403 &amp; 1611.
Per request, removed zip code 97131 from 0401 to align with ONE branch/zip associations.</t>
  </si>
  <si>
    <t>Change Notes 06/30/25 v 6.7.20</t>
  </si>
  <si>
    <t>97407, 97411, 97414, 97420, 97423, 97441, 97449, 97458, 97459, 97466</t>
  </si>
  <si>
    <t>97416, 97417, 97424, 97429, 97432, 97435, 97436, 97443, 97447, 97457, 97462, 97467, 97469, 97470, 97471, 97473, 97479, 97481, 97484, 97486, 97494, 97495, 97496, 97499</t>
  </si>
  <si>
    <t>Lesly Castro-Cruz</t>
  </si>
  <si>
    <t>Per request, assigned zip codes 97467 &amp; 97473 from 0611 to 1017.
Per request, removed Warm Hand Off point names and emails for branch 0314.</t>
  </si>
  <si>
    <r>
      <t xml:space="preserve">TANF Warm Hand-Off Branch Connections
     </t>
    </r>
    <r>
      <rPr>
        <i/>
        <sz val="10"/>
        <color rgb="FF305496"/>
        <rFont val="Arial"/>
        <family val="2"/>
      </rPr>
      <t xml:space="preserve">*Send a </t>
    </r>
    <r>
      <rPr>
        <b/>
        <i/>
        <sz val="10"/>
        <color rgb="FF305496"/>
        <rFont val="Arial"/>
        <family val="2"/>
      </rPr>
      <t>group Teams</t>
    </r>
    <r>
      <rPr>
        <i/>
        <sz val="10"/>
        <color rgb="FF305496"/>
        <rFont val="Arial"/>
        <family val="2"/>
      </rPr>
      <t xml:space="preserve"> chat to all listed individuals</t>
    </r>
  </si>
  <si>
    <t>For updates or corrections, please email:</t>
  </si>
  <si>
    <t>v 6.4.0 - Last updated on 06/30/25</t>
  </si>
  <si>
    <t>WHO Contact Email 8</t>
  </si>
  <si>
    <t>Carmen Glover</t>
  </si>
  <si>
    <t>carmen.j.glover@odhs.oregon.gov</t>
  </si>
  <si>
    <t>Change Notes 07/03/25 v 6.8.0</t>
  </si>
  <si>
    <t>2901 - D1 Tillamook</t>
  </si>
  <si>
    <t xml:space="preserve">2801 - D2 N.E. Portland </t>
  </si>
  <si>
    <t>3502 - D2 Gresham</t>
  </si>
  <si>
    <t xml:space="preserve">0401 - D1 Astoria </t>
  </si>
  <si>
    <t xml:space="preserve">0403 - D1 Seaside </t>
  </si>
  <si>
    <t xml:space="preserve">0501 - D1 W. St. Helens </t>
  </si>
  <si>
    <t xml:space="preserve">0511 - D1 E. St. Helens </t>
  </si>
  <si>
    <t xml:space="preserve">0701 - D2 Alberta </t>
  </si>
  <si>
    <t xml:space="preserve">1401 - D2 S.E. Portland </t>
  </si>
  <si>
    <t xml:space="preserve">2601 - D2 St. Johns </t>
  </si>
  <si>
    <t xml:space="preserve">3501 - D2 E. Portland </t>
  </si>
  <si>
    <t xml:space="preserve">1901 - D3 Woodburn </t>
  </si>
  <si>
    <t xml:space="preserve">2401 - D3 S. Salem </t>
  </si>
  <si>
    <t xml:space="preserve">2402 - D3 N.Salem </t>
  </si>
  <si>
    <t xml:space="preserve">2405 - D3 Keizer </t>
  </si>
  <si>
    <t xml:space="preserve">2701 - D3 Dallas </t>
  </si>
  <si>
    <t xml:space="preserve">3601 - D3 McMinnville </t>
  </si>
  <si>
    <t xml:space="preserve">0201 - D4 Corvallis </t>
  </si>
  <si>
    <t xml:space="preserve">2201 - D4 Albany </t>
  </si>
  <si>
    <t xml:space="preserve">2101 - D4 Newport </t>
  </si>
  <si>
    <t xml:space="preserve">2202 - D4 Lebanon </t>
  </si>
  <si>
    <t xml:space="preserve">1101 - D5 Springfield </t>
  </si>
  <si>
    <t xml:space="preserve">2002 - D5 W. Eugene </t>
  </si>
  <si>
    <t xml:space="preserve">2003 - D5 Cottage Grove </t>
  </si>
  <si>
    <t xml:space="preserve">3201 - D5 Florence </t>
  </si>
  <si>
    <t xml:space="preserve">1001 - D6 Roseburg </t>
  </si>
  <si>
    <t xml:space="preserve">0601 - D7 N. Coos Bay/North Bend </t>
  </si>
  <si>
    <t xml:space="preserve">0611 - D7 S. Coos Bay/North Bend </t>
  </si>
  <si>
    <t xml:space="preserve">0801 - D7 Gold Beach </t>
  </si>
  <si>
    <t xml:space="preserve">0802 - D7 Brookings </t>
  </si>
  <si>
    <t xml:space="preserve">3301 - D9 S. The Dalles </t>
  </si>
  <si>
    <t xml:space="preserve">3302 - D9 Hood River </t>
  </si>
  <si>
    <t xml:space="preserve">3311 - D9 N. The Dalles </t>
  </si>
  <si>
    <t xml:space="preserve">3001 - D12 N.E. Pendleton </t>
  </si>
  <si>
    <t xml:space="preserve">3003 - D12 S.E. Hermiston </t>
  </si>
  <si>
    <t xml:space="preserve">3004 - D12 Milton-Freewater </t>
  </si>
  <si>
    <t xml:space="preserve">3011 - D12 S.W. Pendleton </t>
  </si>
  <si>
    <t xml:space="preserve">3013 - D12 S.W. Hermiston </t>
  </si>
  <si>
    <t xml:space="preserve">1201 - D14 John Day </t>
  </si>
  <si>
    <t xml:space="preserve">1301 - D14 Burns </t>
  </si>
  <si>
    <t xml:space="preserve">2301 - D14 Ontario </t>
  </si>
  <si>
    <t xml:space="preserve">0302 - D15 S. Oregon City </t>
  </si>
  <si>
    <t xml:space="preserve">0303 - D15 Clackamas </t>
  </si>
  <si>
    <t xml:space="preserve">0305 - D15 Estacada </t>
  </si>
  <si>
    <t xml:space="preserve">0310 - D15 Canby </t>
  </si>
  <si>
    <t xml:space="preserve">0311 - D15 N. Oregon City </t>
  </si>
  <si>
    <t xml:space="preserve">0313 - D15 Milwaukie </t>
  </si>
  <si>
    <t xml:space="preserve">1402 - D2 Downtown Portland </t>
  </si>
  <si>
    <t>Rae Lee Magallanes</t>
  </si>
  <si>
    <t>Glendy Rivas</t>
  </si>
  <si>
    <t>Rae.F.MAGALLANES@odhs.oregon.gov</t>
  </si>
  <si>
    <t>GLENDY.A.RIVAS@odhs.oregon.gov</t>
  </si>
  <si>
    <t>Timothy.Rust@odhs.oregon.gov</t>
  </si>
  <si>
    <t>Tetiana.Ginesin@odhs.oregon.gov</t>
  </si>
  <si>
    <t>Hillary.Walden@odhs.oregon.gov</t>
  </si>
  <si>
    <t>Vivianne.Vu@odhs.oregon.gov</t>
  </si>
  <si>
    <t>Abbie D'Amico</t>
  </si>
  <si>
    <t>Tatiana Gonzalez</t>
  </si>
  <si>
    <t>Erica Davalos</t>
  </si>
  <si>
    <t>ABBIE.DAMICO@odhs.oregon.gov</t>
  </si>
  <si>
    <t>Tatiana.N.Gonzalez@odhs.oregon.gov</t>
  </si>
  <si>
    <t>BRUCE.V.GIGSTAD@odhs.oregon.gov</t>
  </si>
  <si>
    <t>LaVette.N.Ervin@odhs.oregon.gov</t>
  </si>
  <si>
    <t>Erica.M.Davalos@odhs.oregon.gov</t>
  </si>
  <si>
    <t>Caley.Stelzer@odhs.oregon.gov</t>
  </si>
  <si>
    <r>
      <t>0901 - D10 Bend</t>
    </r>
    <r>
      <rPr>
        <sz val="12"/>
        <color rgb="FF000000"/>
        <rFont val="Arial"/>
        <family val="2"/>
      </rPr>
      <t>​</t>
    </r>
  </si>
  <si>
    <r>
      <t>0902 - D10 Redmond</t>
    </r>
    <r>
      <rPr>
        <sz val="12"/>
        <color rgb="FF000000"/>
        <rFont val="Arial"/>
        <family val="2"/>
      </rPr>
      <t>​</t>
    </r>
  </si>
  <si>
    <r>
      <t>0903 - D10 La Pine</t>
    </r>
    <r>
      <rPr>
        <sz val="12"/>
        <color rgb="FF000000"/>
        <rFont val="Arial"/>
        <family val="2"/>
      </rPr>
      <t>​</t>
    </r>
  </si>
  <si>
    <r>
      <t>1601 - D10 Prineville</t>
    </r>
    <r>
      <rPr>
        <sz val="12"/>
        <color rgb="FF000000"/>
        <rFont val="Arial"/>
        <family val="2"/>
      </rPr>
      <t>​</t>
    </r>
  </si>
  <si>
    <r>
      <t>1602 - D10 Madras</t>
    </r>
    <r>
      <rPr>
        <sz val="12"/>
        <color rgb="FF000000"/>
        <rFont val="Arial"/>
        <family val="2"/>
      </rPr>
      <t>​</t>
    </r>
  </si>
  <si>
    <r>
      <t>1603 - D10 Warm Springs</t>
    </r>
    <r>
      <rPr>
        <sz val="12"/>
        <color rgb="FF000000"/>
        <rFont val="Arial"/>
        <family val="2"/>
      </rPr>
      <t>​</t>
    </r>
  </si>
  <si>
    <t>3401 - D16 N.W. Beaverton</t>
  </si>
  <si>
    <t>3402 - D16 S. Hillsboro</t>
  </si>
  <si>
    <t>3403 - D16 N. Tigard</t>
  </si>
  <si>
    <t>3411 - D16 N. Hillsboro</t>
  </si>
  <si>
    <t>3415 - D16 S.E. Tigard</t>
  </si>
  <si>
    <t>3417 - D16 S.E. Beaverton</t>
  </si>
  <si>
    <t>Per OEP request, changed branch name for branch 0101, 0201, 0302, 0303, 0305, 0310, 0311, 0313, 0401, 0403, 0501, 0511, 0601, 0611, 0701, 0801, 0802, 0901, 0902, 0903, 1001, 1101, 1201, 1301, 1401, 1402, 1404, 1601, 1602, 1603, 1801, 1802, 1901, 2001, 2002, 2003, 2101, 2201, 2202, 2301, 2401, 2402, 2404, 2405, 2601, 2701, 2801, 2901, 3001, 3003, 3004, 3011, 3013, 3101, 3102, 3201, 3301, 3302, 3311, 3401, 3402, 3403, 3411, 3415, 3417, 3501, 3502, 3601
Updated Warm Hand Off point names and emails for branches 2201, 2405, &amp; 3403.</t>
  </si>
  <si>
    <t>Change Notes 07/08/25 - 07/22/25 v 6.8.1</t>
  </si>
  <si>
    <t>815 NE Davis St</t>
  </si>
  <si>
    <t>Per 0094, updated address for branch 4350.</t>
  </si>
  <si>
    <t>Release Notes 08/04/25 v 6.4.1</t>
  </si>
  <si>
    <t>Release Notes 06/30/25 v 6.4.0</t>
  </si>
  <si>
    <t>Per SharePoint team request to make the Zip Matrix conform to WCAG Compliance, adjusted all tabs to a white background with darker related font and internal boundary colors.  Also made SSP BA email address accessible as a link.</t>
  </si>
  <si>
    <t>Updated Warm Hand Off point names and emails for branches 1402 &amp; 2002.
Per SharePoint team request to make the Zip Matrix conform to WCAG Compliance, adjusted all tabs to a white background with darker related font and internal boundary colors.  Also made SSP BA email address accessible as a link.</t>
  </si>
  <si>
    <t>Change Notes 08/04/25 v 6.8.2</t>
  </si>
  <si>
    <t>James R. Maxwell</t>
  </si>
  <si>
    <t>Vicky Gutierrez</t>
  </si>
  <si>
    <t>vicky.gutierrez@odhs.oregon.gov</t>
  </si>
  <si>
    <t>Mychal Quintanilla</t>
  </si>
  <si>
    <t>mychal.quintanilla@odhs.oregon.gov</t>
  </si>
  <si>
    <t>Rebecca Stephens</t>
  </si>
  <si>
    <t>Rebecca.Stephens@odhs.oregon.gov</t>
  </si>
  <si>
    <t>Updated Warm Hand Off point names and emails for branches 1402, 1601, 1602, 1603, 2401, 3201, 3301, 3302, &amp; 3601.</t>
  </si>
  <si>
    <t>Kris Vandeweghe Ross</t>
  </si>
  <si>
    <t>Nicole Rehmer</t>
  </si>
  <si>
    <t>Cindy Sly</t>
  </si>
  <si>
    <t>Amy.Hicks@odhsoha.oregon.gov</t>
  </si>
  <si>
    <t>Alaina.Baker@odhs.oregon.gov</t>
  </si>
  <si>
    <t>Nicole.Rehmer@odhs.oregon.gov</t>
  </si>
  <si>
    <t>Cindy.Sly@odhs.oregon.gov</t>
  </si>
  <si>
    <t>Claire Friend</t>
  </si>
  <si>
    <t>Robin Toth</t>
  </si>
  <si>
    <t>claire.friend@odhs.oregon.gov</t>
  </si>
  <si>
    <t>robin.toth@odhs.oregon.gov</t>
  </si>
  <si>
    <t>Samantha Rymal</t>
  </si>
  <si>
    <t>Gabriela Lopez</t>
  </si>
  <si>
    <t>Karina Millenheft</t>
  </si>
  <si>
    <t>Cyndi Bishop</t>
  </si>
  <si>
    <t>GABRIELA.LOPEZ@odhs.oregon.gov</t>
  </si>
  <si>
    <t>KARINA.A.MILLENHEFT@odhs.oregon.gov</t>
  </si>
  <si>
    <t>Cyndi.Bishop@odhs.oregon.gov</t>
  </si>
  <si>
    <t>David Trujillo</t>
  </si>
  <si>
    <t>JUAN.J.ALVAREZ@odhs.oregon.gov</t>
  </si>
  <si>
    <t>David.E.Trujillo@odhs.oregon.gov</t>
  </si>
  <si>
    <t>BAMF TEAM</t>
  </si>
  <si>
    <t>Vicki Partridge-Hiland</t>
  </si>
  <si>
    <t>Evelyn Covarrubias</t>
  </si>
  <si>
    <t>megan.l.williams@odhs.oregon.gov</t>
  </si>
  <si>
    <t>jace.m.vaughn@odhs.oregon.gov</t>
  </si>
  <si>
    <t>evelyn.covarrubias@odhs.oregon.gov</t>
  </si>
  <si>
    <t>yvonne.a.schaleger@odhs.oregon.gov</t>
  </si>
  <si>
    <t>amber.chamberlain2@odhs.oregon.gov</t>
  </si>
  <si>
    <t>Justine Nauta</t>
  </si>
  <si>
    <t>Sean Dupuis</t>
  </si>
  <si>
    <t>Chelsea Alava</t>
  </si>
  <si>
    <t>Jeremy Preston</t>
  </si>
  <si>
    <t>Ana Hernandez-Garcia</t>
  </si>
  <si>
    <t>Justine.C.Nauta@odhs.oregon.gov</t>
  </si>
  <si>
    <t>Sean.Dupuis@odhs.oregon.gov</t>
  </si>
  <si>
    <t>Esperanza.RODRIGUEZ@odhs.oregon.gov</t>
  </si>
  <si>
    <t>CHELSEA.S.ALAVA@odhs.oregon.gov</t>
  </si>
  <si>
    <t>JEREMY.PRESTON@odhs.oregon.gov</t>
  </si>
  <si>
    <t>ANA.I.HERNANDEZ-GARCIA@odhs.oregon.gov</t>
  </si>
  <si>
    <t>Andrea Schultz</t>
  </si>
  <si>
    <t>jennifer.a.collins@odhs.oregon.gov</t>
  </si>
  <si>
    <t>Andrea.L.Schultz@odhs.oregon.gov</t>
  </si>
  <si>
    <t>Kathy Goodwin</t>
  </si>
  <si>
    <t>Kathy.L.Goodwin@odhs.oregon.gov</t>
  </si>
  <si>
    <t>Florisel Lopez Flores</t>
  </si>
  <si>
    <t>TRINITY.L.ALEXANDER@odhs.oregon.gov</t>
  </si>
  <si>
    <t>FAISAL.DOST@odhs.oregon.gov</t>
  </si>
  <si>
    <t>Florisel.Lopez-Flores@odhs.oregon.gov</t>
  </si>
  <si>
    <t>Esper.Quilez@odhsoha.oregon.gov</t>
  </si>
  <si>
    <t xml:space="preserve">3403 - D16 N. Tigard </t>
  </si>
  <si>
    <t>706 SW 12th St</t>
  </si>
  <si>
    <t>Redmond (0904)</t>
  </si>
  <si>
    <t>Bend (0952)</t>
  </si>
  <si>
    <t>1011 SW Emkay</t>
  </si>
  <si>
    <t>Ste 108</t>
  </si>
  <si>
    <t>Release Notes 08/28/25 v 6.4.2</t>
  </si>
  <si>
    <t>Per 0094, added branches 0904 &amp; 0952.</t>
  </si>
  <si>
    <t>v 6.4.2 - Last updated on 08/28/25</t>
  </si>
  <si>
    <t>Amber Bradley</t>
  </si>
  <si>
    <t>Amber.P.Bradley@odhs.oregon.gov</t>
  </si>
  <si>
    <t>Change Notes 08/25/25 - 09/02/25 v 6.8.3</t>
  </si>
  <si>
    <t>Deana Engles</t>
  </si>
  <si>
    <t>Erica Dawson</t>
  </si>
  <si>
    <t>Sonia Griffin</t>
  </si>
  <si>
    <t>Destanee Warner</t>
  </si>
  <si>
    <t>Marcy Sowa</t>
  </si>
  <si>
    <t>Venus Shipman</t>
  </si>
  <si>
    <t>DEANA.L.ENGLES@odhs.oregon.gov</t>
  </si>
  <si>
    <t>Erica.M.Dawson@odhs.oregon.gov</t>
  </si>
  <si>
    <t>Sonia.I.Griffin@odhs.oregon.gov</t>
  </si>
  <si>
    <t>Destanee.D.Warner@odhs.oregon.gov</t>
  </si>
  <si>
    <t>MARCY.J.SOWA@odhs.oregon.gov</t>
  </si>
  <si>
    <t>VENUS.L.SHIPMAN@odhs.oregon.gov</t>
  </si>
  <si>
    <t>Per request, updated branch 2402 fax number.
Updated Warm Hand Off point names and emails for branches 1401, 1603, 1702, 1801, 2001, 2801, 3004, 3401, 3402, &amp; 3502.</t>
  </si>
  <si>
    <t>Alainna.N.Roach@odhs.oregon.gov</t>
  </si>
  <si>
    <t>Mohammad-Fahim.Sadat@odhs.oregon.gov</t>
  </si>
  <si>
    <r>
      <t>0901 - D10 Bend</t>
    </r>
    <r>
      <rPr>
        <sz val="12"/>
        <color rgb="FF000000"/>
        <rFont val="Arial"/>
        <family val="2"/>
      </rPr>
      <t>​</t>
    </r>
    <r>
      <rPr>
        <sz val="11"/>
        <color theme="1"/>
        <rFont val="Calibri"/>
        <family val="2"/>
        <scheme val="minor"/>
      </rPr>
      <t xml:space="preserve"> </t>
    </r>
  </si>
  <si>
    <t>Change Notes 09/04/25 - 09/09/25 v 6.9.0</t>
  </si>
  <si>
    <t>Zekan Carol K</t>
  </si>
  <si>
    <t>Williams Nancy E</t>
  </si>
  <si>
    <t>Lenerville Nicholas S</t>
  </si>
  <si>
    <t>HEIKEN Randall P</t>
  </si>
  <si>
    <t>Sarah Hooper</t>
  </si>
  <si>
    <t>Mohammad-Fahim.Sadat</t>
  </si>
  <si>
    <t>Karina Lopez Medina</t>
  </si>
  <si>
    <t>Shannone Maria LaValley</t>
  </si>
  <si>
    <t>Sarah.Hooper@odhs.oregon.gov</t>
  </si>
  <si>
    <t>Karina.Lopez-Medina@odhs.oregon.gov</t>
  </si>
  <si>
    <t>shannone.m.la-valley@odhs.oregon.gov</t>
  </si>
  <si>
    <t>1802.sspcasetransfers@odhsoha.oregon.gov</t>
  </si>
  <si>
    <t>Introduced group Teams IM functionality with this release.  This involved a redesign of the UI, unlocking a row within each office WHO contact column sub panel.  The logic which allows for the functionality of actually launching the Team IM had to be set within the UI itself.
Updated Warm Hand Off point names and emails for branches 2101 &amp; 2801.
Per request, updated fax number &amp; case transfer email for branch 1802.</t>
  </si>
  <si>
    <t>97321, 97322, 97324, 97326, 97327, 97329, 97330, 97331, 97333, 97335, 97336, 97339, 97345, 97352, 97355, 97358, 97370, 97374, 97377, 97386, 97389, 97446, 97456</t>
  </si>
  <si>
    <t>ace.M.Vaughn@odhs.oregon.gov</t>
  </si>
  <si>
    <t>Change Notes 09/30/25 v 6.9.1</t>
  </si>
  <si>
    <t>perry.j.andrews@odhs.oregon.gov</t>
  </si>
  <si>
    <t>vicki.partridge-hiland@odhs.oregon.gov</t>
  </si>
  <si>
    <t>Brenda Tucker</t>
  </si>
  <si>
    <t>MARIELA.K.HALL@odhs.oregon.gov</t>
  </si>
  <si>
    <t>Alx.M.Gilmer@odhs.oregon.gov</t>
  </si>
  <si>
    <t>Tricia.L.Hockett@odhs.oregon.gov</t>
  </si>
  <si>
    <t>Julie.Barker@odhs.oregon.gov</t>
  </si>
  <si>
    <t>BRENDA.K.TUCKER@odhs.oregon.gov</t>
  </si>
  <si>
    <t>Zak Zwald</t>
  </si>
  <si>
    <t>Amanda Payne</t>
  </si>
  <si>
    <t>DEBRA.L.STEGMAN@odhs.oregon.gov</t>
  </si>
  <si>
    <t>John.P.Hudson@odhs.oregon.gov</t>
  </si>
  <si>
    <t>Zachary.B.Zwald@odhs.oregon.gov</t>
  </si>
  <si>
    <t>AMANDA.PAYNE@odhs.oregon.gov</t>
  </si>
  <si>
    <t>Lynn Sander</t>
  </si>
  <si>
    <t>Christina Hayes</t>
  </si>
  <si>
    <t>Allen Stickler</t>
  </si>
  <si>
    <t>lynn.sander@odhs.oregon.gov</t>
  </si>
  <si>
    <t>christina.hayes@odhs.oregon.gov</t>
  </si>
  <si>
    <t>allen.a.sickler@odhs.oregon.gov</t>
  </si>
  <si>
    <t>Shannon Dimick</t>
  </si>
  <si>
    <t>Lisa Ward</t>
  </si>
  <si>
    <t>Elizabeth Orr</t>
  </si>
  <si>
    <t>Geri Lane</t>
  </si>
  <si>
    <t>Cecilia DeLaTorre</t>
  </si>
  <si>
    <t>Annette Bateman</t>
  </si>
  <si>
    <t>shannon.dimick@odhs.oregon.gov</t>
  </si>
  <si>
    <t>lisa.a.ward@odhs.oregon.gov</t>
  </si>
  <si>
    <t>elizabeth.f.orr@odhs.oregon.gov</t>
  </si>
  <si>
    <t>geri.l.lane@odhs.oregon.gov</t>
  </si>
  <si>
    <t>cecilia.delatorre@odhs.oregon.gov</t>
  </si>
  <si>
    <t>annette.m.bateman@odhs.oregon.gov</t>
  </si>
  <si>
    <t>Kris Vandeweghe-Ross</t>
  </si>
  <si>
    <t>Amanda Cornelius</t>
  </si>
  <si>
    <t>Amanda.J.Cornelius@odhs.oregon.gov</t>
  </si>
  <si>
    <t xml:space="preserve">3401 - D16 N.W. Beaverton </t>
  </si>
  <si>
    <t xml:space="preserve">3402 - D16 S. Hillsboro </t>
  </si>
  <si>
    <t xml:space="preserve">3411 - D16 N. Hillsboro </t>
  </si>
  <si>
    <t xml:space="preserve">3415 - D16 S.E. Tigard </t>
  </si>
  <si>
    <t xml:space="preserve">3417 - D16 S.E. Beaverton </t>
  </si>
  <si>
    <r>
      <t>0101 - D13 Baker City</t>
    </r>
    <r>
      <rPr>
        <sz val="12"/>
        <color theme="1"/>
        <rFont val="Arial"/>
        <family val="2"/>
      </rPr>
      <t>​</t>
    </r>
    <r>
      <rPr>
        <sz val="11"/>
        <color theme="1"/>
        <rFont val="Calibri"/>
        <family val="2"/>
        <scheme val="minor"/>
      </rPr>
      <t xml:space="preserve"> </t>
    </r>
  </si>
  <si>
    <r>
      <t>3101 - D13 La Grande</t>
    </r>
    <r>
      <rPr>
        <sz val="12"/>
        <color theme="1"/>
        <rFont val="Arial"/>
        <family val="2"/>
      </rPr>
      <t>​</t>
    </r>
    <r>
      <rPr>
        <sz val="11"/>
        <color theme="1"/>
        <rFont val="Calibri"/>
        <family val="2"/>
        <scheme val="minor"/>
      </rPr>
      <t xml:space="preserve"> </t>
    </r>
  </si>
  <si>
    <r>
      <t>3102 - D13 Enterprise</t>
    </r>
    <r>
      <rPr>
        <sz val="12"/>
        <color theme="1"/>
        <rFont val="Arial"/>
        <family val="2"/>
      </rPr>
      <t>​</t>
    </r>
    <r>
      <rPr>
        <sz val="11"/>
        <color theme="1"/>
        <rFont val="Calibri"/>
        <family val="2"/>
        <scheme val="minor"/>
      </rPr>
      <t xml:space="preserve"> </t>
    </r>
  </si>
  <si>
    <r>
      <t>1801 - D11 Klamath Falls</t>
    </r>
    <r>
      <rPr>
        <sz val="12"/>
        <color rgb="FF000000"/>
        <rFont val="Arial"/>
        <family val="2"/>
      </rPr>
      <t>​</t>
    </r>
    <r>
      <rPr>
        <sz val="11"/>
        <color theme="1"/>
        <rFont val="Calibri"/>
        <family val="2"/>
        <scheme val="minor"/>
      </rPr>
      <t xml:space="preserve"> </t>
    </r>
  </si>
  <si>
    <r>
      <t>1802 - D11 Lakeview</t>
    </r>
    <r>
      <rPr>
        <sz val="12"/>
        <color rgb="FF000000"/>
        <rFont val="Arial"/>
        <family val="2"/>
      </rPr>
      <t>​</t>
    </r>
    <r>
      <rPr>
        <sz val="11"/>
        <color theme="1"/>
        <rFont val="Calibri"/>
        <family val="2"/>
        <scheme val="minor"/>
      </rPr>
      <t xml:space="preserve"> </t>
    </r>
  </si>
  <si>
    <r>
      <t>0902 - D10 Redmond</t>
    </r>
    <r>
      <rPr>
        <sz val="12"/>
        <color rgb="FF000000"/>
        <rFont val="Arial"/>
        <family val="2"/>
      </rPr>
      <t>​</t>
    </r>
    <r>
      <rPr>
        <sz val="11"/>
        <color theme="1"/>
        <rFont val="Calibri"/>
        <family val="2"/>
        <scheme val="minor"/>
      </rPr>
      <t xml:space="preserve"> </t>
    </r>
  </si>
  <si>
    <r>
      <t>0903 - D10 La Pine</t>
    </r>
    <r>
      <rPr>
        <sz val="12"/>
        <color rgb="FF000000"/>
        <rFont val="Arial"/>
        <family val="2"/>
      </rPr>
      <t>​</t>
    </r>
    <r>
      <rPr>
        <sz val="11"/>
        <color theme="1"/>
        <rFont val="Calibri"/>
        <family val="2"/>
        <scheme val="minor"/>
      </rPr>
      <t xml:space="preserve"> </t>
    </r>
  </si>
  <si>
    <r>
      <t>1601 - D10 Prineville</t>
    </r>
    <r>
      <rPr>
        <sz val="12"/>
        <color rgb="FF000000"/>
        <rFont val="Arial"/>
        <family val="2"/>
      </rPr>
      <t>​</t>
    </r>
    <r>
      <rPr>
        <sz val="11"/>
        <color theme="1"/>
        <rFont val="Calibri"/>
        <family val="2"/>
        <scheme val="minor"/>
      </rPr>
      <t xml:space="preserve"> </t>
    </r>
  </si>
  <si>
    <r>
      <t>1602 - D10 Madras</t>
    </r>
    <r>
      <rPr>
        <sz val="12"/>
        <color rgb="FF000000"/>
        <rFont val="Arial"/>
        <family val="2"/>
      </rPr>
      <t>​</t>
    </r>
    <r>
      <rPr>
        <sz val="11"/>
        <color theme="1"/>
        <rFont val="Calibri"/>
        <family val="2"/>
        <scheme val="minor"/>
      </rPr>
      <t xml:space="preserve"> </t>
    </r>
  </si>
  <si>
    <r>
      <t>1603 - D10 Warm Springs</t>
    </r>
    <r>
      <rPr>
        <sz val="12"/>
        <color rgb="FF000000"/>
        <rFont val="Arial"/>
        <family val="2"/>
      </rPr>
      <t>​</t>
    </r>
    <r>
      <rPr>
        <sz val="11"/>
        <color theme="1"/>
        <rFont val="Calibri"/>
        <family val="2"/>
        <scheme val="minor"/>
      </rPr>
      <t xml:space="preserve"> </t>
    </r>
  </si>
  <si>
    <t xml:space="preserve">2001 - Eugene DHS Office </t>
  </si>
  <si>
    <t xml:space="preserve">2404 - D3 Sublimity </t>
  </si>
  <si>
    <t>Updated Warm Hand Off point names and emails for branches 0501, 0901, 1501, 1701, 1702, 1801, 1802, &amp; 2901.
Corrected formatting in the UI Teams links where adding new lines were being counted as text characters, which significantly reduced the total character limit.  This was causing an inconsistent value error by branch.
Per request, added 97358 to branch 2211.</t>
  </si>
  <si>
    <t>Danya Greene</t>
  </si>
  <si>
    <t>Natalie Knight</t>
  </si>
  <si>
    <t>Denise Foote</t>
  </si>
  <si>
    <t>Mercedes Bolanos</t>
  </si>
  <si>
    <t>Viktoriia Stehlin</t>
  </si>
  <si>
    <t>Randy Amos</t>
  </si>
  <si>
    <t>danya.m.greene@odhs.oregon.gov</t>
  </si>
  <si>
    <t>natalie.knight@odhs.oregon.gov</t>
  </si>
  <si>
    <t>denise.m.foote@odhs.oregon.gov</t>
  </si>
  <si>
    <t>mercedes.bolanos@odhs.oregon.gov</t>
  </si>
  <si>
    <t>viktoriia.stehlin@odhs.oregon.gov</t>
  </si>
  <si>
    <t>randy.r.amos@odhs.oregon.gov</t>
  </si>
  <si>
    <t>Leah Cupp</t>
  </si>
  <si>
    <t>Dee Cook</t>
  </si>
  <si>
    <t>Livier Jimenez</t>
  </si>
  <si>
    <t>Robin.Toth@odhs.oregon.gov</t>
  </si>
  <si>
    <t>Leah.CUPP@odhs.oregon.gov</t>
  </si>
  <si>
    <t>Dee-Anna.Cook@odhs.oregon.gov</t>
  </si>
  <si>
    <t>Livier.Jimenez@odhs.oregon.gov</t>
  </si>
  <si>
    <t>Veronica Varela</t>
  </si>
  <si>
    <t>Sophie Nguyen</t>
  </si>
  <si>
    <t>Alicia.I.Ruiz@odhs.oregon.gov</t>
  </si>
  <si>
    <t>Veronica.Varela@odhs.oregon.gov</t>
  </si>
  <si>
    <t>Sophie.Nguyen@odhs.oregon.gov</t>
  </si>
  <si>
    <t>Luis Leon</t>
  </si>
  <si>
    <t>Drea Elam</t>
  </si>
  <si>
    <t>Luis.A.Leon@odhs.oregon.gov</t>
  </si>
  <si>
    <t>Sheryl.Medina-Garcia@odhs.oregon.gov</t>
  </si>
  <si>
    <t>Drea.Elam@odhsoha.oregon.gov</t>
  </si>
  <si>
    <t>Amber Nance</t>
  </si>
  <si>
    <t>Bambi.Brown@odhs.oregon.gov</t>
  </si>
  <si>
    <t>Amber.R.Nance@odhs.oregon.gov</t>
  </si>
  <si>
    <t>kris.vandeweghe.ross@odhs.oregon.gov</t>
  </si>
  <si>
    <t>Michelle.Ramos@odhs.oregon.gov</t>
  </si>
  <si>
    <t>Per request, updated fax number for branch 0902.
Updated Warm Hand Off point names and emails for branches 0601, 0701, 0801, 0802, 0902, 1402, 1502, 1603, 2401, &amp; 3501.</t>
  </si>
  <si>
    <t>Johnny Alvarez</t>
  </si>
  <si>
    <t>Jordan Gillet</t>
  </si>
  <si>
    <t>Audrey Knipfer</t>
  </si>
  <si>
    <t>Josephine Dunnington</t>
  </si>
  <si>
    <t>Jordan.Johnson@odhs.oregon.gov</t>
  </si>
  <si>
    <t>Audrey.Knipfer@odhs.oregon.gov</t>
  </si>
  <si>
    <t>Josephine.B.Dunnington@odhs.oregon.gov</t>
  </si>
  <si>
    <t>Sheryl Medina Garcia</t>
  </si>
  <si>
    <t>Change Notes 10/02/25 - 11/04/25 v 6.9.2</t>
  </si>
  <si>
    <t>Change Notes 12/02/25 v 6.9.3</t>
  </si>
  <si>
    <t>Carolin Martin</t>
  </si>
  <si>
    <t>Gustavo Villalvazo</t>
  </si>
  <si>
    <t>Agnes.J.Cassel@odhs.oregon.gov</t>
  </si>
  <si>
    <t>Gustavo.Villalvazo@odhs.oregon.gov</t>
  </si>
  <si>
    <t>Ashley Hathaway</t>
  </si>
  <si>
    <t>Bailey Iverson</t>
  </si>
  <si>
    <t>ashley.hathaway@odhs.oregon.gov</t>
  </si>
  <si>
    <t>bailey.iverson@odhs.oregon.gov</t>
  </si>
  <si>
    <t>Missy Perkins</t>
  </si>
  <si>
    <t>Misty Brazell</t>
  </si>
  <si>
    <t>Yuki Kumashiro</t>
  </si>
  <si>
    <t>Silvia Gonzalez</t>
  </si>
  <si>
    <t>DOUG.K.SANNES@odhs.oregon.gov</t>
  </si>
  <si>
    <t>MELISSA.J.PERKINS@odhs.oregon.gov</t>
  </si>
  <si>
    <t>MISTY.D.BRAZELL@odhs.oregon.gov</t>
  </si>
  <si>
    <t>Yuki.Kumashiro@odhs.oregon.gov</t>
  </si>
  <si>
    <t>Silvia.Gonzalez@odhs.oregon.gov</t>
  </si>
  <si>
    <t>Tina Watts</t>
  </si>
  <si>
    <t>tina.watts@odhs.oregon.gov</t>
  </si>
  <si>
    <t>Per request, corrected the fax number for branch 2001.
Updated Warm Hand Off point names and emails for branches 2002, 2402, 2404, 2405, &amp; 3003.</t>
  </si>
  <si>
    <t>Release Notes 12/08/25 v 6.4.3</t>
  </si>
  <si>
    <t>Per 0094, added branch 3054.</t>
  </si>
  <si>
    <t>Milton-Freewater (3054)</t>
  </si>
  <si>
    <t>151 Sykes Blvd</t>
  </si>
  <si>
    <t>Change Notes 12/08/25 v 6.9.4</t>
  </si>
  <si>
    <t>Updated Warm Hand Off point names and emails for branch 2101.
Per 0094, updated address and fax number for branch 3004.</t>
  </si>
  <si>
    <t>v 6.9.4 - Last updated on 12/08/25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</si>
</sst>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lt;=9999999]###\-####;\(###\)\ ###\-####"/>
    <numFmt numFmtId="166" formatCode="0000"/>
    <numFmt numFmtId="167" formatCode="[&lt;=999999999]###\ ###\ ###;\(###\)\ ###\ ###\ ###"/>
  </numFmts>
  <fonts count="53" x14ac:knownFonts="1">
    <font>
      <sz val="11"/>
      <color theme="1"/>
      <name val="Calibri"/>
      <family val="2"/>
      <scheme val="minor"/>
    </font>
    <font>
      <u/>
      <sz val="11"/>
      <color theme="10"/>
      <name val="Calibri"/>
      <family val="2"/>
      <scheme val="minor"/>
    </font>
    <font>
      <sz val="8"/>
      <color theme="1"/>
      <name val="Calibri"/>
      <family val="2"/>
      <scheme val="minor"/>
    </font>
    <font>
      <sz val="24"/>
      <color theme="0"/>
      <name val="Arial"/>
      <family val="2"/>
    </font>
    <font>
      <sz val="11"/>
      <color theme="1"/>
      <name val="Arial"/>
      <family val="2"/>
    </font>
    <font>
      <sz val="11"/>
      <name val="Calibri"/>
      <family val="2"/>
      <scheme val="minor"/>
    </font>
    <font>
      <sz val="10"/>
      <name val="Arial"/>
      <family val="2"/>
    </font>
    <font>
      <b/>
      <sz val="10"/>
      <name val="Verdana"/>
      <family val="2"/>
    </font>
    <font>
      <u/>
      <sz val="10"/>
      <color indexed="12"/>
      <name val="Arial"/>
      <family val="2"/>
    </font>
    <font>
      <sz val="10"/>
      <name val="Verdana"/>
      <family val="2"/>
    </font>
    <font>
      <b/>
      <sz val="10"/>
      <name val="Arial"/>
      <family val="2"/>
    </font>
    <font>
      <sz val="9"/>
      <color indexed="81"/>
      <name val="Tahoma"/>
      <family val="2"/>
    </font>
    <font>
      <b/>
      <sz val="9"/>
      <color indexed="81"/>
      <name val="Tahoma"/>
      <family val="2"/>
    </font>
    <font>
      <sz val="8"/>
      <name val="Arial"/>
      <family val="2"/>
    </font>
    <font>
      <b/>
      <sz val="11"/>
      <color theme="1"/>
      <name val="Calibri"/>
      <family val="2"/>
      <scheme val="minor"/>
    </font>
    <font>
      <sz val="24"/>
      <color rgb="FF305496"/>
      <name val="Arial"/>
      <family val="2"/>
    </font>
    <font>
      <sz val="12"/>
      <color rgb="FF305496"/>
      <name val="Arial"/>
      <family val="2"/>
    </font>
    <font>
      <sz val="11"/>
      <color rgb="FF305496"/>
      <name val="Arial"/>
      <family val="2"/>
    </font>
    <font>
      <sz val="9"/>
      <color rgb="FF305496"/>
      <name val="Arial"/>
      <family val="2"/>
    </font>
    <font>
      <sz val="14"/>
      <color rgb="FF305496"/>
      <name val="Arial"/>
      <family val="2"/>
    </font>
    <font>
      <sz val="16"/>
      <color rgb="FF305496"/>
      <name val="Arial"/>
      <family val="2"/>
    </font>
    <font>
      <i/>
      <sz val="10"/>
      <color rgb="FF305496"/>
      <name val="Arial"/>
      <family val="2"/>
    </font>
    <font>
      <b/>
      <i/>
      <sz val="10"/>
      <color rgb="FF305496"/>
      <name val="Arial"/>
      <family val="2"/>
    </font>
    <font>
      <u/>
      <sz val="11"/>
      <color rgb="FF305496"/>
      <name val="Arial"/>
      <family val="2"/>
    </font>
    <font>
      <sz val="15"/>
      <color theme="4" tint="-0.249977111117893"/>
      <name val="Arial"/>
      <family val="2"/>
    </font>
    <font>
      <sz val="11"/>
      <color theme="4" tint="-0.249977111117893"/>
      <name val="Calibri"/>
      <family val="2"/>
      <scheme val="minor"/>
    </font>
    <font>
      <sz val="11"/>
      <color rgb="FF002060"/>
      <name val="Calibri"/>
      <family val="2"/>
      <scheme val="minor"/>
    </font>
    <font>
      <sz val="14"/>
      <color rgb="FF002060"/>
      <name val="Arial"/>
      <family val="2"/>
    </font>
    <font>
      <sz val="11"/>
      <color theme="4" tint="-0.249977111117893"/>
      <name val="Arial"/>
      <family val="2"/>
    </font>
    <font>
      <u/>
      <sz val="11"/>
      <color theme="4" tint="-0.249977111117893"/>
      <name val="Arial"/>
      <family val="2"/>
    </font>
    <font>
      <sz val="14"/>
      <color theme="4" tint="-0.249977111117893"/>
      <name val="Arial"/>
      <family val="2"/>
    </font>
    <font>
      <sz val="10"/>
      <color theme="5" tint="-0.249977111117893"/>
      <name val="Arial"/>
      <family val="2"/>
    </font>
    <font>
      <sz val="10"/>
      <color theme="5" tint="-0.499984740745262"/>
      <name val="Arial"/>
      <family val="2"/>
    </font>
    <font>
      <sz val="14"/>
      <color theme="5" tint="-0.499984740745262"/>
      <name val="Arial"/>
      <family val="2"/>
    </font>
    <font>
      <sz val="24"/>
      <color theme="9" tint="-0.249977111117893"/>
      <name val="Arial"/>
      <family val="2"/>
    </font>
    <font>
      <sz val="11"/>
      <color theme="9" tint="-0.499984740745262"/>
      <name val="Calibri"/>
      <family val="2"/>
      <scheme val="minor"/>
    </font>
    <font>
      <sz val="14"/>
      <color theme="9" tint="-0.499984740745262"/>
      <name val="Arial"/>
      <family val="2"/>
    </font>
    <font>
      <sz val="24"/>
      <color rgb="FF833C0C"/>
      <name val="Arial"/>
      <family val="2"/>
    </font>
    <font>
      <sz val="15"/>
      <color rgb="FF833C0C"/>
      <name val="Arial"/>
      <family val="2"/>
    </font>
    <font>
      <sz val="11"/>
      <color rgb="FF833C0C"/>
      <name val="Arial"/>
      <family val="2"/>
    </font>
    <font>
      <sz val="10"/>
      <color rgb="FF833C0C"/>
      <name val="Arial"/>
      <family val="2"/>
    </font>
    <font>
      <sz val="11"/>
      <color rgb="FF833C0C"/>
      <name val="Calibri"/>
      <family val="2"/>
      <scheme val="minor"/>
    </font>
    <font>
      <sz val="14"/>
      <color rgb="FF833C0C"/>
      <name val="Arial"/>
      <family val="2"/>
    </font>
    <font>
      <u/>
      <sz val="11"/>
      <color theme="4" tint="-0.499984740745262"/>
      <name val="Calibri"/>
      <family val="2"/>
      <scheme val="minor"/>
    </font>
    <font>
      <sz val="24"/>
      <color rgb="FF375623"/>
      <name val="Arial"/>
      <family val="2"/>
    </font>
    <font>
      <sz val="14"/>
      <color rgb="FF375623"/>
      <name val="Arial"/>
      <family val="2"/>
    </font>
    <font>
      <sz val="10"/>
      <color rgb="FF375623"/>
      <name val="Arial"/>
      <family val="2"/>
    </font>
    <font>
      <sz val="11"/>
      <color rgb="FF375623"/>
      <name val="Arial"/>
      <family val="2"/>
    </font>
    <font>
      <sz val="10"/>
      <color theme="1"/>
      <name val="Times New Roman"/>
      <family val="1"/>
    </font>
    <font>
      <sz val="12"/>
      <color rgb="FF000000"/>
      <name val="Arial"/>
      <family val="2"/>
    </font>
    <font>
      <sz val="12"/>
      <color theme="1"/>
      <name val="Arial"/>
      <family val="2"/>
    </font>
    <font>
      <b/>
      <sz val="11"/>
      <color rgb="FF305496"/>
      <name val="Arial"/>
      <family val="2"/>
    </font>
    <font>
      <b/>
      <sz val="11"/>
      <color theme="4" tint="-0.249977111117893"/>
      <name val="Arial"/>
      <family val="2"/>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gradientFill type="path">
        <stop position="0">
          <color theme="4"/>
        </stop>
        <stop position="1">
          <color theme="0"/>
        </stop>
      </gradientFill>
    </fill>
    <fill>
      <gradientFill type="path" left="1" right="1" top="1" bottom="1">
        <stop position="0">
          <color theme="0"/>
        </stop>
        <stop position="1">
          <color theme="4"/>
        </stop>
      </gradientFill>
    </fill>
    <fill>
      <gradientFill type="path" left="1" right="1" top="1" bottom="1">
        <stop position="0">
          <color theme="4"/>
        </stop>
        <stop position="1">
          <color theme="0"/>
        </stop>
      </gradientFill>
    </fill>
    <fill>
      <gradientFill type="path">
        <stop position="0">
          <color theme="0"/>
        </stop>
        <stop position="1">
          <color theme="4"/>
        </stop>
      </gradientFill>
    </fill>
    <fill>
      <gradientFill type="path">
        <stop position="0">
          <color theme="5"/>
        </stop>
        <stop position="1">
          <color theme="0"/>
        </stop>
      </gradientFill>
    </fill>
    <fill>
      <gradientFill type="path" left="1" right="1" top="1" bottom="1">
        <stop position="0">
          <color theme="0"/>
        </stop>
        <stop position="1">
          <color theme="5"/>
        </stop>
      </gradientFill>
    </fill>
    <fill>
      <gradientFill type="path" left="1" right="1" top="1" bottom="1">
        <stop position="0">
          <color theme="5"/>
        </stop>
        <stop position="1">
          <color theme="0"/>
        </stop>
      </gradientFill>
    </fill>
    <fill>
      <gradientFill type="path">
        <stop position="0">
          <color theme="0"/>
        </stop>
        <stop position="1">
          <color theme="5"/>
        </stop>
      </gradientFill>
    </fill>
    <fill>
      <gradientFill type="path">
        <stop position="0">
          <color theme="0"/>
        </stop>
        <stop position="1">
          <color theme="9"/>
        </stop>
      </gradientFill>
    </fill>
    <fill>
      <gradientFill type="path">
        <stop position="0">
          <color theme="9"/>
        </stop>
        <stop position="1">
          <color theme="0"/>
        </stop>
      </gradientFill>
    </fill>
    <fill>
      <gradientFill type="path" left="1" right="1" top="1" bottom="1">
        <stop position="0">
          <color theme="9"/>
        </stop>
        <stop position="1">
          <color theme="0"/>
        </stop>
      </gradientFill>
    </fill>
    <fill>
      <gradientFill type="path" left="1" right="1" top="1" bottom="1">
        <stop position="0">
          <color theme="0"/>
        </stop>
        <stop position="1">
          <color theme="9"/>
        </stop>
      </gradient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9"/>
      </right>
      <top style="thin">
        <color indexed="9"/>
      </top>
      <bottom style="thin">
        <color indexed="9"/>
      </bottom>
      <diagonal/>
    </border>
    <border>
      <left/>
      <right/>
      <top/>
      <bottom style="thin">
        <color indexed="64"/>
      </bottom>
      <diagonal/>
    </border>
    <border>
      <left/>
      <right/>
      <top style="thin">
        <color indexed="64"/>
      </top>
      <bottom style="thin">
        <color indexed="64"/>
      </bottom>
      <diagonal/>
    </border>
    <border>
      <left style="thin">
        <color indexed="9"/>
      </left>
      <right style="thin">
        <color indexed="9"/>
      </right>
      <top/>
      <bottom style="thin">
        <color indexed="9"/>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4" tint="-0.24994659260841701"/>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2">
    <xf numFmtId="0" fontId="0" fillId="0" borderId="0"/>
    <xf numFmtId="0" fontId="1" fillId="0" borderId="0" applyNumberFormat="0" applyFill="0" applyBorder="0" applyAlignment="0" applyProtection="0"/>
  </cellStyleXfs>
  <cellXfs count="280">
    <xf numFmtId="0" fontId="0" fillId="0" borderId="0" xfId="0"/>
    <xf numFmtId="0" fontId="6" fillId="0" borderId="0" xfId="0" applyFont="1"/>
    <xf numFmtId="0" fontId="6" fillId="0" borderId="1" xfId="0" applyFont="1" applyBorder="1"/>
    <xf numFmtId="0" fontId="6" fillId="0" borderId="5" xfId="0" applyFont="1" applyBorder="1"/>
    <xf numFmtId="165" fontId="6" fillId="0" borderId="0" xfId="0" applyNumberFormat="1" applyFont="1"/>
    <xf numFmtId="0" fontId="2" fillId="0" borderId="0" xfId="0" applyFont="1" applyProtection="1"/>
    <xf numFmtId="2" fontId="2" fillId="0" borderId="0" xfId="0" applyNumberFormat="1" applyFont="1" applyProtection="1"/>
    <xf numFmtId="0" fontId="0" fillId="0" borderId="0" xfId="0" applyProtection="1"/>
    <xf numFmtId="164" fontId="0" fillId="0" borderId="0" xfId="0" applyNumberFormat="1" applyProtection="1"/>
    <xf numFmtId="165" fontId="0" fillId="0" borderId="0" xfId="0" applyNumberFormat="1" applyProtection="1"/>
    <xf numFmtId="0" fontId="0" fillId="0" borderId="0" xfId="0" applyAlignment="1" applyProtection="1">
      <alignment horizontal="center"/>
    </xf>
    <xf numFmtId="166" fontId="0" fillId="0" borderId="0" xfId="0" applyNumberFormat="1" applyProtection="1"/>
    <xf numFmtId="0" fontId="0" fillId="0" borderId="1" xfId="0" applyBorder="1" applyAlignment="1" applyProtection="1">
      <alignment horizontal="center" vertical="center"/>
    </xf>
    <xf numFmtId="164" fontId="0" fillId="0" borderId="1" xfId="0" applyNumberFormat="1" applyBorder="1" applyAlignment="1" applyProtection="1">
      <alignment horizontal="center" vertical="center"/>
    </xf>
    <xf numFmtId="165" fontId="0" fillId="0" borderId="1" xfId="0" applyNumberFormat="1" applyBorder="1" applyAlignment="1" applyProtection="1">
      <alignment horizontal="center" vertical="center"/>
    </xf>
    <xf numFmtId="0" fontId="0" fillId="0" borderId="1" xfId="0" applyBorder="1" applyProtection="1"/>
    <xf numFmtId="164" fontId="0" fillId="0" borderId="1" xfId="0" applyNumberFormat="1" applyBorder="1" applyProtection="1"/>
    <xf numFmtId="164" fontId="0" fillId="0" borderId="1" xfId="0" applyNumberFormat="1" applyBorder="1" applyAlignment="1" applyProtection="1">
      <alignment horizontal="center"/>
    </xf>
    <xf numFmtId="0" fontId="0" fillId="0" borderId="1" xfId="0" applyBorder="1" applyAlignment="1" applyProtection="1">
      <alignment horizontal="center"/>
    </xf>
    <xf numFmtId="165" fontId="0" fillId="0" borderId="1" xfId="0" applyNumberFormat="1" applyBorder="1" applyAlignment="1" applyProtection="1">
      <alignment horizontal="center"/>
    </xf>
    <xf numFmtId="166" fontId="0" fillId="0" borderId="1" xfId="0" applyNumberFormat="1" applyBorder="1" applyAlignment="1" applyProtection="1">
      <alignment horizontal="center"/>
    </xf>
    <xf numFmtId="1" fontId="0" fillId="0" borderId="1" xfId="0" applyNumberFormat="1" applyBorder="1" applyAlignment="1" applyProtection="1">
      <alignment horizontal="center"/>
    </xf>
    <xf numFmtId="0" fontId="5" fillId="0" borderId="1" xfId="0" applyFont="1" applyBorder="1" applyProtection="1"/>
    <xf numFmtId="166" fontId="0" fillId="0" borderId="1" xfId="0" applyNumberFormat="1" applyBorder="1" applyProtection="1"/>
    <xf numFmtId="165" fontId="0" fillId="0" borderId="1" xfId="0" applyNumberFormat="1" applyBorder="1" applyProtection="1"/>
    <xf numFmtId="0" fontId="6" fillId="0" borderId="0" xfId="0" applyFont="1" applyProtection="1"/>
    <xf numFmtId="49" fontId="6" fillId="0" borderId="0" xfId="0" applyNumberFormat="1" applyFont="1" applyProtection="1"/>
    <xf numFmtId="0" fontId="6" fillId="0" borderId="0" xfId="0" applyFont="1" applyAlignment="1" applyProtection="1">
      <alignment vertical="center"/>
    </xf>
    <xf numFmtId="2" fontId="6" fillId="0" borderId="0" xfId="0" applyNumberFormat="1" applyFont="1" applyAlignment="1" applyProtection="1">
      <alignment vertical="center"/>
    </xf>
    <xf numFmtId="0" fontId="6" fillId="0" borderId="5" xfId="0" applyFont="1" applyBorder="1" applyProtection="1"/>
    <xf numFmtId="0" fontId="7" fillId="0" borderId="0" xfId="0" applyFont="1" applyAlignment="1" applyProtection="1">
      <alignment wrapText="1"/>
    </xf>
    <xf numFmtId="0" fontId="8" fillId="0" borderId="0" xfId="1" applyFont="1" applyAlignment="1" applyProtection="1">
      <alignment wrapText="1"/>
    </xf>
    <xf numFmtId="0" fontId="9" fillId="0" borderId="0" xfId="0" applyFont="1" applyAlignment="1" applyProtection="1">
      <alignment wrapText="1"/>
    </xf>
    <xf numFmtId="0" fontId="0" fillId="0" borderId="0" xfId="0" applyAlignment="1">
      <alignment horizontal="right"/>
    </xf>
    <xf numFmtId="165" fontId="0" fillId="0" borderId="1" xfId="0" applyNumberFormat="1" applyBorder="1" applyAlignment="1" applyProtection="1">
      <alignment horizontal="right"/>
    </xf>
    <xf numFmtId="0" fontId="0" fillId="0" borderId="1" xfId="0" applyBorder="1"/>
    <xf numFmtId="0" fontId="0" fillId="0" borderId="1" xfId="0" applyBorder="1" applyAlignment="1">
      <alignment horizontal="left"/>
    </xf>
    <xf numFmtId="0" fontId="0" fillId="0" borderId="0" xfId="0" applyBorder="1" applyProtection="1"/>
    <xf numFmtId="166" fontId="0" fillId="0" borderId="0" xfId="0" applyNumberFormat="1" applyBorder="1" applyAlignment="1" applyProtection="1">
      <alignment horizontal="center"/>
    </xf>
    <xf numFmtId="164" fontId="0" fillId="0" borderId="0" xfId="0" applyNumberFormat="1" applyBorder="1" applyAlignment="1" applyProtection="1">
      <alignment horizontal="center"/>
    </xf>
    <xf numFmtId="167" fontId="0" fillId="0" borderId="0" xfId="0" applyNumberFormat="1" applyBorder="1" applyAlignment="1" applyProtection="1">
      <alignment horizontal="center"/>
    </xf>
    <xf numFmtId="0" fontId="0" fillId="0" borderId="0" xfId="0" applyBorder="1" applyAlignment="1" applyProtection="1">
      <alignment horizontal="center"/>
    </xf>
    <xf numFmtId="1" fontId="0" fillId="0" borderId="0" xfId="0" applyNumberFormat="1" applyBorder="1" applyAlignment="1" applyProtection="1">
      <alignment horizontal="center"/>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0" xfId="0" applyFill="1" applyBorder="1" applyAlignment="1" applyProtection="1">
      <alignment horizontal="center"/>
    </xf>
    <xf numFmtId="0" fontId="0" fillId="0" borderId="0" xfId="0" applyFill="1"/>
    <xf numFmtId="0" fontId="0" fillId="0" borderId="1" xfId="0" applyFill="1" applyBorder="1"/>
    <xf numFmtId="0" fontId="0" fillId="0" borderId="3" xfId="0" applyBorder="1" applyProtection="1"/>
    <xf numFmtId="0" fontId="0" fillId="0" borderId="1" xfId="0" applyNumberFormat="1" applyBorder="1" applyProtection="1"/>
    <xf numFmtId="0" fontId="9" fillId="0" borderId="0" xfId="0" applyFont="1" applyAlignment="1" applyProtection="1"/>
    <xf numFmtId="0" fontId="6" fillId="0" borderId="0" xfId="0" applyFont="1" applyAlignment="1" applyProtection="1"/>
    <xf numFmtId="0" fontId="7" fillId="0" borderId="0" xfId="0" applyFont="1" applyAlignment="1" applyProtection="1"/>
    <xf numFmtId="0" fontId="10" fillId="0" borderId="0" xfId="0" applyFont="1" applyAlignment="1" applyProtection="1"/>
    <xf numFmtId="165" fontId="0" fillId="0" borderId="2" xfId="0" applyNumberFormat="1" applyBorder="1" applyProtection="1"/>
    <xf numFmtId="165" fontId="0" fillId="0" borderId="2" xfId="0" applyNumberFormat="1" applyBorder="1" applyAlignment="1" applyProtection="1">
      <alignment horizontal="right"/>
    </xf>
    <xf numFmtId="0" fontId="6" fillId="0" borderId="0" xfId="0" applyFont="1" applyAlignment="1" applyProtection="1">
      <alignment horizontal="center"/>
    </xf>
    <xf numFmtId="0" fontId="6" fillId="0" borderId="1" xfId="0" applyFont="1" applyBorder="1" applyProtection="1"/>
    <xf numFmtId="0" fontId="6" fillId="0" borderId="1" xfId="0" applyFont="1" applyBorder="1" applyAlignment="1" applyProtection="1"/>
    <xf numFmtId="0" fontId="6" fillId="0" borderId="1" xfId="0" applyFont="1" applyBorder="1" applyAlignment="1" applyProtection="1">
      <alignment horizontal="center"/>
    </xf>
    <xf numFmtId="0" fontId="6" fillId="0" borderId="2" xfId="0" applyFont="1" applyBorder="1" applyAlignment="1" applyProtection="1">
      <alignment wrapText="1"/>
    </xf>
    <xf numFmtId="0" fontId="0" fillId="0" borderId="0" xfId="0" applyNumberFormat="1" applyProtection="1"/>
    <xf numFmtId="0" fontId="0" fillId="0" borderId="1" xfId="0" quotePrefix="1" applyBorder="1" applyAlignment="1" applyProtection="1">
      <alignment horizontal="center"/>
    </xf>
    <xf numFmtId="0" fontId="0" fillId="0" borderId="0" xfId="0" applyFill="1" applyAlignment="1" applyProtection="1"/>
    <xf numFmtId="0" fontId="0" fillId="0" borderId="0" xfId="0" applyAlignment="1" applyProtection="1">
      <alignment vertical="top" wrapText="1"/>
    </xf>
    <xf numFmtId="0" fontId="0" fillId="0" borderId="0" xfId="0" applyAlignment="1" applyProtection="1">
      <alignment vertical="top"/>
    </xf>
    <xf numFmtId="0" fontId="0" fillId="0" borderId="0" xfId="0" applyFill="1" applyProtection="1"/>
    <xf numFmtId="0" fontId="1" fillId="0" borderId="1" xfId="1" applyBorder="1" applyProtection="1"/>
    <xf numFmtId="0" fontId="0" fillId="0" borderId="12" xfId="0" applyFill="1" applyBorder="1" applyProtection="1"/>
    <xf numFmtId="0" fontId="6" fillId="0" borderId="14" xfId="0" applyFont="1" applyBorder="1" applyProtection="1"/>
    <xf numFmtId="0" fontId="13" fillId="0" borderId="0" xfId="0" applyFont="1" applyAlignment="1" applyProtection="1">
      <alignment wrapText="1"/>
    </xf>
    <xf numFmtId="0" fontId="6" fillId="0" borderId="0"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6" fillId="0" borderId="0" xfId="0" applyFont="1" applyBorder="1"/>
    <xf numFmtId="0" fontId="6" fillId="0" borderId="0" xfId="0" applyFont="1" applyBorder="1" applyAlignment="1">
      <alignment horizontal="left"/>
    </xf>
    <xf numFmtId="0" fontId="6" fillId="0" borderId="1" xfId="0" applyFont="1" applyBorder="1" applyAlignment="1"/>
    <xf numFmtId="0" fontId="6" fillId="0" borderId="4" xfId="0" applyFont="1" applyBorder="1" applyAlignment="1"/>
    <xf numFmtId="0" fontId="6" fillId="0" borderId="3" xfId="0" applyFont="1" applyBorder="1" applyAlignment="1"/>
    <xf numFmtId="0" fontId="6" fillId="0" borderId="1" xfId="0" applyFont="1" applyFill="1" applyBorder="1" applyAlignment="1">
      <alignment horizontal="center"/>
    </xf>
    <xf numFmtId="49" fontId="6" fillId="0" borderId="1" xfId="0" applyNumberFormat="1" applyFont="1" applyFill="1" applyBorder="1" applyAlignment="1">
      <alignment horizontal="center"/>
    </xf>
    <xf numFmtId="0" fontId="6" fillId="0" borderId="1" xfId="0" applyNumberFormat="1" applyFont="1" applyFill="1" applyBorder="1" applyAlignment="1" applyProtection="1">
      <alignment horizontal="center"/>
    </xf>
    <xf numFmtId="166" fontId="0" fillId="0" borderId="1" xfId="0" applyNumberFormat="1" applyBorder="1" applyAlignment="1" applyProtection="1">
      <alignment horizontal="right"/>
    </xf>
    <xf numFmtId="0" fontId="6" fillId="0" borderId="17" xfId="0" applyFont="1" applyBorder="1"/>
    <xf numFmtId="0" fontId="6" fillId="0" borderId="0" xfId="0" applyFont="1" applyFill="1" applyBorder="1"/>
    <xf numFmtId="0" fontId="6" fillId="0" borderId="0" xfId="0" applyFont="1" applyFill="1" applyBorder="1" applyAlignment="1">
      <alignment horizontal="center"/>
    </xf>
    <xf numFmtId="0" fontId="6" fillId="0" borderId="0" xfId="0" applyFont="1" applyFill="1" applyBorder="1" applyAlignment="1"/>
    <xf numFmtId="0" fontId="0" fillId="0" borderId="0" xfId="0" applyAlignment="1" applyProtection="1">
      <alignment horizontal="left"/>
    </xf>
    <xf numFmtId="0" fontId="14" fillId="0" borderId="0" xfId="0" applyFont="1" applyProtection="1"/>
    <xf numFmtId="0" fontId="0" fillId="0" borderId="2" xfId="0" applyFill="1" applyBorder="1"/>
    <xf numFmtId="0" fontId="0" fillId="0" borderId="0" xfId="0" applyBorder="1" applyAlignment="1" applyProtection="1">
      <alignment wrapText="1"/>
    </xf>
    <xf numFmtId="166" fontId="0" fillId="0" borderId="0" xfId="0" applyNumberFormat="1" applyBorder="1" applyProtection="1"/>
    <xf numFmtId="164" fontId="0" fillId="0" borderId="0" xfId="0" applyNumberFormat="1" applyBorder="1" applyProtection="1"/>
    <xf numFmtId="165" fontId="0" fillId="0" borderId="0" xfId="0" applyNumberFormat="1" applyBorder="1" applyProtection="1"/>
    <xf numFmtId="0" fontId="0" fillId="0" borderId="0" xfId="0" applyBorder="1"/>
    <xf numFmtId="0" fontId="0" fillId="0" borderId="1" xfId="0" applyFill="1" applyBorder="1" applyProtection="1"/>
    <xf numFmtId="165" fontId="0" fillId="0" borderId="0" xfId="0" applyNumberFormat="1" applyBorder="1" applyAlignment="1" applyProtection="1">
      <alignment horizontal="right"/>
    </xf>
    <xf numFmtId="0" fontId="0" fillId="0" borderId="4" xfId="0" applyBorder="1" applyProtection="1"/>
    <xf numFmtId="0" fontId="0" fillId="0" borderId="0" xfId="0" applyFill="1" applyBorder="1" applyProtection="1"/>
    <xf numFmtId="0" fontId="0" fillId="0" borderId="0" xfId="0" applyAlignment="1" applyProtection="1"/>
    <xf numFmtId="0" fontId="6" fillId="0" borderId="0" xfId="0" applyFont="1" applyBorder="1" applyAlignment="1" applyProtection="1">
      <alignment horizontal="left" vertical="center"/>
    </xf>
    <xf numFmtId="0" fontId="0" fillId="0" borderId="0" xfId="0" applyFill="1" applyBorder="1"/>
    <xf numFmtId="0" fontId="0" fillId="0" borderId="0" xfId="0" applyBorder="1" applyAlignment="1" applyProtection="1">
      <alignment vertical="top" wrapText="1"/>
    </xf>
    <xf numFmtId="165" fontId="0" fillId="0" borderId="0" xfId="0" applyNumberFormat="1" applyAlignment="1">
      <alignment horizontal="right"/>
    </xf>
    <xf numFmtId="0" fontId="1" fillId="0" borderId="0" xfId="1" applyProtection="1"/>
    <xf numFmtId="0" fontId="1" fillId="0" borderId="0" xfId="1"/>
    <xf numFmtId="0" fontId="0" fillId="0" borderId="0"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wrapText="1"/>
    </xf>
    <xf numFmtId="166" fontId="0" fillId="0" borderId="1" xfId="0" applyNumberFormat="1" applyBorder="1"/>
    <xf numFmtId="164" fontId="0" fillId="0" borderId="1" xfId="0" applyNumberFormat="1" applyBorder="1"/>
    <xf numFmtId="165" fontId="0" fillId="0" borderId="1" xfId="0" applyNumberFormat="1" applyBorder="1"/>
    <xf numFmtId="0" fontId="0" fillId="0" borderId="1" xfId="0" applyBorder="1" applyAlignment="1">
      <alignment horizontal="center"/>
    </xf>
    <xf numFmtId="166" fontId="0" fillId="0" borderId="0" xfId="0" applyNumberFormat="1"/>
    <xf numFmtId="0" fontId="0" fillId="0" borderId="0" xfId="0" applyAlignment="1">
      <alignment horizontal="center"/>
    </xf>
    <xf numFmtId="166" fontId="0" fillId="0" borderId="4" xfId="0" applyNumberFormat="1" applyBorder="1" applyProtection="1"/>
    <xf numFmtId="0" fontId="6" fillId="0" borderId="4" xfId="0" applyFont="1" applyBorder="1"/>
    <xf numFmtId="0" fontId="6" fillId="0" borderId="4" xfId="0" applyFont="1" applyFill="1" applyBorder="1" applyAlignment="1">
      <alignment horizontal="center"/>
    </xf>
    <xf numFmtId="0" fontId="0" fillId="0" borderId="4" xfId="0" applyBorder="1"/>
    <xf numFmtId="166" fontId="0" fillId="0" borderId="18" xfId="0" applyNumberFormat="1" applyBorder="1" applyProtection="1"/>
    <xf numFmtId="0" fontId="6" fillId="0" borderId="18" xfId="0" applyFont="1" applyBorder="1"/>
    <xf numFmtId="0" fontId="6" fillId="0" borderId="18" xfId="0" applyFont="1" applyBorder="1" applyAlignment="1"/>
    <xf numFmtId="0" fontId="6" fillId="0" borderId="18" xfId="0" applyFont="1" applyFill="1" applyBorder="1" applyAlignment="1">
      <alignment horizontal="center"/>
    </xf>
    <xf numFmtId="0" fontId="0" fillId="0" borderId="18" xfId="0" applyBorder="1"/>
    <xf numFmtId="0" fontId="0" fillId="0" borderId="12" xfId="0" applyBorder="1"/>
    <xf numFmtId="0" fontId="1" fillId="0" borderId="0" xfId="1" applyBorder="1" applyProtection="1"/>
    <xf numFmtId="0" fontId="0" fillId="2" borderId="0" xfId="0" applyFill="1" applyProtection="1"/>
    <xf numFmtId="0" fontId="3" fillId="2" borderId="0" xfId="0" applyFont="1" applyFill="1" applyAlignment="1" applyProtection="1">
      <alignment horizontal="center"/>
    </xf>
    <xf numFmtId="0" fontId="4" fillId="2" borderId="0" xfId="0" applyFont="1" applyFill="1" applyBorder="1" applyProtection="1"/>
    <xf numFmtId="0" fontId="0" fillId="5" borderId="0" xfId="0" applyFill="1" applyProtection="1"/>
    <xf numFmtId="0" fontId="0" fillId="7" borderId="0" xfId="0" applyFill="1" applyProtection="1"/>
    <xf numFmtId="0" fontId="16" fillId="2" borderId="0" xfId="0" applyFont="1" applyFill="1" applyBorder="1" applyAlignment="1" applyProtection="1">
      <alignment horizontal="left"/>
      <protection hidden="1"/>
    </xf>
    <xf numFmtId="0" fontId="17" fillId="2" borderId="0" xfId="0" applyFont="1" applyFill="1" applyBorder="1" applyProtection="1"/>
    <xf numFmtId="0" fontId="19" fillId="2" borderId="0" xfId="0" applyFont="1" applyFill="1" applyBorder="1" applyAlignment="1" applyProtection="1">
      <alignment vertical="center"/>
    </xf>
    <xf numFmtId="0" fontId="17" fillId="2" borderId="0" xfId="0" applyFont="1" applyFill="1" applyBorder="1" applyAlignment="1" applyProtection="1">
      <alignment vertical="center"/>
    </xf>
    <xf numFmtId="166" fontId="20" fillId="2" borderId="20" xfId="0" applyNumberFormat="1" applyFont="1" applyFill="1" applyBorder="1" applyAlignment="1" applyProtection="1">
      <alignment horizontal="left" vertical="center"/>
      <protection locked="0"/>
    </xf>
    <xf numFmtId="0" fontId="17" fillId="2" borderId="21" xfId="0" applyFont="1" applyFill="1" applyBorder="1" applyProtection="1"/>
    <xf numFmtId="0" fontId="19" fillId="2" borderId="0" xfId="0" applyFont="1" applyFill="1" applyBorder="1" applyProtection="1"/>
    <xf numFmtId="0" fontId="19" fillId="2" borderId="0" xfId="0" applyFont="1" applyFill="1" applyBorder="1" applyAlignment="1" applyProtection="1">
      <alignment horizontal="right"/>
    </xf>
    <xf numFmtId="0" fontId="17" fillId="2" borderId="0" xfId="0" applyFont="1" applyFill="1" applyBorder="1" applyAlignment="1" applyProtection="1">
      <alignment vertical="top" wrapText="1"/>
    </xf>
    <xf numFmtId="0" fontId="24" fillId="2" borderId="0" xfId="0" applyFont="1" applyFill="1" applyBorder="1" applyAlignment="1" applyProtection="1">
      <alignment horizontal="right" vertical="center"/>
    </xf>
    <xf numFmtId="0" fontId="25" fillId="2" borderId="0" xfId="0" applyFont="1" applyFill="1" applyAlignment="1" applyProtection="1">
      <alignment horizontal="right"/>
    </xf>
    <xf numFmtId="0" fontId="1" fillId="2" borderId="0" xfId="1" applyFill="1" applyProtection="1"/>
    <xf numFmtId="0" fontId="30" fillId="2" borderId="0" xfId="0" applyFont="1" applyFill="1" applyAlignment="1" applyProtection="1">
      <alignment horizontal="right"/>
      <protection hidden="1"/>
    </xf>
    <xf numFmtId="0" fontId="30" fillId="2" borderId="0" xfId="0" applyFont="1" applyFill="1" applyAlignment="1" applyProtection="1">
      <protection hidden="1"/>
    </xf>
    <xf numFmtId="0" fontId="1" fillId="2" borderId="0" xfId="1" applyFill="1" applyProtection="1">
      <protection locked="0" hidden="1"/>
    </xf>
    <xf numFmtId="0" fontId="31" fillId="2" borderId="0" xfId="0" applyFont="1" applyFill="1"/>
    <xf numFmtId="0" fontId="0" fillId="9" borderId="0" xfId="0" applyFill="1"/>
    <xf numFmtId="0" fontId="0" fillId="11" borderId="0" xfId="0" applyFill="1"/>
    <xf numFmtId="0" fontId="34" fillId="2" borderId="0" xfId="0" applyFont="1" applyFill="1" applyAlignment="1" applyProtection="1">
      <alignment horizontal="center" vertical="center"/>
    </xf>
    <xf numFmtId="0" fontId="0" fillId="15" borderId="0" xfId="0" applyFill="1" applyProtection="1"/>
    <xf numFmtId="0" fontId="0" fillId="12" borderId="0" xfId="0" applyFill="1" applyProtection="1"/>
    <xf numFmtId="0" fontId="25" fillId="2" borderId="0" xfId="0" applyFont="1" applyFill="1" applyAlignment="1" applyProtection="1">
      <alignment horizontal="right"/>
      <protection hidden="1"/>
    </xf>
    <xf numFmtId="0" fontId="38" fillId="2" borderId="0" xfId="0" applyFont="1" applyFill="1" applyAlignment="1">
      <alignment horizontal="right"/>
    </xf>
    <xf numFmtId="0" fontId="40" fillId="2" borderId="0" xfId="0" applyFont="1" applyFill="1"/>
    <xf numFmtId="0" fontId="40" fillId="2" borderId="0" xfId="0" applyFont="1" applyFill="1" applyAlignment="1" applyProtection="1">
      <alignment horizontal="right"/>
      <protection hidden="1"/>
    </xf>
    <xf numFmtId="0" fontId="41" fillId="2" borderId="0" xfId="0" applyFont="1" applyFill="1" applyAlignment="1" applyProtection="1">
      <alignment horizontal="right"/>
    </xf>
    <xf numFmtId="0" fontId="42" fillId="2" borderId="0" xfId="0" applyFont="1" applyFill="1" applyAlignment="1" applyProtection="1">
      <alignment horizontal="right"/>
      <protection hidden="1"/>
    </xf>
    <xf numFmtId="166" fontId="42" fillId="2" borderId="20" xfId="0" applyNumberFormat="1" applyFont="1" applyFill="1" applyBorder="1" applyAlignment="1" applyProtection="1">
      <alignment horizontal="left"/>
      <protection locked="0"/>
    </xf>
    <xf numFmtId="0" fontId="40" fillId="2" borderId="0" xfId="0" applyFont="1" applyFill="1" applyAlignment="1">
      <alignment wrapText="1"/>
    </xf>
    <xf numFmtId="0" fontId="42" fillId="2" borderId="0" xfId="0" applyFont="1" applyFill="1"/>
    <xf numFmtId="0" fontId="42" fillId="2" borderId="21" xfId="0" applyFont="1" applyFill="1" applyBorder="1" applyAlignment="1" applyProtection="1"/>
    <xf numFmtId="0" fontId="42" fillId="2" borderId="0" xfId="0" applyFont="1" applyFill="1" applyAlignment="1">
      <alignment horizontal="right"/>
    </xf>
    <xf numFmtId="0" fontId="40" fillId="2" borderId="0" xfId="0" applyFont="1" applyFill="1" applyAlignment="1">
      <alignment vertical="top" wrapText="1"/>
    </xf>
    <xf numFmtId="0" fontId="42" fillId="2" borderId="0" xfId="0" applyFont="1" applyFill="1" applyAlignment="1"/>
    <xf numFmtId="0" fontId="43" fillId="2" borderId="0" xfId="1" applyFont="1" applyFill="1" applyProtection="1">
      <protection locked="0" hidden="1"/>
    </xf>
    <xf numFmtId="0" fontId="44" fillId="2" borderId="0" xfId="0" applyFont="1" applyFill="1" applyAlignment="1" applyProtection="1">
      <alignment horizontal="center" vertical="center"/>
    </xf>
    <xf numFmtId="0" fontId="45" fillId="2" borderId="0" xfId="0" applyFont="1" applyFill="1" applyProtection="1"/>
    <xf numFmtId="0" fontId="45" fillId="2" borderId="0" xfId="0" applyFont="1" applyFill="1" applyAlignment="1" applyProtection="1">
      <alignment horizontal="right"/>
    </xf>
    <xf numFmtId="0" fontId="45" fillId="2" borderId="19" xfId="0" applyFont="1" applyFill="1" applyBorder="1" applyAlignment="1" applyProtection="1">
      <alignment horizontal="left"/>
      <protection locked="0"/>
    </xf>
    <xf numFmtId="0" fontId="46" fillId="2" borderId="0" xfId="0" applyFont="1" applyFill="1" applyProtection="1"/>
    <xf numFmtId="0" fontId="45" fillId="2" borderId="0" xfId="0" applyFont="1" applyFill="1" applyBorder="1" applyAlignment="1" applyProtection="1">
      <alignment horizontal="center" wrapText="1"/>
    </xf>
    <xf numFmtId="0" fontId="45" fillId="2" borderId="19" xfId="0" applyFont="1" applyFill="1" applyBorder="1" applyAlignment="1" applyProtection="1">
      <alignment horizontal="center"/>
      <protection locked="0"/>
    </xf>
    <xf numFmtId="0" fontId="45" fillId="2" borderId="0" xfId="0" applyFont="1" applyFill="1" applyAlignment="1" applyProtection="1">
      <alignment horizontal="left"/>
    </xf>
    <xf numFmtId="0" fontId="45" fillId="2" borderId="0" xfId="0" applyFont="1" applyFill="1" applyAlignment="1" applyProtection="1">
      <alignment vertical="top"/>
    </xf>
    <xf numFmtId="0" fontId="46" fillId="2" borderId="0" xfId="0" applyFont="1" applyFill="1" applyAlignment="1" applyProtection="1">
      <alignment vertical="top"/>
    </xf>
    <xf numFmtId="0" fontId="45" fillId="2" borderId="0" xfId="0" applyFont="1" applyFill="1" applyAlignment="1" applyProtection="1">
      <alignment horizontal="center" wrapText="1"/>
    </xf>
    <xf numFmtId="49" fontId="45" fillId="2" borderId="0" xfId="0" applyNumberFormat="1" applyFont="1" applyFill="1" applyAlignment="1" applyProtection="1">
      <alignment horizontal="center" wrapText="1"/>
    </xf>
    <xf numFmtId="0" fontId="1" fillId="0" borderId="0" xfId="1" applyFill="1"/>
    <xf numFmtId="166" fontId="1" fillId="0" borderId="0" xfId="1" applyNumberFormat="1" applyBorder="1"/>
    <xf numFmtId="0" fontId="5" fillId="2" borderId="1" xfId="1" applyFont="1" applyFill="1" applyBorder="1" applyProtection="1"/>
    <xf numFmtId="0" fontId="38" fillId="2" borderId="0" xfId="0" applyFont="1" applyFill="1" applyProtection="1">
      <protection hidden="1"/>
    </xf>
    <xf numFmtId="0" fontId="47" fillId="2" borderId="0" xfId="0" applyFont="1" applyFill="1" applyAlignment="1" applyProtection="1">
      <alignment horizontal="right"/>
      <protection hidden="1"/>
    </xf>
    <xf numFmtId="0" fontId="46" fillId="2" borderId="0" xfId="0" applyFont="1" applyFill="1" applyAlignment="1" applyProtection="1">
      <alignment vertical="top"/>
      <protection hidden="1"/>
    </xf>
    <xf numFmtId="0" fontId="45" fillId="2" borderId="23" xfId="0" applyFont="1" applyFill="1" applyBorder="1" applyAlignment="1" applyProtection="1">
      <alignment horizontal="center" wrapText="1"/>
      <protection hidden="1"/>
    </xf>
    <xf numFmtId="0" fontId="45" fillId="2" borderId="0" xfId="0" applyFont="1" applyFill="1" applyBorder="1" applyAlignment="1" applyProtection="1">
      <alignment horizontal="center" wrapText="1"/>
      <protection hidden="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48" fillId="0" borderId="0" xfId="0" applyFont="1" applyAlignment="1">
      <alignment vertical="center" wrapText="1"/>
    </xf>
    <xf numFmtId="0" fontId="5" fillId="0" borderId="0" xfId="1" applyFont="1" applyProtection="1"/>
    <xf numFmtId="0" fontId="5" fillId="0" borderId="0" xfId="1" applyFont="1" applyFill="1"/>
    <xf numFmtId="0" fontId="6" fillId="0" borderId="1" xfId="0" applyFont="1" applyBorder="1" applyAlignment="1">
      <alignment horizontal="center"/>
    </xf>
    <xf numFmtId="0" fontId="52" fillId="2" borderId="0" xfId="0" applyFont="1" applyFill="1" applyAlignment="1" applyProtection="1">
      <alignment horizontal="center" vertical="center" wrapText="1"/>
      <protection locked="0" hidden="1"/>
    </xf>
    <xf numFmtId="0" fontId="27" fillId="6" borderId="0" xfId="0" applyFont="1" applyFill="1" applyAlignment="1" applyProtection="1">
      <alignment horizontal="center"/>
      <protection hidden="1"/>
    </xf>
    <xf numFmtId="0" fontId="28" fillId="2" borderId="0" xfId="0" applyFont="1" applyFill="1" applyAlignment="1" applyProtection="1">
      <alignment horizontal="left" vertical="center" wrapText="1"/>
      <protection hidden="1"/>
    </xf>
    <xf numFmtId="0" fontId="29" fillId="2" borderId="0" xfId="0" applyFont="1" applyFill="1" applyAlignment="1" applyProtection="1">
      <alignment horizontal="center" vertical="top" wrapText="1"/>
      <protection locked="0" hidden="1"/>
    </xf>
    <xf numFmtId="0" fontId="0" fillId="4" borderId="0" xfId="0" applyFill="1" applyAlignment="1" applyProtection="1">
      <alignment horizontal="center"/>
    </xf>
    <xf numFmtId="0" fontId="26" fillId="4" borderId="0" xfId="0" applyFont="1" applyFill="1" applyAlignment="1" applyProtection="1">
      <alignment horizontal="center"/>
      <protection hidden="1"/>
    </xf>
    <xf numFmtId="0" fontId="23" fillId="2" borderId="0" xfId="0" applyFont="1" applyFill="1" applyAlignment="1" applyProtection="1">
      <alignment horizontal="center" vertical="top" wrapText="1"/>
      <protection locked="0" hidden="1"/>
    </xf>
    <xf numFmtId="0" fontId="17" fillId="2" borderId="22" xfId="0" applyFont="1" applyFill="1" applyBorder="1" applyAlignment="1" applyProtection="1">
      <alignment horizontal="left" vertical="center" wrapText="1"/>
      <protection hidden="1"/>
    </xf>
    <xf numFmtId="0" fontId="17" fillId="2" borderId="0" xfId="0" applyFont="1" applyFill="1" applyBorder="1" applyAlignment="1" applyProtection="1">
      <alignment horizontal="left" vertical="center" wrapText="1"/>
      <protection hidden="1"/>
    </xf>
    <xf numFmtId="0" fontId="17" fillId="2" borderId="0" xfId="0" applyFont="1" applyFill="1" applyAlignment="1" applyProtection="1">
      <alignment horizontal="left" vertical="center" wrapText="1"/>
      <protection hidden="1"/>
    </xf>
    <xf numFmtId="0" fontId="0" fillId="6" borderId="0" xfId="0" applyFill="1" applyAlignment="1" applyProtection="1">
      <alignment horizontal="center"/>
    </xf>
    <xf numFmtId="0" fontId="17" fillId="2" borderId="0" xfId="0" applyFont="1" applyFill="1" applyBorder="1" applyAlignment="1" applyProtection="1">
      <alignment horizontal="center" vertical="center" wrapText="1"/>
      <protection hidden="1"/>
    </xf>
    <xf numFmtId="0" fontId="18" fillId="2" borderId="0" xfId="0" applyFont="1" applyFill="1" applyBorder="1" applyAlignment="1" applyProtection="1">
      <alignment horizontal="left" wrapText="1"/>
      <protection hidden="1"/>
    </xf>
    <xf numFmtId="0" fontId="15" fillId="3" borderId="0" xfId="0" applyFont="1" applyFill="1" applyAlignment="1" applyProtection="1">
      <alignment horizontal="center"/>
    </xf>
    <xf numFmtId="0" fontId="23" fillId="2" borderId="22" xfId="0" applyFont="1" applyFill="1" applyBorder="1" applyAlignment="1" applyProtection="1">
      <alignment horizontal="center" vertical="top" wrapText="1"/>
      <protection locked="0" hidden="1"/>
    </xf>
    <xf numFmtId="0" fontId="23" fillId="2" borderId="0" xfId="0" applyFont="1" applyFill="1" applyBorder="1" applyAlignment="1" applyProtection="1">
      <alignment horizontal="center" vertical="top"/>
      <protection locked="0" hidden="1"/>
    </xf>
    <xf numFmtId="0" fontId="28" fillId="2" borderId="0" xfId="0" applyFont="1" applyFill="1" applyAlignment="1" applyProtection="1">
      <alignment horizontal="left" vertical="top" wrapText="1"/>
      <protection hidden="1"/>
    </xf>
    <xf numFmtId="0" fontId="19" fillId="2" borderId="0" xfId="0" applyFont="1" applyFill="1" applyBorder="1" applyAlignment="1" applyProtection="1">
      <alignment horizontal="left" wrapText="1"/>
    </xf>
    <xf numFmtId="0" fontId="17" fillId="2" borderId="22" xfId="0" quotePrefix="1" applyFont="1" applyFill="1" applyBorder="1" applyAlignment="1" applyProtection="1">
      <alignment horizontal="left" vertical="top" wrapText="1"/>
      <protection hidden="1"/>
    </xf>
    <xf numFmtId="0" fontId="17" fillId="2" borderId="0" xfId="0" quotePrefix="1" applyFont="1" applyFill="1" applyBorder="1" applyAlignment="1" applyProtection="1">
      <alignment horizontal="left" vertical="top" wrapText="1"/>
      <protection hidden="1"/>
    </xf>
    <xf numFmtId="0" fontId="51" fillId="2" borderId="0" xfId="0" applyFont="1" applyFill="1" applyBorder="1" applyAlignment="1" applyProtection="1">
      <alignment horizontal="center" vertical="center" wrapText="1"/>
      <protection locked="0" hidden="1"/>
    </xf>
    <xf numFmtId="0" fontId="17" fillId="2" borderId="0" xfId="0" applyFont="1" applyFill="1" applyAlignment="1" applyProtection="1">
      <alignment horizontal="left" vertical="top" wrapText="1"/>
      <protection hidden="1"/>
    </xf>
    <xf numFmtId="0" fontId="51" fillId="2" borderId="0" xfId="0" applyFont="1" applyFill="1" applyAlignment="1" applyProtection="1">
      <alignment horizontal="center" vertical="center" wrapText="1"/>
      <protection locked="0" hidden="1"/>
    </xf>
    <xf numFmtId="0" fontId="32" fillId="8" borderId="0" xfId="0" applyFont="1" applyFill="1" applyAlignment="1">
      <alignment horizontal="center"/>
    </xf>
    <xf numFmtId="0" fontId="33" fillId="10" borderId="0" xfId="0" applyFont="1" applyFill="1" applyAlignment="1">
      <alignment horizontal="center"/>
    </xf>
    <xf numFmtId="0" fontId="39" fillId="2" borderId="0" xfId="0" applyFont="1" applyFill="1" applyAlignment="1" applyProtection="1">
      <alignment horizontal="center" vertical="center" wrapText="1"/>
      <protection hidden="1"/>
    </xf>
    <xf numFmtId="0" fontId="0" fillId="8" borderId="0" xfId="0" applyFill="1" applyAlignment="1">
      <alignment horizontal="center"/>
    </xf>
    <xf numFmtId="0" fontId="0" fillId="10" borderId="0" xfId="0" applyFill="1" applyAlignment="1">
      <alignment horizontal="center"/>
    </xf>
    <xf numFmtId="0" fontId="37" fillId="2" borderId="0" xfId="0" applyFont="1" applyFill="1" applyAlignment="1">
      <alignment horizontal="center" vertical="center"/>
    </xf>
    <xf numFmtId="0" fontId="35" fillId="13" borderId="0" xfId="0" applyFont="1" applyFill="1" applyAlignment="1" applyProtection="1">
      <alignment horizontal="center"/>
      <protection hidden="1"/>
    </xf>
    <xf numFmtId="0" fontId="36" fillId="14" borderId="0" xfId="0" applyFont="1" applyFill="1" applyAlignment="1" applyProtection="1">
      <alignment horizontal="center"/>
    </xf>
    <xf numFmtId="0" fontId="0" fillId="14" borderId="0" xfId="0" applyFill="1" applyAlignment="1" applyProtection="1">
      <alignment horizontal="center"/>
    </xf>
    <xf numFmtId="0" fontId="44" fillId="2" borderId="0" xfId="0" applyFont="1" applyFill="1" applyAlignment="1" applyProtection="1">
      <alignment horizontal="center" vertical="center"/>
    </xf>
    <xf numFmtId="0" fontId="0" fillId="13" borderId="0" xfId="0" applyFill="1" applyAlignment="1" applyProtection="1">
      <alignment horizontal="center"/>
    </xf>
    <xf numFmtId="0" fontId="45" fillId="2" borderId="0" xfId="0" applyFont="1" applyFill="1" applyAlignment="1" applyProtection="1">
      <alignment horizontal="center"/>
      <protection hidden="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pplyProtection="1">
      <alignment horizontal="left" vertical="top" wrapText="1"/>
    </xf>
    <xf numFmtId="0" fontId="0" fillId="0" borderId="13"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0" xfId="0" applyBorder="1" applyAlignment="1">
      <alignment horizontal="left" vertical="top" wrapText="1"/>
    </xf>
    <xf numFmtId="0" fontId="0" fillId="0" borderId="2" xfId="0" applyBorder="1" applyAlignment="1" applyProtection="1">
      <alignment horizontal="left"/>
    </xf>
    <xf numFmtId="0" fontId="0" fillId="0" borderId="16" xfId="0" applyBorder="1" applyAlignment="1" applyProtection="1">
      <alignment horizontal="left"/>
    </xf>
    <xf numFmtId="0" fontId="0" fillId="0" borderId="3" xfId="0" applyBorder="1" applyAlignment="1" applyProtection="1">
      <alignment horizontal="left"/>
    </xf>
    <xf numFmtId="0" fontId="0" fillId="0" borderId="6" xfId="0" applyBorder="1" applyAlignment="1" applyProtection="1">
      <alignment horizontal="left" vertical="top"/>
    </xf>
    <xf numFmtId="0" fontId="0" fillId="0" borderId="13" xfId="0" applyBorder="1" applyAlignment="1" applyProtection="1">
      <alignment horizontal="left" vertical="top"/>
    </xf>
    <xf numFmtId="0" fontId="0" fillId="0" borderId="7" xfId="0" applyBorder="1" applyAlignment="1" applyProtection="1">
      <alignment horizontal="left" vertical="top"/>
    </xf>
    <xf numFmtId="0" fontId="0" fillId="0" borderId="8" xfId="0" applyBorder="1" applyAlignment="1" applyProtection="1">
      <alignment horizontal="left" vertical="top"/>
    </xf>
    <xf numFmtId="0" fontId="0" fillId="0" borderId="0" xfId="0" applyBorder="1" applyAlignment="1" applyProtection="1">
      <alignment horizontal="left" vertical="top"/>
    </xf>
    <xf numFmtId="0" fontId="0" fillId="0" borderId="9" xfId="0" applyBorder="1" applyAlignment="1" applyProtection="1">
      <alignment horizontal="left" vertical="top"/>
    </xf>
    <xf numFmtId="0" fontId="0" fillId="0" borderId="10" xfId="0" applyBorder="1" applyAlignment="1" applyProtection="1">
      <alignment horizontal="left" vertical="top"/>
    </xf>
    <xf numFmtId="0" fontId="0" fillId="0" borderId="15" xfId="0" applyBorder="1" applyAlignment="1" applyProtection="1">
      <alignment horizontal="left" vertical="top"/>
    </xf>
    <xf numFmtId="0" fontId="0" fillId="0" borderId="11" xfId="0" applyBorder="1" applyAlignment="1" applyProtection="1">
      <alignment horizontal="left" vertical="top"/>
    </xf>
    <xf numFmtId="0" fontId="0" fillId="0" borderId="1" xfId="0" applyBorder="1" applyAlignment="1" applyProtection="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left" vertical="top"/>
    </xf>
  </cellXfs>
  <cellStyles count="2">
    <cellStyle name="Hyperlink" xfId="1" builtinId="8"/>
    <cellStyle name="Normal" xfId="0" builtinId="0"/>
  </cellStyles>
  <dxfs count="52">
    <dxf>
      <border>
        <left style="thin">
          <color theme="9" tint="-0.24994659260841701"/>
        </left>
        <right style="thin">
          <color theme="9" tint="-0.24994659260841701"/>
        </right>
        <top style="thin">
          <color theme="9" tint="-0.24994659260841701"/>
        </top>
        <bottom style="thin">
          <color theme="9" tint="-0.24994659260841701"/>
        </bottom>
        <vertical/>
        <horizontal/>
      </border>
    </dxf>
    <dxf>
      <border>
        <left style="thin">
          <color theme="9" tint="-0.24994659260841701"/>
        </left>
        <right style="thin">
          <color theme="9" tint="-0.24994659260841701"/>
        </right>
        <top style="thin">
          <color theme="9" tint="-0.24994659260841701"/>
        </top>
        <bottom style="thin">
          <color theme="9" tint="-0.24994659260841701"/>
        </bottom>
        <vertical/>
        <horizontal/>
      </border>
    </dxf>
    <dxf>
      <border>
        <left style="thin">
          <color theme="9" tint="-0.24994659260841701"/>
        </left>
        <right style="thin">
          <color theme="9" tint="-0.24994659260841701"/>
        </right>
        <top style="thin">
          <color theme="9" tint="-0.24994659260841701"/>
        </top>
        <bottom style="thin">
          <color theme="9" tint="-0.24994659260841701"/>
        </bottom>
        <vertical/>
        <horizontal/>
      </border>
    </dxf>
    <dxf>
      <numFmt numFmtId="1" formatCode="0"/>
    </dxf>
    <dxf>
      <numFmt numFmtId="166" formatCode="0000"/>
    </dxf>
    <dxf>
      <numFmt numFmtId="168" formatCode="00"/>
    </dxf>
    <dxf>
      <border>
        <left style="thin">
          <color theme="5" tint="-0.24994659260841701"/>
        </left>
        <right style="thin">
          <color theme="5" tint="-0.24994659260841701"/>
        </right>
        <top style="thin">
          <color theme="5" tint="-0.24994659260841701"/>
        </top>
        <bottom style="thin">
          <color theme="5" tint="-0.24994659260841701"/>
        </bottom>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vertical/>
        <horizontal/>
      </border>
    </dxf>
    <dxf>
      <border>
        <top style="thin">
          <color theme="4" tint="-0.24994659260841701"/>
        </top>
      </border>
    </dxf>
    <dxf>
      <border>
        <top style="thin">
          <color theme="4" tint="-0.24994659260841701"/>
        </top>
      </border>
    </dxf>
    <dxf>
      <border>
        <top style="thin">
          <color theme="4" tint="-0.24994659260841701"/>
        </top>
      </border>
    </dxf>
    <dxf>
      <border>
        <top style="thin">
          <color theme="4" tint="-0.24994659260841701"/>
        </top>
      </border>
    </dxf>
    <dxf>
      <border>
        <top style="thin">
          <color theme="4" tint="-0.24994659260841701"/>
        </top>
        <vertical/>
        <horizontal/>
      </border>
    </dxf>
    <dxf>
      <numFmt numFmtId="168" formatCode="00"/>
    </dxf>
    <dxf>
      <numFmt numFmtId="166" formatCode="0000"/>
    </dxf>
    <dxf>
      <numFmt numFmtId="1" formatCode="0"/>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
      <border>
        <top style="thin">
          <color theme="4" tint="-0.24994659260841701"/>
        </top>
        <vertical/>
        <horizontal/>
      </border>
    </dxf>
  </dxfs>
  <tableStyles count="0" defaultTableStyle="TableStyleMedium2" defaultPivotStyle="PivotStyleLight16"/>
  <colors>
    <mruColors>
      <color rgb="FF305496"/>
      <color rgb="FF375623"/>
      <color rgb="FF833C0C"/>
      <color rgb="FFC65911"/>
      <color rgb="FF548235"/>
      <color rgb="FFFFFFFF"/>
      <color rgb="FF4472C4"/>
      <color rgb="FFD9D9D9"/>
      <color rgb="FFA6A6A6"/>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http://www.brainyzip.com/images/b.gif" TargetMode="External"/><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http://www.brainyzip.com/images/b.gif" TargetMode="External"/><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12</xdr:col>
      <xdr:colOff>1400175</xdr:colOff>
      <xdr:row>2</xdr:row>
      <xdr:rowOff>57150</xdr:rowOff>
    </xdr:from>
    <xdr:to>
      <xdr:col>13</xdr:col>
      <xdr:colOff>1405509</xdr:colOff>
      <xdr:row>3</xdr:row>
      <xdr:rowOff>378714</xdr:rowOff>
    </xdr:to>
    <xdr:pic>
      <xdr:nvPicPr>
        <xdr:cNvPr id="3" name="Picture 2" descr="Oregon Department of Human Services logo">
          <a:extLst>
            <a:ext uri="{FF2B5EF4-FFF2-40B4-BE49-F238E27FC236}">
              <a16:creationId xmlns:a16="http://schemas.microsoft.com/office/drawing/2014/main" id="{70BF9198-8BB6-FAEB-508D-B2CB4CA1D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438150"/>
          <a:ext cx="30723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1000125</xdr:colOff>
      <xdr:row>4</xdr:row>
      <xdr:rowOff>9525</xdr:rowOff>
    </xdr:from>
    <xdr:to>
      <xdr:col>12</xdr:col>
      <xdr:colOff>214884</xdr:colOff>
      <xdr:row>6</xdr:row>
      <xdr:rowOff>83439</xdr:rowOff>
    </xdr:to>
    <xdr:pic>
      <xdr:nvPicPr>
        <xdr:cNvPr id="4" name="Picture 3" descr="Oregon Department of Human Services logo">
          <a:extLst>
            <a:ext uri="{FF2B5EF4-FFF2-40B4-BE49-F238E27FC236}">
              <a16:creationId xmlns:a16="http://schemas.microsoft.com/office/drawing/2014/main" id="{221FE820-EBE3-42F5-B7C4-BBD52B2C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933450"/>
          <a:ext cx="30723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578</xdr:row>
      <xdr:rowOff>0</xdr:rowOff>
    </xdr:from>
    <xdr:to>
      <xdr:col>1</xdr:col>
      <xdr:colOff>476250</xdr:colOff>
      <xdr:row>578</xdr:row>
      <xdr:rowOff>9525</xdr:rowOff>
    </xdr:to>
    <xdr:pic>
      <xdr:nvPicPr>
        <xdr:cNvPr id="2" name="Picture 1" descr="http://www.brainyzip.com/images/b.gif">
          <a:extLst>
            <a:ext uri="{FF2B5EF4-FFF2-40B4-BE49-F238E27FC236}">
              <a16:creationId xmlns:a16="http://schemas.microsoft.com/office/drawing/2014/main" id="{D67B36B2-FD1D-42A8-968B-6B3CF05A463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57175" y="98955225"/>
          <a:ext cx="2571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219075</xdr:colOff>
      <xdr:row>2</xdr:row>
      <xdr:rowOff>28575</xdr:rowOff>
    </xdr:from>
    <xdr:to>
      <xdr:col>15</xdr:col>
      <xdr:colOff>243459</xdr:colOff>
      <xdr:row>2</xdr:row>
      <xdr:rowOff>540639</xdr:rowOff>
    </xdr:to>
    <xdr:pic>
      <xdr:nvPicPr>
        <xdr:cNvPr id="4" name="Picture 3" descr="Oregon Department of Human Services logo">
          <a:extLst>
            <a:ext uri="{FF2B5EF4-FFF2-40B4-BE49-F238E27FC236}">
              <a16:creationId xmlns:a16="http://schemas.microsoft.com/office/drawing/2014/main" id="{8BDB5213-072C-479A-B55B-BE196FB562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86925" y="419100"/>
          <a:ext cx="30723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498</xdr:row>
      <xdr:rowOff>0</xdr:rowOff>
    </xdr:from>
    <xdr:to>
      <xdr:col>9</xdr:col>
      <xdr:colOff>628650</xdr:colOff>
      <xdr:row>498</xdr:row>
      <xdr:rowOff>9525</xdr:rowOff>
    </xdr:to>
    <xdr:pic>
      <xdr:nvPicPr>
        <xdr:cNvPr id="2" name="Picture 1" descr="http://www.brainyzip.com/images/b.gif">
          <a:extLst>
            <a:ext uri="{FF2B5EF4-FFF2-40B4-BE49-F238E27FC236}">
              <a16:creationId xmlns:a16="http://schemas.microsoft.com/office/drawing/2014/main" id="{301D6E48-284C-418D-8E7B-315734F5BDE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488400" y="96831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0</xdr:colOff>
      <xdr:row>498</xdr:row>
      <xdr:rowOff>9525</xdr:rowOff>
    </xdr:to>
    <xdr:pic>
      <xdr:nvPicPr>
        <xdr:cNvPr id="3" name="Picture 2" descr="http://www.brainyzip.com/images/b.gif">
          <a:extLst>
            <a:ext uri="{FF2B5EF4-FFF2-40B4-BE49-F238E27FC236}">
              <a16:creationId xmlns:a16="http://schemas.microsoft.com/office/drawing/2014/main" id="{DD4E2219-F0C6-47F9-8CB3-D696881298F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133350</xdr:colOff>
      <xdr:row>498</xdr:row>
      <xdr:rowOff>9525</xdr:rowOff>
    </xdr:to>
    <xdr:pic>
      <xdr:nvPicPr>
        <xdr:cNvPr id="4" name="Picture 3" descr="http://www.brainyzip.com/images/b.gif">
          <a:extLst>
            <a:ext uri="{FF2B5EF4-FFF2-40B4-BE49-F238E27FC236}">
              <a16:creationId xmlns:a16="http://schemas.microsoft.com/office/drawing/2014/main" id="{ECD69368-9649-43EE-A22E-91E0A16231B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6831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498</xdr:row>
      <xdr:rowOff>0</xdr:rowOff>
    </xdr:from>
    <xdr:to>
      <xdr:col>11</xdr:col>
      <xdr:colOff>0</xdr:colOff>
      <xdr:row>498</xdr:row>
      <xdr:rowOff>9525</xdr:rowOff>
    </xdr:to>
    <xdr:pic>
      <xdr:nvPicPr>
        <xdr:cNvPr id="5" name="Picture 4" descr="http://www.brainyzip.com/images/b.gif">
          <a:extLst>
            <a:ext uri="{FF2B5EF4-FFF2-40B4-BE49-F238E27FC236}">
              <a16:creationId xmlns:a16="http://schemas.microsoft.com/office/drawing/2014/main" id="{F4E4BD03-0D6A-4920-BD11-87F28577C9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499</xdr:row>
      <xdr:rowOff>0</xdr:rowOff>
    </xdr:from>
    <xdr:to>
      <xdr:col>9</xdr:col>
      <xdr:colOff>476250</xdr:colOff>
      <xdr:row>499</xdr:row>
      <xdr:rowOff>9525</xdr:rowOff>
    </xdr:to>
    <xdr:pic>
      <xdr:nvPicPr>
        <xdr:cNvPr id="6" name="Picture 1" descr="http://www.brainyzip.com/images/b.gif">
          <a:extLst>
            <a:ext uri="{FF2B5EF4-FFF2-40B4-BE49-F238E27FC236}">
              <a16:creationId xmlns:a16="http://schemas.microsoft.com/office/drawing/2014/main" id="{52404E92-DF54-4496-B7B5-4C07D7343B9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488400" y="970216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499</xdr:row>
      <xdr:rowOff>0</xdr:rowOff>
    </xdr:from>
    <xdr:to>
      <xdr:col>10</xdr:col>
      <xdr:colOff>628650</xdr:colOff>
      <xdr:row>499</xdr:row>
      <xdr:rowOff>9525</xdr:rowOff>
    </xdr:to>
    <xdr:pic>
      <xdr:nvPicPr>
        <xdr:cNvPr id="7" name="Picture 2" descr="http://www.brainyzip.com/images/b.gif">
          <a:extLst>
            <a:ext uri="{FF2B5EF4-FFF2-40B4-BE49-F238E27FC236}">
              <a16:creationId xmlns:a16="http://schemas.microsoft.com/office/drawing/2014/main" id="{11559C41-452F-4D84-8A91-32AF07B96D8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70216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0</xdr:colOff>
      <xdr:row>499</xdr:row>
      <xdr:rowOff>9525</xdr:rowOff>
    </xdr:to>
    <xdr:pic>
      <xdr:nvPicPr>
        <xdr:cNvPr id="8" name="Picture 3" descr="http://www.brainyzip.com/images/b.gif">
          <a:extLst>
            <a:ext uri="{FF2B5EF4-FFF2-40B4-BE49-F238E27FC236}">
              <a16:creationId xmlns:a16="http://schemas.microsoft.com/office/drawing/2014/main" id="{73D6DD19-DA18-4469-AE9D-2C819F62C1A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133350</xdr:colOff>
      <xdr:row>499</xdr:row>
      <xdr:rowOff>9525</xdr:rowOff>
    </xdr:to>
    <xdr:pic>
      <xdr:nvPicPr>
        <xdr:cNvPr id="9" name="Picture 4" descr="http://www.brainyzip.com/images/b.gif">
          <a:extLst>
            <a:ext uri="{FF2B5EF4-FFF2-40B4-BE49-F238E27FC236}">
              <a16:creationId xmlns:a16="http://schemas.microsoft.com/office/drawing/2014/main" id="{B0C37539-C329-4B54-8D3C-706FFA50DC4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70216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499</xdr:row>
      <xdr:rowOff>0</xdr:rowOff>
    </xdr:from>
    <xdr:to>
      <xdr:col>12</xdr:col>
      <xdr:colOff>0</xdr:colOff>
      <xdr:row>499</xdr:row>
      <xdr:rowOff>9525</xdr:rowOff>
    </xdr:to>
    <xdr:pic>
      <xdr:nvPicPr>
        <xdr:cNvPr id="10" name="Picture 5" descr="http://www.brainyzip.com/images/b.gif">
          <a:extLst>
            <a:ext uri="{FF2B5EF4-FFF2-40B4-BE49-F238E27FC236}">
              <a16:creationId xmlns:a16="http://schemas.microsoft.com/office/drawing/2014/main" id="{39BF37F9-843F-4803-BCBE-0A9C0ACABD8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726900"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0</xdr:colOff>
      <xdr:row>246</xdr:row>
      <xdr:rowOff>0</xdr:rowOff>
    </xdr:from>
    <xdr:to>
      <xdr:col>22</xdr:col>
      <xdr:colOff>628650</xdr:colOff>
      <xdr:row>246</xdr:row>
      <xdr:rowOff>9525</xdr:rowOff>
    </xdr:to>
    <xdr:pic>
      <xdr:nvPicPr>
        <xdr:cNvPr id="11" name="Picture 10" descr="http://www.brainyzip.com/images/b.gif">
          <a:extLst>
            <a:ext uri="{FF2B5EF4-FFF2-40B4-BE49-F238E27FC236}">
              <a16:creationId xmlns:a16="http://schemas.microsoft.com/office/drawing/2014/main" id="{575113CF-09D0-4FE0-983C-036BA8E658B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318450" y="49968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0</xdr:colOff>
      <xdr:row>246</xdr:row>
      <xdr:rowOff>9525</xdr:rowOff>
    </xdr:to>
    <xdr:pic>
      <xdr:nvPicPr>
        <xdr:cNvPr id="12" name="Picture 11" descr="http://www.brainyzip.com/images/b.gif">
          <a:extLst>
            <a:ext uri="{FF2B5EF4-FFF2-40B4-BE49-F238E27FC236}">
              <a16:creationId xmlns:a16="http://schemas.microsoft.com/office/drawing/2014/main" id="{795832BF-A84A-4B77-AD66-8BAF5C59BD0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32850" y="49968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133350</xdr:colOff>
      <xdr:row>246</xdr:row>
      <xdr:rowOff>9525</xdr:rowOff>
    </xdr:to>
    <xdr:pic>
      <xdr:nvPicPr>
        <xdr:cNvPr id="13" name="Picture 12" descr="http://www.brainyzip.com/images/b.gif">
          <a:extLst>
            <a:ext uri="{FF2B5EF4-FFF2-40B4-BE49-F238E27FC236}">
              <a16:creationId xmlns:a16="http://schemas.microsoft.com/office/drawing/2014/main" id="{0AD46BA7-D96E-4FA6-8360-781E237C1F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32850" y="49968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498</xdr:row>
      <xdr:rowOff>0</xdr:rowOff>
    </xdr:from>
    <xdr:to>
      <xdr:col>9</xdr:col>
      <xdr:colOff>628650</xdr:colOff>
      <xdr:row>498</xdr:row>
      <xdr:rowOff>9525</xdr:rowOff>
    </xdr:to>
    <xdr:pic>
      <xdr:nvPicPr>
        <xdr:cNvPr id="14" name="Picture 13" descr="http://www.brainyzip.com/images/b.gif">
          <a:extLst>
            <a:ext uri="{FF2B5EF4-FFF2-40B4-BE49-F238E27FC236}">
              <a16:creationId xmlns:a16="http://schemas.microsoft.com/office/drawing/2014/main" id="{1211BAE4-B73A-4175-B6A4-41774BA96D4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488400" y="96831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0</xdr:colOff>
      <xdr:row>498</xdr:row>
      <xdr:rowOff>9525</xdr:rowOff>
    </xdr:to>
    <xdr:pic>
      <xdr:nvPicPr>
        <xdr:cNvPr id="15" name="Picture 14" descr="http://www.brainyzip.com/images/b.gif">
          <a:extLst>
            <a:ext uri="{FF2B5EF4-FFF2-40B4-BE49-F238E27FC236}">
              <a16:creationId xmlns:a16="http://schemas.microsoft.com/office/drawing/2014/main" id="{92B6971C-2399-443C-AB80-9E7D79B2489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133350</xdr:colOff>
      <xdr:row>498</xdr:row>
      <xdr:rowOff>9525</xdr:rowOff>
    </xdr:to>
    <xdr:pic>
      <xdr:nvPicPr>
        <xdr:cNvPr id="16" name="Picture 15" descr="http://www.brainyzip.com/images/b.gif">
          <a:extLst>
            <a:ext uri="{FF2B5EF4-FFF2-40B4-BE49-F238E27FC236}">
              <a16:creationId xmlns:a16="http://schemas.microsoft.com/office/drawing/2014/main" id="{82C7565C-2DAB-41E3-BE6C-3B546640BAB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6831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498</xdr:row>
      <xdr:rowOff>0</xdr:rowOff>
    </xdr:from>
    <xdr:to>
      <xdr:col>11</xdr:col>
      <xdr:colOff>0</xdr:colOff>
      <xdr:row>498</xdr:row>
      <xdr:rowOff>9525</xdr:rowOff>
    </xdr:to>
    <xdr:pic>
      <xdr:nvPicPr>
        <xdr:cNvPr id="17" name="Picture 16" descr="http://www.brainyzip.com/images/b.gif">
          <a:extLst>
            <a:ext uri="{FF2B5EF4-FFF2-40B4-BE49-F238E27FC236}">
              <a16:creationId xmlns:a16="http://schemas.microsoft.com/office/drawing/2014/main" id="{686903D5-35CE-426A-9405-14BC66DBC48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499</xdr:row>
      <xdr:rowOff>0</xdr:rowOff>
    </xdr:from>
    <xdr:to>
      <xdr:col>9</xdr:col>
      <xdr:colOff>476250</xdr:colOff>
      <xdr:row>499</xdr:row>
      <xdr:rowOff>9525</xdr:rowOff>
    </xdr:to>
    <xdr:pic>
      <xdr:nvPicPr>
        <xdr:cNvPr id="18" name="Picture 1" descr="http://www.brainyzip.com/images/b.gif">
          <a:extLst>
            <a:ext uri="{FF2B5EF4-FFF2-40B4-BE49-F238E27FC236}">
              <a16:creationId xmlns:a16="http://schemas.microsoft.com/office/drawing/2014/main" id="{5ADA7271-D038-4344-B848-305D984788B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488400" y="970216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499</xdr:row>
      <xdr:rowOff>0</xdr:rowOff>
    </xdr:from>
    <xdr:to>
      <xdr:col>10</xdr:col>
      <xdr:colOff>628650</xdr:colOff>
      <xdr:row>499</xdr:row>
      <xdr:rowOff>9525</xdr:rowOff>
    </xdr:to>
    <xdr:pic>
      <xdr:nvPicPr>
        <xdr:cNvPr id="19" name="Picture 2" descr="http://www.brainyzip.com/images/b.gif">
          <a:extLst>
            <a:ext uri="{FF2B5EF4-FFF2-40B4-BE49-F238E27FC236}">
              <a16:creationId xmlns:a16="http://schemas.microsoft.com/office/drawing/2014/main" id="{7065B83A-58C1-4F30-91D5-E3A7DD8DFA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402800" y="970216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0</xdr:colOff>
      <xdr:row>499</xdr:row>
      <xdr:rowOff>9525</xdr:rowOff>
    </xdr:to>
    <xdr:pic>
      <xdr:nvPicPr>
        <xdr:cNvPr id="20" name="Picture 3" descr="http://www.brainyzip.com/images/b.gif">
          <a:extLst>
            <a:ext uri="{FF2B5EF4-FFF2-40B4-BE49-F238E27FC236}">
              <a16:creationId xmlns:a16="http://schemas.microsoft.com/office/drawing/2014/main" id="{5E68F5FE-E260-41E6-B095-C8CCE17C341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133350</xdr:colOff>
      <xdr:row>499</xdr:row>
      <xdr:rowOff>9525</xdr:rowOff>
    </xdr:to>
    <xdr:pic>
      <xdr:nvPicPr>
        <xdr:cNvPr id="21" name="Picture 4" descr="http://www.brainyzip.com/images/b.gif">
          <a:extLst>
            <a:ext uri="{FF2B5EF4-FFF2-40B4-BE49-F238E27FC236}">
              <a16:creationId xmlns:a16="http://schemas.microsoft.com/office/drawing/2014/main" id="{E2C9BFD4-7A8B-4393-8526-F7B5156289A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0" y="970216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499</xdr:row>
      <xdr:rowOff>0</xdr:rowOff>
    </xdr:from>
    <xdr:to>
      <xdr:col>12</xdr:col>
      <xdr:colOff>0</xdr:colOff>
      <xdr:row>499</xdr:row>
      <xdr:rowOff>9525</xdr:rowOff>
    </xdr:to>
    <xdr:pic>
      <xdr:nvPicPr>
        <xdr:cNvPr id="22" name="Picture 5" descr="http://www.brainyzip.com/images/b.gif">
          <a:extLst>
            <a:ext uri="{FF2B5EF4-FFF2-40B4-BE49-F238E27FC236}">
              <a16:creationId xmlns:a16="http://schemas.microsoft.com/office/drawing/2014/main" id="{B73B431F-9EF4-453C-B4C6-4FD03915738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726900"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0</xdr:colOff>
      <xdr:row>246</xdr:row>
      <xdr:rowOff>0</xdr:rowOff>
    </xdr:from>
    <xdr:to>
      <xdr:col>22</xdr:col>
      <xdr:colOff>628650</xdr:colOff>
      <xdr:row>246</xdr:row>
      <xdr:rowOff>9525</xdr:rowOff>
    </xdr:to>
    <xdr:pic>
      <xdr:nvPicPr>
        <xdr:cNvPr id="23" name="Picture 22" descr="http://www.brainyzip.com/images/b.gif">
          <a:extLst>
            <a:ext uri="{FF2B5EF4-FFF2-40B4-BE49-F238E27FC236}">
              <a16:creationId xmlns:a16="http://schemas.microsoft.com/office/drawing/2014/main" id="{AF718387-42CF-43EE-A0EB-12CD8075EE1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318450" y="49968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0</xdr:colOff>
      <xdr:row>246</xdr:row>
      <xdr:rowOff>9525</xdr:rowOff>
    </xdr:to>
    <xdr:pic>
      <xdr:nvPicPr>
        <xdr:cNvPr id="24" name="Picture 23" descr="http://www.brainyzip.com/images/b.gif">
          <a:extLst>
            <a:ext uri="{FF2B5EF4-FFF2-40B4-BE49-F238E27FC236}">
              <a16:creationId xmlns:a16="http://schemas.microsoft.com/office/drawing/2014/main" id="{F1105F6D-269E-4620-B7CC-7D553F5AC1D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32850" y="49968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133350</xdr:colOff>
      <xdr:row>246</xdr:row>
      <xdr:rowOff>9525</xdr:rowOff>
    </xdr:to>
    <xdr:pic>
      <xdr:nvPicPr>
        <xdr:cNvPr id="25" name="Picture 24" descr="http://www.brainyzip.com/images/b.gif">
          <a:extLst>
            <a:ext uri="{FF2B5EF4-FFF2-40B4-BE49-F238E27FC236}">
              <a16:creationId xmlns:a16="http://schemas.microsoft.com/office/drawing/2014/main" id="{BDE9ADA7-A229-4455-A2C9-E208D74B344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32850" y="49968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498</xdr:row>
      <xdr:rowOff>0</xdr:rowOff>
    </xdr:from>
    <xdr:to>
      <xdr:col>9</xdr:col>
      <xdr:colOff>628650</xdr:colOff>
      <xdr:row>498</xdr:row>
      <xdr:rowOff>9525</xdr:rowOff>
    </xdr:to>
    <xdr:pic>
      <xdr:nvPicPr>
        <xdr:cNvPr id="26" name="Picture 25" descr="http://www.brainyzip.com/images/b.gif">
          <a:extLst>
            <a:ext uri="{FF2B5EF4-FFF2-40B4-BE49-F238E27FC236}">
              <a16:creationId xmlns:a16="http://schemas.microsoft.com/office/drawing/2014/main" id="{50A05598-007D-4B80-A477-29260FCB663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307425" y="96831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0</xdr:colOff>
      <xdr:row>498</xdr:row>
      <xdr:rowOff>9525</xdr:rowOff>
    </xdr:to>
    <xdr:pic>
      <xdr:nvPicPr>
        <xdr:cNvPr id="27" name="Picture 26" descr="http://www.brainyzip.com/images/b.gif">
          <a:extLst>
            <a:ext uri="{FF2B5EF4-FFF2-40B4-BE49-F238E27FC236}">
              <a16:creationId xmlns:a16="http://schemas.microsoft.com/office/drawing/2014/main" id="{4AA607D6-29F5-4281-BDDE-49BA7360723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221825"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498</xdr:row>
      <xdr:rowOff>0</xdr:rowOff>
    </xdr:from>
    <xdr:to>
      <xdr:col>10</xdr:col>
      <xdr:colOff>133350</xdr:colOff>
      <xdr:row>498</xdr:row>
      <xdr:rowOff>9525</xdr:rowOff>
    </xdr:to>
    <xdr:pic>
      <xdr:nvPicPr>
        <xdr:cNvPr id="28" name="Picture 27" descr="http://www.brainyzip.com/images/b.gif">
          <a:extLst>
            <a:ext uri="{FF2B5EF4-FFF2-40B4-BE49-F238E27FC236}">
              <a16:creationId xmlns:a16="http://schemas.microsoft.com/office/drawing/2014/main" id="{770AE635-517A-41A7-A206-47FF29030D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221825" y="96831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498</xdr:row>
      <xdr:rowOff>0</xdr:rowOff>
    </xdr:from>
    <xdr:to>
      <xdr:col>11</xdr:col>
      <xdr:colOff>0</xdr:colOff>
      <xdr:row>498</xdr:row>
      <xdr:rowOff>9525</xdr:rowOff>
    </xdr:to>
    <xdr:pic>
      <xdr:nvPicPr>
        <xdr:cNvPr id="29" name="Picture 28" descr="http://www.brainyzip.com/images/b.gif">
          <a:extLst>
            <a:ext uri="{FF2B5EF4-FFF2-40B4-BE49-F238E27FC236}">
              <a16:creationId xmlns:a16="http://schemas.microsoft.com/office/drawing/2014/main" id="{5BA9DB5A-195F-4FD1-905C-15F6D02485B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136225" y="96831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499</xdr:row>
      <xdr:rowOff>0</xdr:rowOff>
    </xdr:from>
    <xdr:to>
      <xdr:col>9</xdr:col>
      <xdr:colOff>476250</xdr:colOff>
      <xdr:row>499</xdr:row>
      <xdr:rowOff>9525</xdr:rowOff>
    </xdr:to>
    <xdr:pic>
      <xdr:nvPicPr>
        <xdr:cNvPr id="30" name="Picture 1" descr="http://www.brainyzip.com/images/b.gif">
          <a:extLst>
            <a:ext uri="{FF2B5EF4-FFF2-40B4-BE49-F238E27FC236}">
              <a16:creationId xmlns:a16="http://schemas.microsoft.com/office/drawing/2014/main" id="{F1719633-CBA6-4C14-A43F-2DA11E6435A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307425" y="970216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499</xdr:row>
      <xdr:rowOff>0</xdr:rowOff>
    </xdr:from>
    <xdr:to>
      <xdr:col>10</xdr:col>
      <xdr:colOff>628650</xdr:colOff>
      <xdr:row>499</xdr:row>
      <xdr:rowOff>9525</xdr:rowOff>
    </xdr:to>
    <xdr:pic>
      <xdr:nvPicPr>
        <xdr:cNvPr id="31" name="Picture 2" descr="http://www.brainyzip.com/images/b.gif">
          <a:extLst>
            <a:ext uri="{FF2B5EF4-FFF2-40B4-BE49-F238E27FC236}">
              <a16:creationId xmlns:a16="http://schemas.microsoft.com/office/drawing/2014/main" id="{B31E6915-E7BC-4089-891E-DB626FE318A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221825" y="970216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0</xdr:colOff>
      <xdr:row>499</xdr:row>
      <xdr:rowOff>9525</xdr:rowOff>
    </xdr:to>
    <xdr:pic>
      <xdr:nvPicPr>
        <xdr:cNvPr id="32" name="Picture 3" descr="http://www.brainyzip.com/images/b.gif">
          <a:extLst>
            <a:ext uri="{FF2B5EF4-FFF2-40B4-BE49-F238E27FC236}">
              <a16:creationId xmlns:a16="http://schemas.microsoft.com/office/drawing/2014/main" id="{4EDBDF13-A93E-4247-ACD5-68B851AA45A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136225"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499</xdr:row>
      <xdr:rowOff>0</xdr:rowOff>
    </xdr:from>
    <xdr:to>
      <xdr:col>11</xdr:col>
      <xdr:colOff>133350</xdr:colOff>
      <xdr:row>499</xdr:row>
      <xdr:rowOff>9525</xdr:rowOff>
    </xdr:to>
    <xdr:pic>
      <xdr:nvPicPr>
        <xdr:cNvPr id="33" name="Picture 4" descr="http://www.brainyzip.com/images/b.gif">
          <a:extLst>
            <a:ext uri="{FF2B5EF4-FFF2-40B4-BE49-F238E27FC236}">
              <a16:creationId xmlns:a16="http://schemas.microsoft.com/office/drawing/2014/main" id="{7B3E1696-DB65-4077-955A-8C8064A0A9B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136225" y="970216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499</xdr:row>
      <xdr:rowOff>0</xdr:rowOff>
    </xdr:from>
    <xdr:to>
      <xdr:col>12</xdr:col>
      <xdr:colOff>0</xdr:colOff>
      <xdr:row>499</xdr:row>
      <xdr:rowOff>9525</xdr:rowOff>
    </xdr:to>
    <xdr:pic>
      <xdr:nvPicPr>
        <xdr:cNvPr id="34" name="Picture 5" descr="http://www.brainyzip.com/images/b.gif">
          <a:extLst>
            <a:ext uri="{FF2B5EF4-FFF2-40B4-BE49-F238E27FC236}">
              <a16:creationId xmlns:a16="http://schemas.microsoft.com/office/drawing/2014/main" id="{B7DAF5E2-BC6C-4FE5-AB74-BEA4327B062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050625" y="970216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0</xdr:colOff>
      <xdr:row>246</xdr:row>
      <xdr:rowOff>0</xdr:rowOff>
    </xdr:from>
    <xdr:to>
      <xdr:col>22</xdr:col>
      <xdr:colOff>628650</xdr:colOff>
      <xdr:row>246</xdr:row>
      <xdr:rowOff>9525</xdr:rowOff>
    </xdr:to>
    <xdr:pic>
      <xdr:nvPicPr>
        <xdr:cNvPr id="35" name="Picture 34" descr="http://www.brainyzip.com/images/b.gif">
          <a:extLst>
            <a:ext uri="{FF2B5EF4-FFF2-40B4-BE49-F238E27FC236}">
              <a16:creationId xmlns:a16="http://schemas.microsoft.com/office/drawing/2014/main" id="{43933EA2-BACD-4CF8-99FA-840ACEA9E7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280225" y="49968150"/>
          <a:ext cx="6286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0</xdr:colOff>
      <xdr:row>246</xdr:row>
      <xdr:rowOff>9525</xdr:rowOff>
    </xdr:to>
    <xdr:pic>
      <xdr:nvPicPr>
        <xdr:cNvPr id="36" name="Picture 35" descr="http://www.brainyzip.com/images/b.gif">
          <a:extLst>
            <a:ext uri="{FF2B5EF4-FFF2-40B4-BE49-F238E27FC236}">
              <a16:creationId xmlns:a16="http://schemas.microsoft.com/office/drawing/2014/main" id="{D53849AF-BDCD-4A5D-ACDF-AECC00F31D6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194625" y="499681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246</xdr:row>
      <xdr:rowOff>0</xdr:rowOff>
    </xdr:from>
    <xdr:to>
      <xdr:col>23</xdr:col>
      <xdr:colOff>133350</xdr:colOff>
      <xdr:row>246</xdr:row>
      <xdr:rowOff>9525</xdr:rowOff>
    </xdr:to>
    <xdr:pic>
      <xdr:nvPicPr>
        <xdr:cNvPr id="37" name="Picture 36" descr="http://www.brainyzip.com/images/b.gif">
          <a:extLst>
            <a:ext uri="{FF2B5EF4-FFF2-40B4-BE49-F238E27FC236}">
              <a16:creationId xmlns:a16="http://schemas.microsoft.com/office/drawing/2014/main" id="{5A583DAA-F8D8-4EC4-BEC4-05826FF68C3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194625" y="49968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8695-E469-40E6-B5B8-C74A68BCDD53}">
  <sheetPr codeName="Sheet7"/>
  <dimension ref="A1:BT144"/>
  <sheetViews>
    <sheetView showGridLines="0" tabSelected="1" zoomScaleNormal="100" workbookViewId="0">
      <selection activeCell="I6" sqref="I6"/>
    </sheetView>
  </sheetViews>
  <sheetFormatPr defaultColWidth="9.140625" defaultRowHeight="15" x14ac:dyDescent="0.25"/>
  <cols>
    <col min="1" max="1" width="1.140625" style="5" customWidth="1"/>
    <col min="2" max="2" width="4.5703125" style="7" customWidth="1"/>
    <col min="3" max="3" width="7.5703125" style="7" customWidth="1"/>
    <col min="4" max="5" width="14.5703125" style="7" customWidth="1"/>
    <col min="6" max="6" width="14.140625" style="7" customWidth="1"/>
    <col min="7" max="7" width="15.28515625" style="7" customWidth="1"/>
    <col min="8" max="8" width="18.5703125" style="7" customWidth="1"/>
    <col min="9" max="9" width="23.7109375" style="7" customWidth="1"/>
    <col min="10" max="10" width="15.28515625" style="7" customWidth="1"/>
    <col min="11" max="11" width="15.5703125" style="7" customWidth="1"/>
    <col min="12" max="12" width="28.28515625" style="7" customWidth="1"/>
    <col min="13" max="13" width="46" style="7" customWidth="1"/>
    <col min="14" max="14" width="22.85546875" style="7" customWidth="1"/>
    <col min="15" max="15" width="4.5703125" style="7" customWidth="1"/>
    <col min="16" max="72" width="8.85546875" customWidth="1"/>
    <col min="73" max="16384" width="9.140625" style="7"/>
  </cols>
  <sheetData>
    <row r="1" spans="2:17" x14ac:dyDescent="0.25">
      <c r="B1" s="6"/>
      <c r="C1" s="5"/>
      <c r="D1" s="5"/>
      <c r="E1" s="5"/>
      <c r="F1" s="5"/>
      <c r="G1" s="5"/>
      <c r="H1" s="5"/>
      <c r="I1" s="5"/>
      <c r="J1" s="5"/>
      <c r="K1" s="5"/>
      <c r="L1" s="5"/>
      <c r="M1" s="5"/>
      <c r="N1" s="5"/>
      <c r="O1" s="5"/>
    </row>
    <row r="2" spans="2:17" ht="15" customHeight="1" x14ac:dyDescent="0.25">
      <c r="B2" s="129"/>
      <c r="C2" s="197"/>
      <c r="D2" s="197"/>
      <c r="E2" s="197"/>
      <c r="F2" s="197"/>
      <c r="G2" s="197"/>
      <c r="H2" s="197"/>
      <c r="I2" s="197"/>
      <c r="J2" s="197"/>
      <c r="K2" s="197"/>
      <c r="L2" s="197"/>
      <c r="M2" s="197"/>
      <c r="N2" s="197"/>
      <c r="O2" s="197"/>
    </row>
    <row r="3" spans="2:17" ht="15" customHeight="1" x14ac:dyDescent="0.25">
      <c r="B3" s="196"/>
      <c r="C3" s="142"/>
      <c r="D3" s="126"/>
      <c r="E3" s="141" t="s">
        <v>1566</v>
      </c>
      <c r="F3" s="145" t="str">
        <f>HYPERLINK("mailto:SSPBusiness.Analysts@odhsoha.oregon.gov","SSPBusiness.Analysts@odhsoha.oregon.gov")</f>
        <v>SSPBusiness.Analysts@odhsoha.oregon.gov</v>
      </c>
      <c r="G3" s="126"/>
      <c r="J3" s="126"/>
      <c r="K3" s="126"/>
      <c r="L3" s="141" t="str">
        <f>""&amp;'SSP APD AAA DB Code'!C4&amp;""</f>
        <v>v 6.9.4 - Last updated on 12/08/25</v>
      </c>
      <c r="M3" s="126"/>
      <c r="N3" s="152"/>
      <c r="O3" s="202"/>
    </row>
    <row r="4" spans="2:17" ht="30.75" customHeight="1" x14ac:dyDescent="0.4">
      <c r="B4" s="196"/>
      <c r="C4" s="205" t="s">
        <v>0</v>
      </c>
      <c r="D4" s="205"/>
      <c r="E4" s="205"/>
      <c r="F4" s="205"/>
      <c r="G4" s="205"/>
      <c r="H4" s="205"/>
      <c r="I4" s="205"/>
      <c r="J4" s="205"/>
      <c r="K4" s="205"/>
      <c r="L4" s="205"/>
      <c r="M4" s="205"/>
      <c r="N4" s="127"/>
      <c r="O4" s="202"/>
    </row>
    <row r="5" spans="2:17" ht="39.75" customHeight="1" thickBot="1" x14ac:dyDescent="0.3">
      <c r="B5" s="196"/>
      <c r="C5"/>
      <c r="D5" s="132"/>
      <c r="E5" s="132"/>
      <c r="F5" s="132"/>
      <c r="G5"/>
      <c r="H5" s="132"/>
      <c r="I5" s="132"/>
      <c r="J5" s="132"/>
      <c r="K5" s="203" t="str">
        <f ca="1">'SSP APD AAA DB Code'!C3</f>
        <v/>
      </c>
      <c r="L5" s="203"/>
      <c r="M5" s="203"/>
      <c r="N5" s="204" t="s">
        <v>1457</v>
      </c>
      <c r="O5" s="202"/>
      <c r="Q5" s="105"/>
    </row>
    <row r="6" spans="2:17" ht="21.75" customHeight="1" thickBot="1" x14ac:dyDescent="0.3">
      <c r="B6" s="196"/>
      <c r="C6" s="128"/>
      <c r="D6" s="133"/>
      <c r="E6" s="134"/>
      <c r="F6" s="134"/>
      <c r="G6" s="132"/>
      <c r="H6" s="140" t="s">
        <v>729</v>
      </c>
      <c r="I6" s="135"/>
      <c r="J6" s="136"/>
      <c r="K6" s="203"/>
      <c r="L6" s="203"/>
      <c r="M6" s="203"/>
      <c r="N6" s="204"/>
      <c r="O6" s="202"/>
      <c r="Q6" s="105"/>
    </row>
    <row r="7" spans="2:17" ht="22.35" customHeight="1" x14ac:dyDescent="0.25">
      <c r="B7" s="196"/>
      <c r="C7" s="128"/>
      <c r="D7" s="137"/>
      <c r="E7" s="132"/>
      <c r="F7" s="132"/>
      <c r="G7" s="138"/>
      <c r="H7" s="138"/>
      <c r="I7" s="131" t="str">
        <f>'SSP APD AAA DB Code'!C2</f>
        <v/>
      </c>
      <c r="J7" s="132"/>
      <c r="K7" s="139"/>
      <c r="L7" s="209" t="s">
        <v>1565</v>
      </c>
      <c r="M7" s="209"/>
      <c r="N7" s="204"/>
      <c r="O7" s="202"/>
    </row>
    <row r="8" spans="2:17" ht="22.35" customHeight="1" thickBot="1" x14ac:dyDescent="0.3">
      <c r="B8" s="196"/>
      <c r="C8" s="137" t="s">
        <v>720</v>
      </c>
      <c r="D8" s="132"/>
      <c r="E8" s="132"/>
      <c r="F8" s="132"/>
      <c r="G8" s="137" t="s">
        <v>721</v>
      </c>
      <c r="H8" s="132"/>
      <c r="I8" s="132"/>
      <c r="J8" s="132"/>
      <c r="K8" s="132"/>
      <c r="L8" s="209"/>
      <c r="M8" s="209"/>
      <c r="N8" s="204"/>
      <c r="O8" s="202"/>
    </row>
    <row r="9" spans="2:17" ht="29.1" customHeight="1" thickTop="1" x14ac:dyDescent="0.25">
      <c r="B9" s="196"/>
      <c r="C9" s="199" t="str">
        <f>'SSP APD AAA DB Code'!B7</f>
        <v/>
      </c>
      <c r="D9" s="199"/>
      <c r="E9" s="199"/>
      <c r="F9" s="199"/>
      <c r="G9" s="199" t="str">
        <f>'SSP APD AAA DB Code'!C7</f>
        <v/>
      </c>
      <c r="H9" s="199"/>
      <c r="I9" s="199"/>
      <c r="J9" s="199"/>
      <c r="K9" s="199"/>
      <c r="L9" s="210" t="str">
        <f>'SSP APD AAA DB Code'!D7</f>
        <v/>
      </c>
      <c r="M9" s="210"/>
      <c r="N9" s="206" t="str">
        <f>IF('SSP APD AAA Branches'!$I$6
        ="",
          "",
          IF('SSP APD AAA DB Code'!I6
               ="",
                 IF(ISNA(HYPERLINK("mailto:"&amp;'SSP APD AAA DB Code'!S7&amp;"", "Click here for case transfer email"))
                      =TRUE,
                         "",
                         HYPERLINK("mailto:"&amp;'SSP APD AAA DB Code'!S7&amp;"", "Click here for case transfer email")),
                 HYPERLINK("mailto:"&amp;'SSP APD AAA DB Code'!S6&amp;"", "Click here for case transfer email")))</f>
        <v/>
      </c>
      <c r="O9" s="202"/>
    </row>
    <row r="10" spans="2:17" ht="29.1" customHeight="1" x14ac:dyDescent="0.25">
      <c r="B10" s="196"/>
      <c r="C10" s="200"/>
      <c r="D10" s="200"/>
      <c r="E10" s="200"/>
      <c r="F10" s="200"/>
      <c r="G10" s="200"/>
      <c r="H10" s="200"/>
      <c r="I10" s="200"/>
      <c r="J10" s="200"/>
      <c r="K10" s="200"/>
      <c r="L10" s="211"/>
      <c r="M10" s="211"/>
      <c r="N10" s="207"/>
      <c r="O10" s="202"/>
    </row>
    <row r="11" spans="2:17" ht="29.1" customHeight="1" x14ac:dyDescent="0.25">
      <c r="B11" s="196"/>
      <c r="C11" s="200"/>
      <c r="D11" s="200"/>
      <c r="E11" s="200"/>
      <c r="F11" s="200"/>
      <c r="G11" s="200"/>
      <c r="H11" s="200"/>
      <c r="I11" s="200"/>
      <c r="J11" s="200"/>
      <c r="K11" s="200"/>
      <c r="L11" s="211"/>
      <c r="M11" s="211"/>
      <c r="N11" s="207"/>
      <c r="O11" s="202"/>
    </row>
    <row r="12" spans="2:17" ht="29.1" customHeight="1" x14ac:dyDescent="0.25">
      <c r="B12" s="196"/>
      <c r="C12" s="200"/>
      <c r="D12" s="200"/>
      <c r="E12" s="200"/>
      <c r="F12" s="200"/>
      <c r="G12" s="200"/>
      <c r="H12" s="200"/>
      <c r="I12" s="200"/>
      <c r="J12" s="200"/>
      <c r="K12" s="200"/>
      <c r="L12" s="212" t="str">
        <f>IF('SSP APD AAA Branches'!$I$6
    ="",
        "",
        IF('SSP APD AAA DB Code'!I6
           ="",
               IF(ISNA(HYPERLINK("https://teams.microsoft.com/l/chat/0/0?users="&amp;'SSP APD AAA DB Code'!AJ7&amp;","&amp;'SSP APD AAA DB Code'!AK7&amp;","&amp;'SSP APD AAA DB Code'!AL7&amp;","&amp;'SSP APD AAA DB Code'!AM7&amp;",
                       "&amp;'SSP APD AAA DB Code'!AN7&amp;","&amp;'SSP APD AAA DB Code'!AO7&amp;"","Click here to send group IM"))
                  =TRUE,
                        "",
                        IF('SSP APD AAA DB Code'!AB7
                           ="",
                               "",
                               HYPERLINK("https://teams.microsoft.com/l/chat/0/0?users="&amp;'SSP APD AAA DB Code'!AJ7&amp;","&amp;'SSP APD AAA DB Code'!AK7&amp;","&amp;'SSP APD AAA DB Code'!AL7&amp;","&amp;'SSP APD AAA DB Code'!AM7&amp;","&amp;'SSP APD AAA DB Code'!AN7&amp;","&amp;'SSP APD AAA DB Code'!AO7&amp;"","Click here to send group IM"))),
               IF('SSP APD AAA DB Code'!AB6
                  ="",
                      "",
                      HYPERLINK("https://teams.microsoft.com/l/chat/0/0?users="&amp;'SSP APD AAA DB Code'!AJ6&amp;","&amp;'SSP APD AAA DB Code'!AK6&amp;","&amp;'SSP APD AAA DB Code'!AL6&amp;","&amp;'SSP APD AAA DB Code'!AM6&amp;","&amp;'SSP APD AAA DB Code'!AN6&amp;","&amp;'SSP APD AAA DB Code'!AO6&amp;"","Click here to send group IM"))))</f>
        <v/>
      </c>
      <c r="M12" s="212"/>
      <c r="N12" s="207"/>
      <c r="O12" s="202"/>
    </row>
    <row r="13" spans="2:17" ht="29.1" customHeight="1" x14ac:dyDescent="0.25">
      <c r="B13" s="196"/>
      <c r="C13" s="201" t="str">
        <f>'SSP APD AAA DB Code'!B8</f>
        <v/>
      </c>
      <c r="D13" s="201"/>
      <c r="E13" s="201"/>
      <c r="F13" s="201"/>
      <c r="G13" s="201" t="str">
        <f>'SSP APD AAA DB Code'!C8</f>
        <v/>
      </c>
      <c r="H13" s="201"/>
      <c r="I13" s="201"/>
      <c r="J13" s="201"/>
      <c r="K13" s="201"/>
      <c r="L13" s="213" t="str">
        <f>'SSP APD AAA DB Code'!D8</f>
        <v/>
      </c>
      <c r="M13" s="213"/>
      <c r="N13" s="198" t="str">
        <f>IF('SSP APD AAA Branches'!$I$6
        ="",
          "",
          IF('SSP APD AAA DB Code'!I8
               &lt;&gt;"",
                    HYPERLINK("mailto:"&amp;'SSP APD AAA DB Code'!S8&amp;"", "Click here for case transfer email"),
                    IF(I8
                         ="",
                           "",
                           HYPERLINK("mailto:"&amp;'SSP APD AAA DB Code'!S7&amp;"", "Click here for case transfer email"))))</f>
        <v/>
      </c>
      <c r="O13" s="202"/>
    </row>
    <row r="14" spans="2:17" ht="29.1" customHeight="1" x14ac:dyDescent="0.25">
      <c r="B14" s="196"/>
      <c r="C14" s="201"/>
      <c r="D14" s="201"/>
      <c r="E14" s="201"/>
      <c r="F14" s="201"/>
      <c r="G14" s="201"/>
      <c r="H14" s="201"/>
      <c r="I14" s="201"/>
      <c r="J14" s="201"/>
      <c r="K14" s="201"/>
      <c r="L14" s="213"/>
      <c r="M14" s="213"/>
      <c r="N14" s="198"/>
      <c r="O14" s="202"/>
    </row>
    <row r="15" spans="2:17" ht="29.1" customHeight="1" x14ac:dyDescent="0.25">
      <c r="B15" s="196"/>
      <c r="C15" s="201"/>
      <c r="D15" s="201"/>
      <c r="E15" s="201"/>
      <c r="F15" s="201"/>
      <c r="G15" s="201"/>
      <c r="H15" s="201"/>
      <c r="I15" s="201"/>
      <c r="J15" s="201"/>
      <c r="K15" s="201"/>
      <c r="L15" s="213"/>
      <c r="M15" s="213"/>
      <c r="N15" s="198"/>
      <c r="O15" s="202"/>
    </row>
    <row r="16" spans="2:17" ht="29.1" customHeight="1" x14ac:dyDescent="0.25">
      <c r="B16" s="196"/>
      <c r="C16" s="201"/>
      <c r="D16" s="201"/>
      <c r="E16" s="201"/>
      <c r="F16" s="201"/>
      <c r="G16" s="201"/>
      <c r="H16" s="201"/>
      <c r="I16" s="201"/>
      <c r="J16" s="201"/>
      <c r="K16" s="201"/>
      <c r="L16" s="214" t="str">
        <f>IF('SSP APD AAA Branches'!$I$6
        ="",
            "",
            IF('SSP APD AAA DB Code'!I8
               &lt;&gt;"",
                    IF('SSP APD AAA DB Code'!AB8
                       ="",
                           "",
                           HYPERLINK("https://teams.microsoft.com/l/chat/0/0?users="&amp;'SSP APD AAA DB Code'!AJ8&amp;","&amp;'SSP APD AAA DB Code'!AK8&amp;","&amp;'SSP APD AAA DB Code'!AL8&amp;","&amp;'SSP APD AAA DB Code'!AM8&amp;","&amp;'SSP APD AAA DB Code'!AN8&amp;","&amp;'SSP APD AAA DB Code'!AO8&amp;"","Click here to send group IM")),
                    IF('SSP APD AAA DB Code'!I8
                       ="",
                           "",
                           HYPERLINK("https://teams.microsoft.com/l/chat/0/0?users="&amp;'SSP APD AAA DB Code'!AJ7&amp;","&amp;'SSP APD AAA DB Code'!AK7&amp;","&amp;'SSP APD AAA DB Code'!AL7&amp;","&amp;'SSP APD AAA DB Code'!AM7&amp;","&amp;'SSP APD AAA DB Code'!AN7&amp;","&amp;'SSP APD AAA DB Code'!AO7&amp;"","Click here to send group IM"))))</f>
        <v/>
      </c>
      <c r="M16" s="214"/>
      <c r="N16" s="198"/>
      <c r="O16" s="202"/>
    </row>
    <row r="17" spans="2:15" ht="29.1" customHeight="1" x14ac:dyDescent="0.25">
      <c r="B17" s="196"/>
      <c r="C17" s="194" t="str">
        <f>'SSP APD AAA DB Code'!B9</f>
        <v/>
      </c>
      <c r="D17" s="194"/>
      <c r="E17" s="194"/>
      <c r="F17" s="194"/>
      <c r="G17" s="194" t="str">
        <f>'SSP APD AAA DB Code'!C9</f>
        <v/>
      </c>
      <c r="H17" s="194"/>
      <c r="I17" s="194"/>
      <c r="J17" s="194"/>
      <c r="K17" s="194"/>
      <c r="L17" s="208" t="str">
        <f>'SSP APD AAA DB Code'!D9</f>
        <v/>
      </c>
      <c r="M17" s="208"/>
      <c r="N17" s="195" t="str">
        <f>IF('SSP APD AAA Branches'!$I$6
        ="",
          "",
          IF('SSP APD AAA DB Code'!I9
               &lt;&gt;"",
                    HYPERLINK("mailto:"&amp;'SSP APD AAA DB Code'!S9&amp;"", "Click here for case transfer email"),
                    IF(I12
                         ="",
                           "",
                           HYPERLINK("mailto:"&amp;'SSP APD AAA DB Code'!S8&amp;"", "Click here for case transfer email"))))</f>
        <v/>
      </c>
      <c r="O17" s="202"/>
    </row>
    <row r="18" spans="2:15" ht="29.1" customHeight="1" x14ac:dyDescent="0.25">
      <c r="B18" s="196"/>
      <c r="C18" s="194"/>
      <c r="D18" s="194"/>
      <c r="E18" s="194"/>
      <c r="F18" s="194"/>
      <c r="G18" s="194"/>
      <c r="H18" s="194"/>
      <c r="I18" s="194"/>
      <c r="J18" s="194"/>
      <c r="K18" s="194"/>
      <c r="L18" s="208"/>
      <c r="M18" s="208"/>
      <c r="N18" s="195"/>
      <c r="O18" s="202"/>
    </row>
    <row r="19" spans="2:15" ht="29.1" customHeight="1" x14ac:dyDescent="0.25">
      <c r="B19" s="196"/>
      <c r="C19" s="194"/>
      <c r="D19" s="194"/>
      <c r="E19" s="194"/>
      <c r="F19" s="194"/>
      <c r="G19" s="194"/>
      <c r="H19" s="194"/>
      <c r="I19" s="194"/>
      <c r="J19" s="194"/>
      <c r="K19" s="194"/>
      <c r="L19" s="208"/>
      <c r="M19" s="208"/>
      <c r="N19" s="195"/>
      <c r="O19" s="202"/>
    </row>
    <row r="20" spans="2:15" ht="29.1" customHeight="1" x14ac:dyDescent="0.25">
      <c r="B20" s="196"/>
      <c r="C20" s="194"/>
      <c r="D20" s="194"/>
      <c r="E20" s="194"/>
      <c r="F20" s="194"/>
      <c r="G20" s="194"/>
      <c r="H20" s="194"/>
      <c r="I20" s="194"/>
      <c r="J20" s="194"/>
      <c r="K20" s="194"/>
      <c r="L20" s="192" t="str">
        <f>IF('SSP APD AAA Branches'!$I$6
        ="",
            "",
            IF('SSP APD AAA DB Code'!I9
               &lt;&gt;"",
                    IF('SSP APD AAA DB Code'!AB9
                          ="",
                              "",
                              HYPERLINK("https://teams.microsoft.com/l/chat/0/0?users="&amp;'SSP APD AAA DB Code'!AJ9&amp;","&amp;'SSP APD AAA DB Code'!AK9&amp;","&amp;'SSP APD AAA DB Code'!AL9&amp;","&amp;'SSP APD AAA DB Code'!AM9&amp;","&amp;'SSP APD AAA DB Code'!AN9&amp;","&amp;'SSP APD AAA DB Code'!AO9&amp;"","Click here to send group IM")),
                    IF('SSP APD AAA DB Code'!I9
                         ="",
                             "",
                             HYPERLINK("https://teams.microsoft.com/l/chat/0/0?users="&amp;'SSP APD AAA DB Code'!AJ8&amp;","&amp;'SSP APD AAA DB Code'!AK8&amp;","&amp;'SSP APD AAA DB Code'!AL8&amp;","&amp;'SSP APD AAA DB Code'!AM8&amp;","&amp;'SSP APD AAA DB Code'!AN8&amp;","&amp;'SSP APD AAA DB Code'!AO8&amp;"","Click here to send group IM"))))</f>
        <v/>
      </c>
      <c r="M20" s="192"/>
      <c r="N20" s="195"/>
      <c r="O20" s="202"/>
    </row>
    <row r="21" spans="2:15" ht="29.1" customHeight="1" x14ac:dyDescent="0.25">
      <c r="B21" s="196"/>
      <c r="C21" s="194" t="str">
        <f>'SSP APD AAA DB Code'!B10</f>
        <v/>
      </c>
      <c r="D21" s="194"/>
      <c r="E21" s="194"/>
      <c r="F21" s="194"/>
      <c r="G21" s="194" t="str">
        <f>'SSP APD AAA DB Code'!C10</f>
        <v/>
      </c>
      <c r="H21" s="194"/>
      <c r="I21" s="194"/>
      <c r="J21" s="194"/>
      <c r="K21" s="194"/>
      <c r="L21" s="208" t="str">
        <f>'SSP APD AAA DB Code'!D10</f>
        <v/>
      </c>
      <c r="M21" s="208"/>
      <c r="N21" s="195" t="str">
        <f>IF('SSP APD AAA Branches'!$I$6
        ="",
          "",
          IF('SSP APD AAA DB Code'!I10
               &lt;&gt;"",
                    HYPERLINK("mailto:"&amp;'SSP APD AAA DB Code'!S10&amp;"", "Click here for case transfer email"),
                    IF(I16
                         ="",
                           "",
                           HYPERLINK("mailto:"&amp;'SSP APD AAA DB Code'!S9&amp;"", "Click here for case transfer email"))))</f>
        <v/>
      </c>
      <c r="O21" s="202"/>
    </row>
    <row r="22" spans="2:15" ht="29.1" customHeight="1" x14ac:dyDescent="0.25">
      <c r="B22" s="196"/>
      <c r="C22" s="194"/>
      <c r="D22" s="194"/>
      <c r="E22" s="194"/>
      <c r="F22" s="194"/>
      <c r="G22" s="194"/>
      <c r="H22" s="194"/>
      <c r="I22" s="194"/>
      <c r="J22" s="194"/>
      <c r="K22" s="194"/>
      <c r="L22" s="208"/>
      <c r="M22" s="208"/>
      <c r="N22" s="195"/>
      <c r="O22" s="202"/>
    </row>
    <row r="23" spans="2:15" ht="29.1" customHeight="1" x14ac:dyDescent="0.25">
      <c r="B23" s="196"/>
      <c r="C23" s="194"/>
      <c r="D23" s="194"/>
      <c r="E23" s="194"/>
      <c r="F23" s="194"/>
      <c r="G23" s="194"/>
      <c r="H23" s="194"/>
      <c r="I23" s="194"/>
      <c r="J23" s="194"/>
      <c r="K23" s="194"/>
      <c r="L23" s="208"/>
      <c r="M23" s="208"/>
      <c r="N23" s="195"/>
      <c r="O23" s="202"/>
    </row>
    <row r="24" spans="2:15" ht="29.1" customHeight="1" x14ac:dyDescent="0.25">
      <c r="B24" s="196"/>
      <c r="C24" s="194"/>
      <c r="D24" s="194"/>
      <c r="E24" s="194"/>
      <c r="F24" s="194"/>
      <c r="G24" s="194"/>
      <c r="H24" s="194"/>
      <c r="I24" s="194"/>
      <c r="J24" s="194"/>
      <c r="K24" s="194"/>
      <c r="L24" s="192" t="str">
        <f>IF('SSP APD AAA Branches'!$I$6
        ="",
            "",
            IF('SSP APD AAA DB Code'!I10
               &lt;&gt;"",
                    IF('SSP APD AAA DB Code'!AB10
                          ="",
                              "",
                              HYPERLINK("https://teams.microsoft.com/l/chat/0/0?users="&amp;'SSP APD AAA DB Code'!AJ10&amp;","&amp;'SSP APD AAA DB Code'!AK10&amp;","&amp;'SSP APD AAA DB Code'!AL10&amp;","&amp;'SSP APD AAA DB Code'!AM10&amp;","&amp;'SSP APD AAA DB Code'!AN10&amp;","&amp;'SSP APD AAA DB Code'!AO10&amp;"","Click here to send group IM")),
                    IF('SSP APD AAA DB Code'!I10
                         ="",
                             "",
                             HYPERLINK("https://teams.microsoft.com/l/chat/0/0?users="&amp;'SSP APD AAA DB Code'!AJ9&amp;","&amp;'SSP APD AAA DB Code'!AK9&amp;","&amp;'SSP APD AAA DB Code'!AL9&amp;","&amp;'SSP APD AAA DB Code'!AM9&amp;","&amp;'SSP APD AAA DB Code'!AN9&amp;","&amp;'SSP APD AAA DB Code'!AO9&amp;"","Click here to send group IM"))))</f>
        <v/>
      </c>
      <c r="M24" s="192"/>
      <c r="N24" s="195"/>
      <c r="O24" s="202"/>
    </row>
    <row r="25" spans="2:15" ht="29.1" customHeight="1" x14ac:dyDescent="0.25">
      <c r="B25" s="196"/>
      <c r="C25" s="194" t="str">
        <f>'SSP APD AAA DB Code'!B11</f>
        <v/>
      </c>
      <c r="D25" s="194"/>
      <c r="E25" s="194"/>
      <c r="F25" s="194"/>
      <c r="G25" s="194" t="str">
        <f>'SSP APD AAA DB Code'!C11</f>
        <v/>
      </c>
      <c r="H25" s="194"/>
      <c r="I25" s="194"/>
      <c r="J25" s="194"/>
      <c r="K25" s="194"/>
      <c r="L25" s="208" t="str">
        <f>'SSP APD AAA DB Code'!D11</f>
        <v/>
      </c>
      <c r="M25" s="208"/>
      <c r="N25" s="195" t="str">
        <f>IF('SSP APD AAA Branches'!$I$6
        ="",
          "",
          IF('SSP APD AAA DB Code'!I11
               &lt;&gt;"",
                    HYPERLINK("mailto:"&amp;'SSP APD AAA DB Code'!S11&amp;"", "Click here for case transfer email"),
                    IF(I20
                         ="",
                           "",
                           HYPERLINK("mailto:"&amp;'SSP APD AAA DB Code'!S10&amp;"", "Click here for case transfer email"))))</f>
        <v/>
      </c>
      <c r="O25" s="202"/>
    </row>
    <row r="26" spans="2:15" ht="29.1" customHeight="1" x14ac:dyDescent="0.25">
      <c r="B26" s="196"/>
      <c r="C26" s="194"/>
      <c r="D26" s="194"/>
      <c r="E26" s="194"/>
      <c r="F26" s="194"/>
      <c r="G26" s="194"/>
      <c r="H26" s="194"/>
      <c r="I26" s="194"/>
      <c r="J26" s="194"/>
      <c r="K26" s="194"/>
      <c r="L26" s="208"/>
      <c r="M26" s="208"/>
      <c r="N26" s="195"/>
      <c r="O26" s="202"/>
    </row>
    <row r="27" spans="2:15" ht="29.1" customHeight="1" x14ac:dyDescent="0.25">
      <c r="B27" s="196"/>
      <c r="C27" s="194"/>
      <c r="D27" s="194"/>
      <c r="E27" s="194"/>
      <c r="F27" s="194"/>
      <c r="G27" s="194"/>
      <c r="H27" s="194"/>
      <c r="I27" s="194"/>
      <c r="J27" s="194"/>
      <c r="K27" s="194"/>
      <c r="L27" s="208"/>
      <c r="M27" s="208"/>
      <c r="N27" s="195"/>
      <c r="O27" s="202"/>
    </row>
    <row r="28" spans="2:15" ht="29.1" customHeight="1" x14ac:dyDescent="0.25">
      <c r="B28" s="196"/>
      <c r="C28" s="194"/>
      <c r="D28" s="194"/>
      <c r="E28" s="194"/>
      <c r="F28" s="194"/>
      <c r="G28" s="194"/>
      <c r="H28" s="194"/>
      <c r="I28" s="194"/>
      <c r="J28" s="194"/>
      <c r="K28" s="194"/>
      <c r="L28" s="192" t="str">
        <f>IF('SSP APD AAA Branches'!$I$6
        ="",
            "",
            IF('SSP APD AAA DB Code'!I11
               &lt;&gt;"",
                    IF('SSP APD AAA DB Code'!AB11
                          ="",
                              "",
                              HYPERLINK("https://teams.microsoft.com/l/chat/0/0?users="&amp;'SSP APD AAA DB Code'!AJ11&amp;","&amp;'SSP APD AAA DB Code'!AK11&amp;","&amp;'SSP APD AAA DB Code'!AL11&amp;","&amp;'SSP APD AAA DB Code'!AM11&amp;","&amp;'SSP APD AAA DB Code'!AN11&amp;","&amp;'SSP APD AAA DB Code'!AO11&amp;"","Click here to send group IM")),
                    IF('SSP APD AAA DB Code'!I11
                         ="",
                             "",
                             HYPERLINK("https://teams.microsoft.com/l/chat/0/0?users="&amp;'SSP APD AAA DB Code'!AJ10&amp;","&amp;'SSP APD AAA DB Code'!AK10&amp;","&amp;'SSP APD AAA DB Code'!AL10&amp;","&amp;'SSP APD AAA DB Code'!AM10&amp;","&amp;'SSP APD AAA DB Code'!AN10&amp;","&amp;'SSP APD AAA DB Code'!AO10&amp;"","Click here to send group IM"))))</f>
        <v/>
      </c>
      <c r="M28" s="192"/>
      <c r="N28" s="195"/>
      <c r="O28" s="202"/>
    </row>
    <row r="29" spans="2:15" ht="29.1" customHeight="1" x14ac:dyDescent="0.25">
      <c r="B29" s="196"/>
      <c r="C29" s="194" t="str">
        <f>'SSP APD AAA DB Code'!B12</f>
        <v/>
      </c>
      <c r="D29" s="194"/>
      <c r="E29" s="194"/>
      <c r="F29" s="194"/>
      <c r="G29" s="194" t="str">
        <f>'SSP APD AAA DB Code'!C12</f>
        <v/>
      </c>
      <c r="H29" s="194"/>
      <c r="I29" s="194"/>
      <c r="J29" s="194"/>
      <c r="K29" s="194"/>
      <c r="L29" s="208" t="str">
        <f>'SSP APD AAA DB Code'!D12</f>
        <v/>
      </c>
      <c r="M29" s="208"/>
      <c r="N29" s="195" t="str">
        <f>IF('SSP APD AAA Branches'!$I$6
        ="",
          "",
          IF('SSP APD AAA DB Code'!I12
               &lt;&gt;"",
                    HYPERLINK("mailto:"&amp;'SSP APD AAA DB Code'!S12&amp;"", "Click here for case transfer email"),
                    IF(I24
                         ="",
                           "",
                           HYPERLINK("mailto:"&amp;'SSP APD AAA DB Code'!S11&amp;"", "Click here for case transfer email"))))</f>
        <v/>
      </c>
      <c r="O29" s="202"/>
    </row>
    <row r="30" spans="2:15" ht="29.1" customHeight="1" x14ac:dyDescent="0.25">
      <c r="B30" s="196"/>
      <c r="C30" s="194"/>
      <c r="D30" s="194"/>
      <c r="E30" s="194"/>
      <c r="F30" s="194"/>
      <c r="G30" s="194"/>
      <c r="H30" s="194"/>
      <c r="I30" s="194"/>
      <c r="J30" s="194"/>
      <c r="K30" s="194"/>
      <c r="L30" s="208"/>
      <c r="M30" s="208"/>
      <c r="N30" s="195"/>
      <c r="O30" s="202"/>
    </row>
    <row r="31" spans="2:15" ht="29.1" customHeight="1" x14ac:dyDescent="0.25">
      <c r="B31" s="196"/>
      <c r="C31" s="194"/>
      <c r="D31" s="194"/>
      <c r="E31" s="194"/>
      <c r="F31" s="194"/>
      <c r="G31" s="194"/>
      <c r="H31" s="194"/>
      <c r="I31" s="194"/>
      <c r="J31" s="194"/>
      <c r="K31" s="194"/>
      <c r="L31" s="208"/>
      <c r="M31" s="208"/>
      <c r="N31" s="195"/>
      <c r="O31" s="202"/>
    </row>
    <row r="32" spans="2:15" ht="29.1" customHeight="1" x14ac:dyDescent="0.25">
      <c r="B32" s="196"/>
      <c r="C32" s="194"/>
      <c r="D32" s="194"/>
      <c r="E32" s="194"/>
      <c r="F32" s="194"/>
      <c r="G32" s="194"/>
      <c r="H32" s="194"/>
      <c r="I32" s="194"/>
      <c r="J32" s="194"/>
      <c r="K32" s="194"/>
      <c r="L32" s="192" t="str">
        <f>IF('SSP APD AAA Branches'!$I$6
        ="",
            "",
            IF('SSP APD AAA DB Code'!I12
               &lt;&gt;"",
                    IF('SSP APD AAA DB Code'!AB12
                          ="",
                              "",
                              HYPERLINK("https://teams.microsoft.com/l/chat/0/0?users="&amp;'SSP APD AAA DB Code'!AJ12&amp;","&amp;'SSP APD AAA DB Code'!AK12&amp;","&amp;'SSP APD AAA DB Code'!AL12&amp;","&amp;'SSP APD AAA DB Code'!AM12&amp;","&amp;'SSP APD AAA DB Code'!AN12&amp;","&amp;'SSP APD AAA DB Code'!AO12&amp;"","Click here to send group IM")),
                    IF('SSP APD AAA DB Code'!I12
                         ="",
                             "",
                             HYPERLINK("https://teams.microsoft.com/l/chat/0/0?users="&amp;'SSP APD AAA DB Code'!AJ11&amp;","&amp;'SSP APD AAA DB Code'!AK11&amp;","&amp;'SSP APD AAA DB Code'!AL11&amp;","&amp;'SSP APD AAA DB Code'!AM11&amp;","&amp;'SSP APD AAA DB Code'!AN11&amp;","&amp;'SSP APD AAA DB Code'!AO11&amp;"","Click here to send group IM"))))</f>
        <v/>
      </c>
      <c r="M32" s="192"/>
      <c r="N32" s="195"/>
      <c r="O32" s="202"/>
    </row>
    <row r="33" spans="2:15" ht="29.1" customHeight="1" x14ac:dyDescent="0.25">
      <c r="B33" s="196"/>
      <c r="C33" s="194" t="str">
        <f>'SSP APD AAA DB Code'!B13</f>
        <v/>
      </c>
      <c r="D33" s="194"/>
      <c r="E33" s="194"/>
      <c r="F33" s="194"/>
      <c r="G33" s="194" t="str">
        <f>'SSP APD AAA DB Code'!C13</f>
        <v/>
      </c>
      <c r="H33" s="194"/>
      <c r="I33" s="194"/>
      <c r="J33" s="194"/>
      <c r="K33" s="194"/>
      <c r="L33" s="208" t="str">
        <f>'SSP APD AAA DB Code'!D13</f>
        <v/>
      </c>
      <c r="M33" s="208"/>
      <c r="N33" s="195" t="str">
        <f>IF('SSP APD AAA Branches'!$I$6
        ="",
          "",
          IF('SSP APD AAA DB Code'!I13
               &lt;&gt;"",
                    HYPERLINK("mailto:"&amp;'SSP APD AAA DB Code'!S13&amp;"", "Click here for case transfer email"),
                    IF(I28
                         ="",
                           "",
                           HYPERLINK("mailto:"&amp;'SSP APD AAA DB Code'!S12&amp;"", "Click here for case transfer email"))))</f>
        <v/>
      </c>
      <c r="O33" s="202"/>
    </row>
    <row r="34" spans="2:15" ht="29.1" customHeight="1" x14ac:dyDescent="0.25">
      <c r="B34" s="196"/>
      <c r="C34" s="194"/>
      <c r="D34" s="194"/>
      <c r="E34" s="194"/>
      <c r="F34" s="194"/>
      <c r="G34" s="194"/>
      <c r="H34" s="194"/>
      <c r="I34" s="194"/>
      <c r="J34" s="194"/>
      <c r="K34" s="194"/>
      <c r="L34" s="208"/>
      <c r="M34" s="208"/>
      <c r="N34" s="195"/>
      <c r="O34" s="202"/>
    </row>
    <row r="35" spans="2:15" ht="29.1" customHeight="1" x14ac:dyDescent="0.25">
      <c r="B35" s="196"/>
      <c r="C35" s="194"/>
      <c r="D35" s="194"/>
      <c r="E35" s="194"/>
      <c r="F35" s="194"/>
      <c r="G35" s="194"/>
      <c r="H35" s="194"/>
      <c r="I35" s="194"/>
      <c r="J35" s="194"/>
      <c r="K35" s="194"/>
      <c r="L35" s="208"/>
      <c r="M35" s="208"/>
      <c r="N35" s="195"/>
      <c r="O35" s="202"/>
    </row>
    <row r="36" spans="2:15" ht="29.1" customHeight="1" x14ac:dyDescent="0.25">
      <c r="B36" s="196"/>
      <c r="C36" s="194"/>
      <c r="D36" s="194"/>
      <c r="E36" s="194"/>
      <c r="F36" s="194"/>
      <c r="G36" s="194"/>
      <c r="H36" s="194"/>
      <c r="I36" s="194"/>
      <c r="J36" s="194"/>
      <c r="K36" s="194"/>
      <c r="L36" s="192" t="str">
        <f>IF('SSP APD AAA Branches'!$I$6
        ="",
            "",
            IF('SSP APD AAA DB Code'!I13
               &lt;&gt;"",
                    IF('SSP APD AAA DB Code'!AB13
                          ="",
                              "",
                              HYPERLINK("https://teams.microsoft.com/l/chat/0/0?users="&amp;'SSP APD AAA DB Code'!AJ13&amp;","&amp;'SSP APD AAA DB Code'!AK13&amp;","&amp;'SSP APD AAA DB Code'!AL13&amp;","&amp;'SSP APD AAA DB Code'!AM13&amp;","&amp;'SSP APD AAA DB Code'!AN13&amp;","&amp;'SSP APD AAA DB Code'!AO13&amp;"","Click here to send group IM")),
                    IF('SSP APD AAA DB Code'!I13
                         ="",
                             "",
                             HYPERLINK("https://teams.microsoft.com/l/chat/0/0?users="&amp;'SSP APD AAA DB Code'!AJ12&amp;","&amp;'SSP APD AAA DB Code'!AK12&amp;","&amp;'SSP APD AAA DB Code'!AL12&amp;","&amp;'SSP APD AAA DB Code'!AM12&amp;","&amp;'SSP APD AAA DB Code'!AN12&amp;","&amp;'SSP APD AAA DB Code'!AO12&amp;"","Click here to send group IM"))))</f>
        <v/>
      </c>
      <c r="M36" s="192"/>
      <c r="N36" s="195"/>
      <c r="O36" s="202"/>
    </row>
    <row r="37" spans="2:15" ht="29.1" customHeight="1" x14ac:dyDescent="0.25">
      <c r="B37" s="196"/>
      <c r="C37" s="194" t="str">
        <f>'SSP APD AAA DB Code'!B14</f>
        <v/>
      </c>
      <c r="D37" s="194"/>
      <c r="E37" s="194"/>
      <c r="F37" s="194"/>
      <c r="G37" s="194" t="str">
        <f>'SSP APD AAA DB Code'!C14</f>
        <v/>
      </c>
      <c r="H37" s="194"/>
      <c r="I37" s="194"/>
      <c r="J37" s="194"/>
      <c r="K37" s="194"/>
      <c r="L37" s="208" t="str">
        <f>'SSP APD AAA DB Code'!D14</f>
        <v/>
      </c>
      <c r="M37" s="208"/>
      <c r="N37" s="195" t="str">
        <f>IF('SSP APD AAA Branches'!$I$6
        ="",
          "",
          IF('SSP APD AAA DB Code'!I14
               &lt;&gt;"",
                    HYPERLINK("mailto:"&amp;'SSP APD AAA DB Code'!S14&amp;"", "Click here for case transfer email"),
                    IF(I32
                         ="",
                           "",
                           HYPERLINK("mailto:"&amp;'SSP APD AAA DB Code'!S13&amp;"", "Click here for case transfer email"))))</f>
        <v/>
      </c>
      <c r="O37" s="202"/>
    </row>
    <row r="38" spans="2:15" ht="29.1" customHeight="1" x14ac:dyDescent="0.25">
      <c r="B38" s="196"/>
      <c r="C38" s="194"/>
      <c r="D38" s="194"/>
      <c r="E38" s="194"/>
      <c r="F38" s="194"/>
      <c r="G38" s="194"/>
      <c r="H38" s="194"/>
      <c r="I38" s="194"/>
      <c r="J38" s="194"/>
      <c r="K38" s="194"/>
      <c r="L38" s="208"/>
      <c r="M38" s="208"/>
      <c r="N38" s="195"/>
      <c r="O38" s="202"/>
    </row>
    <row r="39" spans="2:15" ht="29.1" customHeight="1" x14ac:dyDescent="0.25">
      <c r="B39" s="196"/>
      <c r="C39" s="194"/>
      <c r="D39" s="194"/>
      <c r="E39" s="194"/>
      <c r="F39" s="194"/>
      <c r="G39" s="194"/>
      <c r="H39" s="194"/>
      <c r="I39" s="194"/>
      <c r="J39" s="194"/>
      <c r="K39" s="194"/>
      <c r="L39" s="208"/>
      <c r="M39" s="208"/>
      <c r="N39" s="195"/>
      <c r="O39" s="202"/>
    </row>
    <row r="40" spans="2:15" ht="29.1" customHeight="1" x14ac:dyDescent="0.25">
      <c r="B40" s="196"/>
      <c r="C40" s="194"/>
      <c r="D40" s="194"/>
      <c r="E40" s="194"/>
      <c r="F40" s="194"/>
      <c r="G40" s="194"/>
      <c r="H40" s="194"/>
      <c r="I40" s="194"/>
      <c r="J40" s="194"/>
      <c r="K40" s="194"/>
      <c r="L40" s="192" t="str">
        <f>IF('SSP APD AAA Branches'!$I$6
        ="",
            "",
            IF('SSP APD AAA DB Code'!I14
               &lt;&gt;"",
                    IF('SSP APD AAA DB Code'!AB14
                          ="",
                              "",
                              HYPERLINK("https://teams.microsoft.com/l/chat/0/0?users="&amp;'SSP APD AAA DB Code'!AJ14&amp;","&amp;'SSP APD AAA DB Code'!AK14&amp;","&amp;'SSP APD AAA DB Code'!AL14&amp;","&amp;'SSP APD AAA DB Code'!AM14&amp;","&amp;'SSP APD AAA DB Code'!AN14&amp;","&amp;'SSP APD AAA DB Code'!AO14&amp;"","Click here to send group IM")),
                    IF('SSP APD AAA DB Code'!I14
                         ="",
                             "",
                             HYPERLINK("https://teams.microsoft.com/l/chat/0/0?users="&amp;'SSP APD AAA DB Code'!AJ13&amp;","&amp;'SSP APD AAA DB Code'!AK13&amp;","&amp;'SSP APD AAA DB Code'!AL13&amp;","&amp;'SSP APD AAA DB Code'!AM13&amp;","&amp;'SSP APD AAA DB Code'!AN13&amp;","&amp;'SSP APD AAA DB Code'!AO13&amp;"","Click here to send group IM"))))</f>
        <v/>
      </c>
      <c r="M40" s="192"/>
      <c r="N40" s="195"/>
      <c r="O40" s="202"/>
    </row>
    <row r="41" spans="2:15" ht="29.1" customHeight="1" x14ac:dyDescent="0.25">
      <c r="B41" s="196"/>
      <c r="C41" s="194" t="str">
        <f>'SSP APD AAA DB Code'!B15</f>
        <v/>
      </c>
      <c r="D41" s="194"/>
      <c r="E41" s="194"/>
      <c r="F41" s="194"/>
      <c r="G41" s="194" t="str">
        <f>'SSP APD AAA DB Code'!C15</f>
        <v/>
      </c>
      <c r="H41" s="194"/>
      <c r="I41" s="194"/>
      <c r="J41" s="194"/>
      <c r="K41" s="194"/>
      <c r="L41" s="208" t="str">
        <f>'SSP APD AAA DB Code'!D15</f>
        <v/>
      </c>
      <c r="M41" s="208"/>
      <c r="N41" s="195" t="str">
        <f>IF('SSP APD AAA Branches'!$I$6
        ="",
          "",
          IF('SSP APD AAA DB Code'!I15
               &lt;&gt;"",
                    HYPERLINK("mailto:"&amp;'SSP APD AAA DB Code'!S15&amp;"", "Click here for case transfer email"),
                    IF(I36
                         ="",
                           "",
                           HYPERLINK("mailto:"&amp;'SSP APD AAA DB Code'!S14&amp;"", "Click here for case transfer email"))))</f>
        <v/>
      </c>
      <c r="O41" s="202"/>
    </row>
    <row r="42" spans="2:15" ht="29.1" customHeight="1" x14ac:dyDescent="0.25">
      <c r="B42" s="196"/>
      <c r="C42" s="194"/>
      <c r="D42" s="194"/>
      <c r="E42" s="194"/>
      <c r="F42" s="194"/>
      <c r="G42" s="194"/>
      <c r="H42" s="194"/>
      <c r="I42" s="194"/>
      <c r="J42" s="194"/>
      <c r="K42" s="194"/>
      <c r="L42" s="208"/>
      <c r="M42" s="208"/>
      <c r="N42" s="195"/>
      <c r="O42" s="202"/>
    </row>
    <row r="43" spans="2:15" ht="29.1" customHeight="1" x14ac:dyDescent="0.25">
      <c r="B43" s="196"/>
      <c r="C43" s="194"/>
      <c r="D43" s="194"/>
      <c r="E43" s="194"/>
      <c r="F43" s="194"/>
      <c r="G43" s="194"/>
      <c r="H43" s="194"/>
      <c r="I43" s="194"/>
      <c r="J43" s="194"/>
      <c r="K43" s="194"/>
      <c r="L43" s="208"/>
      <c r="M43" s="208"/>
      <c r="N43" s="195"/>
      <c r="O43" s="202"/>
    </row>
    <row r="44" spans="2:15" ht="29.1" customHeight="1" x14ac:dyDescent="0.25">
      <c r="B44" s="196"/>
      <c r="C44" s="194"/>
      <c r="D44" s="194"/>
      <c r="E44" s="194"/>
      <c r="F44" s="194"/>
      <c r="G44" s="194"/>
      <c r="H44" s="194"/>
      <c r="I44" s="194"/>
      <c r="J44" s="194"/>
      <c r="K44" s="194"/>
      <c r="L44" s="192" t="str">
        <f>IF('SSP APD AAA Branches'!$I$6
        ="",
            "",
            IF('SSP APD AAA DB Code'!I15
               &lt;&gt;"",
                    IF('SSP APD AAA DB Code'!AB15
                          ="",
                              "",
                              HYPERLINK("https://teams.microsoft.com/l/chat/0/0?users="&amp;'SSP APD AAA DB Code'!AJ15&amp;","&amp;'SSP APD AAA DB Code'!AK15&amp;","&amp;'SSP APD AAA DB Code'!AL15&amp;","&amp;'SSP APD AAA DB Code'!AM15&amp;","&amp;'SSP APD AAA DB Code'!AN15&amp;","&amp;'SSP APD AAA DB Code'!AO15&amp;"","Click here to send group IM")),
                    IF('SSP APD AAA DB Code'!I15
                         ="",
                             "",
                             HYPERLINK("https://teams.microsoft.com/l/chat/0/0?users="&amp;'SSP APD AAA DB Code'!AJ14&amp;","&amp;'SSP APD AAA DB Code'!AK14&amp;","&amp;'SSP APD AAA DB Code'!AL14&amp;","&amp;'SSP APD AAA DB Code'!AM14&amp;","&amp;'SSP APD AAA DB Code'!AN14&amp;","&amp;'SSP APD AAA DB Code'!AO14&amp;"","Click here to send group IM"))))</f>
        <v/>
      </c>
      <c r="M44" s="192"/>
      <c r="N44" s="195"/>
      <c r="O44" s="202"/>
    </row>
    <row r="45" spans="2:15" ht="29.1" customHeight="1" x14ac:dyDescent="0.25">
      <c r="B45" s="196"/>
      <c r="C45" s="194" t="str">
        <f>'SSP APD AAA DB Code'!B16</f>
        <v/>
      </c>
      <c r="D45" s="194"/>
      <c r="E45" s="194"/>
      <c r="F45" s="194"/>
      <c r="G45" s="194" t="str">
        <f>'SSP APD AAA DB Code'!C16</f>
        <v/>
      </c>
      <c r="H45" s="194"/>
      <c r="I45" s="194"/>
      <c r="J45" s="194"/>
      <c r="K45" s="194"/>
      <c r="L45" s="208" t="str">
        <f>'SSP APD AAA DB Code'!D16</f>
        <v/>
      </c>
      <c r="M45" s="208"/>
      <c r="N45" s="195" t="str">
        <f>IF('SSP APD AAA Branches'!$I$6
        ="",
          "",
          IF('SSP APD AAA DB Code'!I16
               &lt;&gt;"",
                    HYPERLINK("mailto:"&amp;'SSP APD AAA DB Code'!S16&amp;"", "Click here for case transfer email"),
                    IF(I40
                         ="",
                           "",
                           HYPERLINK("mailto:"&amp;'SSP APD AAA DB Code'!S15&amp;"", "Click here for case transfer email"))))</f>
        <v/>
      </c>
      <c r="O45" s="202"/>
    </row>
    <row r="46" spans="2:15" ht="29.1" customHeight="1" x14ac:dyDescent="0.25">
      <c r="B46" s="196"/>
      <c r="C46" s="194"/>
      <c r="D46" s="194"/>
      <c r="E46" s="194"/>
      <c r="F46" s="194"/>
      <c r="G46" s="194"/>
      <c r="H46" s="194"/>
      <c r="I46" s="194"/>
      <c r="J46" s="194"/>
      <c r="K46" s="194"/>
      <c r="L46" s="208"/>
      <c r="M46" s="208"/>
      <c r="N46" s="195"/>
      <c r="O46" s="202"/>
    </row>
    <row r="47" spans="2:15" ht="29.1" customHeight="1" x14ac:dyDescent="0.25">
      <c r="B47" s="196"/>
      <c r="C47" s="194"/>
      <c r="D47" s="194"/>
      <c r="E47" s="194"/>
      <c r="F47" s="194"/>
      <c r="G47" s="194"/>
      <c r="H47" s="194"/>
      <c r="I47" s="194"/>
      <c r="J47" s="194"/>
      <c r="K47" s="194"/>
      <c r="L47" s="208"/>
      <c r="M47" s="208"/>
      <c r="N47" s="195"/>
      <c r="O47" s="202"/>
    </row>
    <row r="48" spans="2:15" ht="29.1" customHeight="1" x14ac:dyDescent="0.25">
      <c r="B48" s="196"/>
      <c r="C48" s="194"/>
      <c r="D48" s="194"/>
      <c r="E48" s="194"/>
      <c r="F48" s="194"/>
      <c r="G48" s="194"/>
      <c r="H48" s="194"/>
      <c r="I48" s="194"/>
      <c r="J48" s="194"/>
      <c r="K48" s="194"/>
      <c r="L48" s="192" t="str">
        <f>IF('SSP APD AAA Branches'!$I$6
        ="",
            "",
            IF('SSP APD AAA DB Code'!I16
               &lt;&gt;"",
                    IF('SSP APD AAA DB Code'!AB16
                          ="",
                              "",
                              HYPERLINK("https://teams.microsoft.com/l/chat/0/0?users="&amp;'SSP APD AAA DB Code'!AJ16&amp;","&amp;'SSP APD AAA DB Code'!AK16&amp;","&amp;'SSP APD AAA DB Code'!AL16&amp;","&amp;'SSP APD AAA DB Code'!AM16&amp;","&amp;'SSP APD AAA DB Code'!AN16&amp;","&amp;'SSP APD AAA DB Code'!AO16&amp;"","Click here to send group IM")),
                    IF('SSP APD AAA DB Code'!I16
                         ="",
                             "",
                             HYPERLINK("https://teams.microsoft.com/l/chat/0/0?users="&amp;'SSP APD AAA DB Code'!AJ15&amp;","&amp;'SSP APD AAA DB Code'!AK15&amp;","&amp;'SSP APD AAA DB Code'!AL15&amp;","&amp;'SSP APD AAA DB Code'!AM15&amp;","&amp;'SSP APD AAA DB Code'!AN15&amp;","&amp;'SSP APD AAA DB Code'!AO15&amp;"","Click here to send group IM"))))</f>
        <v/>
      </c>
      <c r="M48" s="192"/>
      <c r="N48" s="195"/>
      <c r="O48" s="202"/>
    </row>
    <row r="49" spans="2:15" ht="29.1" customHeight="1" x14ac:dyDescent="0.25">
      <c r="B49" s="196"/>
      <c r="C49" s="194" t="str">
        <f>'SSP APD AAA DB Code'!B17</f>
        <v/>
      </c>
      <c r="D49" s="194"/>
      <c r="E49" s="194"/>
      <c r="F49" s="194"/>
      <c r="G49" s="194" t="str">
        <f>'SSP APD AAA DB Code'!C17</f>
        <v/>
      </c>
      <c r="H49" s="194"/>
      <c r="I49" s="194"/>
      <c r="J49" s="194"/>
      <c r="K49" s="194"/>
      <c r="L49" s="208" t="str">
        <f>'SSP APD AAA DB Code'!D17</f>
        <v/>
      </c>
      <c r="M49" s="208"/>
      <c r="N49" s="195" t="str">
        <f>IF('SSP APD AAA Branches'!$I$6
        ="",
          "",
          IF('SSP APD AAA DB Code'!I17
               &lt;&gt;"",
                    HYPERLINK("mailto:"&amp;'SSP APD AAA DB Code'!S17&amp;"", "Click here for case transfer email"),
                    IF(I44
                         ="",
                           "",
                           HYPERLINK("mailto:"&amp;'SSP APD AAA DB Code'!S16&amp;"", "Click here for case transfer email"))))</f>
        <v/>
      </c>
      <c r="O49" s="202"/>
    </row>
    <row r="50" spans="2:15" ht="29.1" customHeight="1" x14ac:dyDescent="0.25">
      <c r="B50" s="196"/>
      <c r="C50" s="194"/>
      <c r="D50" s="194"/>
      <c r="E50" s="194"/>
      <c r="F50" s="194"/>
      <c r="G50" s="194"/>
      <c r="H50" s="194"/>
      <c r="I50" s="194"/>
      <c r="J50" s="194"/>
      <c r="K50" s="194"/>
      <c r="L50" s="208"/>
      <c r="M50" s="208"/>
      <c r="N50" s="195"/>
      <c r="O50" s="202"/>
    </row>
    <row r="51" spans="2:15" ht="29.1" customHeight="1" x14ac:dyDescent="0.25">
      <c r="B51" s="196"/>
      <c r="C51" s="194"/>
      <c r="D51" s="194"/>
      <c r="E51" s="194"/>
      <c r="F51" s="194"/>
      <c r="G51" s="194"/>
      <c r="H51" s="194"/>
      <c r="I51" s="194"/>
      <c r="J51" s="194"/>
      <c r="K51" s="194"/>
      <c r="L51" s="208"/>
      <c r="M51" s="208"/>
      <c r="N51" s="195"/>
      <c r="O51" s="202"/>
    </row>
    <row r="52" spans="2:15" ht="29.1" customHeight="1" x14ac:dyDescent="0.25">
      <c r="B52" s="196"/>
      <c r="C52" s="194"/>
      <c r="D52" s="194"/>
      <c r="E52" s="194"/>
      <c r="F52" s="194"/>
      <c r="G52" s="194"/>
      <c r="H52" s="194"/>
      <c r="I52" s="194"/>
      <c r="J52" s="194"/>
      <c r="K52" s="194"/>
      <c r="L52" s="192" t="str">
        <f>IF('SSP APD AAA Branches'!$I$6
        ="",
            "",
            IF('SSP APD AAA DB Code'!I17
               &lt;&gt;"",
                    IF('SSP APD AAA DB Code'!AB17
                          ="",
                              "",
                              HYPERLINK("https://teams.microsoft.com/l/chat/0/0?users="&amp;'SSP APD AAA DB Code'!AJ17&amp;","&amp;'SSP APD AAA DB Code'!AK17&amp;","&amp;'SSP APD AAA DB Code'!AL17&amp;","&amp;'SSP APD AAA DB Code'!AM17&amp;","&amp;'SSP APD AAA DB Code'!AN17&amp;","&amp;'SSP APD AAA DB Code'!AO17&amp;"","Click here to send group IM")),
                    IF('SSP APD AAA DB Code'!I17
                         ="",
                             "",
                             HYPERLINK("https://teams.microsoft.com/l/chat/0/0?users="&amp;'SSP APD AAA DB Code'!AJ16&amp;","&amp;'SSP APD AAA DB Code'!AK16&amp;","&amp;'SSP APD AAA DB Code'!AL16&amp;","&amp;'SSP APD AAA DB Code'!AM16&amp;","&amp;'SSP APD AAA DB Code'!AN16&amp;","&amp;'SSP APD AAA DB Code'!AO16&amp;"","Click here to send group IM"))))</f>
        <v/>
      </c>
      <c r="M52" s="192"/>
      <c r="N52" s="195"/>
      <c r="O52" s="202"/>
    </row>
    <row r="53" spans="2:15" ht="29.1" customHeight="1" x14ac:dyDescent="0.25">
      <c r="B53" s="196"/>
      <c r="C53" s="194" t="str">
        <f>'SSP APD AAA DB Code'!B18</f>
        <v/>
      </c>
      <c r="D53" s="194"/>
      <c r="E53" s="194"/>
      <c r="F53" s="194"/>
      <c r="G53" s="194" t="str">
        <f>'SSP APD AAA DB Code'!C18</f>
        <v/>
      </c>
      <c r="H53" s="194"/>
      <c r="I53" s="194"/>
      <c r="J53" s="194"/>
      <c r="K53" s="194"/>
      <c r="L53" s="208" t="str">
        <f>'SSP APD AAA DB Code'!D18</f>
        <v/>
      </c>
      <c r="M53" s="208"/>
      <c r="N53" s="195" t="str">
        <f>IF('SSP APD AAA Branches'!$I$6
        ="",
          "",
          IF('SSP APD AAA DB Code'!I18
               &lt;&gt;"",
                    HYPERLINK("mailto:"&amp;'SSP APD AAA DB Code'!S18&amp;"", "Click here for case transfer email"),
                    IF(I48
                         ="",
                           "",
                           HYPERLINK("mailto:"&amp;'SSP APD AAA DB Code'!S17&amp;"", "Click here for case transfer email"))))</f>
        <v/>
      </c>
      <c r="O53" s="202"/>
    </row>
    <row r="54" spans="2:15" ht="29.1" customHeight="1" x14ac:dyDescent="0.25">
      <c r="B54" s="196"/>
      <c r="C54" s="194"/>
      <c r="D54" s="194"/>
      <c r="E54" s="194"/>
      <c r="F54" s="194"/>
      <c r="G54" s="194"/>
      <c r="H54" s="194"/>
      <c r="I54" s="194"/>
      <c r="J54" s="194"/>
      <c r="K54" s="194"/>
      <c r="L54" s="208"/>
      <c r="M54" s="208"/>
      <c r="N54" s="195"/>
      <c r="O54" s="202"/>
    </row>
    <row r="55" spans="2:15" ht="29.1" customHeight="1" x14ac:dyDescent="0.25">
      <c r="B55" s="196"/>
      <c r="C55" s="194"/>
      <c r="D55" s="194"/>
      <c r="E55" s="194"/>
      <c r="F55" s="194"/>
      <c r="G55" s="194"/>
      <c r="H55" s="194"/>
      <c r="I55" s="194"/>
      <c r="J55" s="194"/>
      <c r="K55" s="194"/>
      <c r="L55" s="208"/>
      <c r="M55" s="208"/>
      <c r="N55" s="195"/>
      <c r="O55" s="202"/>
    </row>
    <row r="56" spans="2:15" ht="29.1" customHeight="1" x14ac:dyDescent="0.25">
      <c r="B56" s="196"/>
      <c r="C56" s="194"/>
      <c r="D56" s="194"/>
      <c r="E56" s="194"/>
      <c r="F56" s="194"/>
      <c r="G56" s="194"/>
      <c r="H56" s="194"/>
      <c r="I56" s="194"/>
      <c r="J56" s="194"/>
      <c r="K56" s="194"/>
      <c r="L56" s="192" t="str">
        <f>IF('SSP APD AAA Branches'!$I$6
        ="",
            "",
            IF('SSP APD AAA DB Code'!I18
               &lt;&gt;"",
                    IF('SSP APD AAA DB Code'!AB18
                          ="",
                              "",
                              HYPERLINK("https://teams.microsoft.com/l/chat/0/0?users="&amp;'SSP APD AAA DB Code'!AJ18&amp;","&amp;'SSP APD AAA DB Code'!AK18&amp;","&amp;'SSP APD AAA DB Code'!AL18&amp;","&amp;'SSP APD AAA DB Code'!AM18&amp;","&amp;'SSP APD AAA DB Code'!AN18&amp;","&amp;'SSP APD AAA DB Code'!AO18&amp;"","Click here to send group IM")),
                    IF('SSP APD AAA DB Code'!I18
                         ="",
                             "",
                             HYPERLINK("https://teams.microsoft.com/l/chat/0/0?users="&amp;'SSP APD AAA DB Code'!AJ17&amp;","&amp;'SSP APD AAA DB Code'!AK17&amp;","&amp;'SSP APD AAA DB Code'!AL17&amp;","&amp;'SSP APD AAA DB Code'!AM17&amp;","&amp;'SSP APD AAA DB Code'!AN17&amp;","&amp;'SSP APD AAA DB Code'!AO17&amp;"","Click here to send group IM"))))</f>
        <v/>
      </c>
      <c r="M56" s="192"/>
      <c r="N56" s="195"/>
      <c r="O56" s="202"/>
    </row>
    <row r="57" spans="2:15" ht="21.75" customHeight="1" x14ac:dyDescent="0.25">
      <c r="B57" s="196"/>
      <c r="C57" s="144"/>
      <c r="D57" s="144"/>
      <c r="E57" s="141" t="s">
        <v>1566</v>
      </c>
      <c r="F57" s="145" t="str">
        <f>HYPERLINK("mailto:SSPBusiness.Analysts@odhsoha.oregon.gov","SSPBusiness.Analysts@odhsoha.oregon.gov")</f>
        <v>SSPBusiness.Analysts@odhsoha.oregon.gov</v>
      </c>
      <c r="G57" s="144"/>
      <c r="H57" s="144"/>
      <c r="I57" s="144"/>
      <c r="J57" s="144"/>
      <c r="K57" s="144"/>
      <c r="L57" s="144"/>
      <c r="M57" s="144"/>
      <c r="N57" s="143" t="str">
        <f>'SSP APD AAA DB Code'!C4</f>
        <v>v 6.9.4 - Last updated on 12/08/25</v>
      </c>
      <c r="O57" s="202"/>
    </row>
    <row r="58" spans="2:15" ht="21.75" customHeight="1" x14ac:dyDescent="0.25">
      <c r="B58" s="193"/>
      <c r="C58" s="193"/>
      <c r="D58" s="193"/>
      <c r="E58" s="193"/>
      <c r="F58" s="193"/>
      <c r="G58" s="193"/>
      <c r="H58" s="193"/>
      <c r="I58" s="193"/>
      <c r="J58" s="193"/>
      <c r="K58" s="193"/>
      <c r="L58" s="193"/>
      <c r="M58" s="193"/>
      <c r="N58" s="193"/>
      <c r="O58" s="130"/>
    </row>
    <row r="59" spans="2:15" ht="21.75" customHeight="1" x14ac:dyDescent="0.25">
      <c r="B59" s="63"/>
      <c r="O59" s="63"/>
    </row>
    <row r="60" spans="2:15" ht="21.75" customHeight="1" x14ac:dyDescent="0.25">
      <c r="B60" s="63"/>
    </row>
    <row r="61" spans="2:15" ht="21.75" customHeight="1" x14ac:dyDescent="0.25"/>
    <row r="62" spans="2:15" ht="21.75" customHeight="1" x14ac:dyDescent="0.25"/>
    <row r="63" spans="2:15" ht="21.75" customHeight="1" x14ac:dyDescent="0.25"/>
    <row r="64" spans="2:15" ht="21.75" customHeight="1" x14ac:dyDescent="0.25"/>
    <row r="65" ht="21.75" customHeight="1" x14ac:dyDescent="0.25"/>
    <row r="66" ht="21.75" customHeight="1" x14ac:dyDescent="0.25"/>
    <row r="67" ht="21.75" customHeight="1" x14ac:dyDescent="0.25"/>
    <row r="68" ht="21.75" customHeight="1" x14ac:dyDescent="0.25"/>
    <row r="69" ht="21.75" customHeight="1" x14ac:dyDescent="0.25"/>
    <row r="70" ht="21.75" customHeight="1" x14ac:dyDescent="0.25"/>
    <row r="71" ht="21.75" customHeight="1" x14ac:dyDescent="0.25"/>
    <row r="72" ht="21.75" customHeight="1" x14ac:dyDescent="0.25"/>
    <row r="73" ht="21.75" customHeight="1" x14ac:dyDescent="0.25"/>
    <row r="74" ht="21.75" customHeight="1" x14ac:dyDescent="0.25"/>
    <row r="75" ht="21.75" customHeight="1" x14ac:dyDescent="0.25"/>
    <row r="76" ht="21.75" customHeight="1" x14ac:dyDescent="0.25"/>
    <row r="77" ht="21.75" customHeight="1" x14ac:dyDescent="0.25"/>
    <row r="78" ht="21.75" customHeight="1" x14ac:dyDescent="0.25"/>
    <row r="79" ht="21.75" customHeight="1" x14ac:dyDescent="0.25"/>
    <row r="80" ht="21.75" customHeight="1" x14ac:dyDescent="0.25"/>
    <row r="81" ht="15" customHeight="1" x14ac:dyDescent="0.25"/>
    <row r="86" ht="15" customHeight="1" x14ac:dyDescent="0.25"/>
    <row r="90" ht="15" customHeight="1" x14ac:dyDescent="0.25"/>
    <row r="101" ht="15" customHeight="1" x14ac:dyDescent="0.25"/>
    <row r="109" ht="15" customHeight="1" x14ac:dyDescent="0.25"/>
    <row r="118" ht="15" customHeight="1" x14ac:dyDescent="0.25"/>
    <row r="135" ht="15" customHeight="1" x14ac:dyDescent="0.25"/>
    <row r="144" ht="15" customHeight="1" x14ac:dyDescent="0.25"/>
  </sheetData>
  <sheetProtection algorithmName="SHA-512" hashValue="uNhWRVO9zDZajT50XHhvT0Lz/DqxsXYgq8op2aoDLiV/hHJsT3In2lPfY2NAz2Aq3+n8EbVVig+MsGl/K7vWAQ==" saltValue="/1Hy4Le/x5xtPimBBxZwAA==" spinCount="100000" sheet="1" objects="1" scenarios="1" selectLockedCells="1"/>
  <mergeCells count="68">
    <mergeCell ref="L53:M55"/>
    <mergeCell ref="L52:M52"/>
    <mergeCell ref="L44:M44"/>
    <mergeCell ref="L40:M40"/>
    <mergeCell ref="L24:M24"/>
    <mergeCell ref="L45:M47"/>
    <mergeCell ref="L48:M48"/>
    <mergeCell ref="L49:M51"/>
    <mergeCell ref="L41:M43"/>
    <mergeCell ref="L37:M39"/>
    <mergeCell ref="G29:K32"/>
    <mergeCell ref="G21:K24"/>
    <mergeCell ref="L9:M11"/>
    <mergeCell ref="L12:M12"/>
    <mergeCell ref="L13:M15"/>
    <mergeCell ref="L16:M16"/>
    <mergeCell ref="L17:M19"/>
    <mergeCell ref="L20:M20"/>
    <mergeCell ref="L21:M23"/>
    <mergeCell ref="L25:M27"/>
    <mergeCell ref="N25:N28"/>
    <mergeCell ref="C4:M4"/>
    <mergeCell ref="N29:N32"/>
    <mergeCell ref="N33:N36"/>
    <mergeCell ref="N9:N12"/>
    <mergeCell ref="C25:F28"/>
    <mergeCell ref="C29:F32"/>
    <mergeCell ref="G13:K16"/>
    <mergeCell ref="L29:M31"/>
    <mergeCell ref="L33:M35"/>
    <mergeCell ref="L36:M36"/>
    <mergeCell ref="L32:M32"/>
    <mergeCell ref="L28:M28"/>
    <mergeCell ref="G9:K12"/>
    <mergeCell ref="C33:F36"/>
    <mergeCell ref="L7:M8"/>
    <mergeCell ref="C37:F40"/>
    <mergeCell ref="C41:F44"/>
    <mergeCell ref="G25:K28"/>
    <mergeCell ref="C2:O2"/>
    <mergeCell ref="N13:N16"/>
    <mergeCell ref="N17:N20"/>
    <mergeCell ref="N21:N24"/>
    <mergeCell ref="C9:F12"/>
    <mergeCell ref="C13:F16"/>
    <mergeCell ref="C17:F20"/>
    <mergeCell ref="C21:F24"/>
    <mergeCell ref="O3:O57"/>
    <mergeCell ref="N37:N40"/>
    <mergeCell ref="G17:K20"/>
    <mergeCell ref="K5:M6"/>
    <mergeCell ref="N5:N8"/>
    <mergeCell ref="L56:M56"/>
    <mergeCell ref="B58:N58"/>
    <mergeCell ref="G33:K36"/>
    <mergeCell ref="G37:K40"/>
    <mergeCell ref="N49:N52"/>
    <mergeCell ref="N45:N48"/>
    <mergeCell ref="N41:N44"/>
    <mergeCell ref="N53:N56"/>
    <mergeCell ref="C45:F48"/>
    <mergeCell ref="C49:F52"/>
    <mergeCell ref="C53:F56"/>
    <mergeCell ref="G41:K44"/>
    <mergeCell ref="G49:K52"/>
    <mergeCell ref="B3:B57"/>
    <mergeCell ref="G53:K56"/>
    <mergeCell ref="G45:K48"/>
  </mergeCells>
  <conditionalFormatting sqref="C13:F16">
    <cfRule type="expression" dxfId="51" priority="61">
      <formula>IF(C13&lt;&gt;"",TRUE,FALSE)</formula>
    </cfRule>
  </conditionalFormatting>
  <conditionalFormatting sqref="C17:F20">
    <cfRule type="expression" dxfId="50" priority="72">
      <formula>IF($C$17&lt;&gt;"",TRUE,FALSE)</formula>
    </cfRule>
  </conditionalFormatting>
  <conditionalFormatting sqref="C21:F24">
    <cfRule type="expression" dxfId="49" priority="76">
      <formula>IF($C$21&lt;&gt;"",TRUE,FALSE)</formula>
    </cfRule>
  </conditionalFormatting>
  <conditionalFormatting sqref="C25:F28">
    <cfRule type="expression" dxfId="48" priority="78">
      <formula>IF($C$25&lt;&gt;"",TRUE,FALSE)</formula>
    </cfRule>
  </conditionalFormatting>
  <conditionalFormatting sqref="C29:F32">
    <cfRule type="expression" dxfId="47" priority="80">
      <formula>IF($C$29&lt;&gt;"",TRUE,FALSE)</formula>
    </cfRule>
  </conditionalFormatting>
  <conditionalFormatting sqref="C33:F36">
    <cfRule type="expression" dxfId="46" priority="82">
      <formula>IF($C$33&lt;&gt;"",TRUE,FALSE)</formula>
    </cfRule>
  </conditionalFormatting>
  <conditionalFormatting sqref="C37:F40">
    <cfRule type="expression" dxfId="45" priority="84">
      <formula>IF($C$37&lt;&gt;"",TRUE,FALSE)</formula>
    </cfRule>
  </conditionalFormatting>
  <conditionalFormatting sqref="C41:F44">
    <cfRule type="expression" dxfId="44" priority="86">
      <formula>IF($C$41&lt;&gt;"",TRUE,FALSE)</formula>
    </cfRule>
  </conditionalFormatting>
  <conditionalFormatting sqref="C45:F48">
    <cfRule type="expression" dxfId="43" priority="87">
      <formula>IF($C$45&lt;&gt;"",TRUE,FALSE)</formula>
    </cfRule>
  </conditionalFormatting>
  <conditionalFormatting sqref="C49:F52">
    <cfRule type="expression" dxfId="42" priority="88">
      <formula>IF($C$49&lt;&gt;"",TRUE,FALSE)</formula>
    </cfRule>
  </conditionalFormatting>
  <conditionalFormatting sqref="C53:F56">
    <cfRule type="expression" dxfId="41" priority="35">
      <formula>IF($C$53&lt;&gt;"",TRUE,FALSE)</formula>
    </cfRule>
  </conditionalFormatting>
  <conditionalFormatting sqref="I6">
    <cfRule type="expression" dxfId="40" priority="51">
      <formula>IF(LEN(I6)=1,TRUE,FALSE)</formula>
    </cfRule>
    <cfRule type="expression" dxfId="39" priority="50">
      <formula>IF(LEN(I6)=4,TRUE,FALSE)</formula>
    </cfRule>
    <cfRule type="expression" dxfId="38" priority="49">
      <formula>IF(LEN(I6)=2,TRUE,FALSE)</formula>
    </cfRule>
  </conditionalFormatting>
  <conditionalFormatting sqref="L12:M12">
    <cfRule type="expression" dxfId="37" priority="13">
      <formula>IF($L$12&lt;&gt;"",TRUE,FALSE)</formula>
    </cfRule>
  </conditionalFormatting>
  <conditionalFormatting sqref="L16:M16">
    <cfRule type="expression" dxfId="36" priority="12">
      <formula>IF($L$16&lt;&gt;"",TRUE,FALSE)</formula>
    </cfRule>
  </conditionalFormatting>
  <conditionalFormatting sqref="L20:M20">
    <cfRule type="expression" dxfId="35" priority="75">
      <formula>IF($L$20&lt;&gt;"",TRUE,FALSE)</formula>
    </cfRule>
  </conditionalFormatting>
  <conditionalFormatting sqref="L24:M24">
    <cfRule type="expression" dxfId="34" priority="10">
      <formula>IF($L$24&lt;&gt;"",TRUE,FALSE)</formula>
    </cfRule>
  </conditionalFormatting>
  <conditionalFormatting sqref="L25:M27 G25:K28">
    <cfRule type="expression" dxfId="33" priority="21">
      <formula>IF($G$25&lt;&gt;"",TRUE,FALSE)</formula>
    </cfRule>
  </conditionalFormatting>
  <conditionalFormatting sqref="L28:M28">
    <cfRule type="expression" dxfId="32" priority="9">
      <formula>IF($L$28&lt;&gt;"",TRUE,FALSE)</formula>
    </cfRule>
  </conditionalFormatting>
  <conditionalFormatting sqref="L29:M31 G29:K32">
    <cfRule type="expression" dxfId="31" priority="20">
      <formula>IF($G$29&lt;&gt;"",TRUE,FALSE)</formula>
    </cfRule>
  </conditionalFormatting>
  <conditionalFormatting sqref="L32:M32">
    <cfRule type="expression" dxfId="30" priority="7">
      <formula>IF($L$32&lt;&gt;"",TRUE,FALSE)</formula>
    </cfRule>
  </conditionalFormatting>
  <conditionalFormatting sqref="L33:M35 G33:K36">
    <cfRule type="expression" dxfId="29" priority="19">
      <formula>IF($G$33&lt;&gt;"",TRUE,FALSE)</formula>
    </cfRule>
  </conditionalFormatting>
  <conditionalFormatting sqref="L36:M36">
    <cfRule type="expression" dxfId="28" priority="6">
      <formula>IF($L$36&lt;&gt;"",TRUE,FALSE)</formula>
    </cfRule>
  </conditionalFormatting>
  <conditionalFormatting sqref="L37:M39 G37:K40">
    <cfRule type="expression" dxfId="27" priority="18">
      <formula>IF($G$37&lt;&gt;"",TRUE,FALSE)</formula>
    </cfRule>
  </conditionalFormatting>
  <conditionalFormatting sqref="L40:M40">
    <cfRule type="expression" dxfId="26" priority="5">
      <formula>IF($L$40&lt;&gt;"",TRUE,FALSE)</formula>
    </cfRule>
  </conditionalFormatting>
  <conditionalFormatting sqref="L41:M43 G41:K44">
    <cfRule type="expression" dxfId="25" priority="17">
      <formula>IF($G$41&lt;&gt;"",TRUE,FALSE)</formula>
    </cfRule>
  </conditionalFormatting>
  <conditionalFormatting sqref="L44:M44">
    <cfRule type="expression" dxfId="24" priority="4">
      <formula>IF($L$44&lt;&gt;"",TRUE,FALSE)</formula>
    </cfRule>
  </conditionalFormatting>
  <conditionalFormatting sqref="L45:M47 G45:K48">
    <cfRule type="expression" dxfId="23" priority="16">
      <formula>IF($G$45&lt;&gt;"",TRUE,FALSE)</formula>
    </cfRule>
  </conditionalFormatting>
  <conditionalFormatting sqref="L48:M48">
    <cfRule type="expression" dxfId="22" priority="3">
      <formula>IF($L$48&lt;&gt;"",TRUE,FALSE)</formula>
    </cfRule>
  </conditionalFormatting>
  <conditionalFormatting sqref="L49:M51 G49:K52">
    <cfRule type="expression" dxfId="21" priority="15">
      <formula>IF($G$49&lt;&gt;"",TRUE,FALSE)</formula>
    </cfRule>
  </conditionalFormatting>
  <conditionalFormatting sqref="L52:M52">
    <cfRule type="expression" dxfId="20" priority="2">
      <formula>IF($L$52&lt;&gt;"",TRUE,FALSE)</formula>
    </cfRule>
  </conditionalFormatting>
  <conditionalFormatting sqref="L53:M55 G53:K56">
    <cfRule type="expression" dxfId="19" priority="14">
      <formula>IF($G$53&lt;&gt;"",TRUE,FALSE)</formula>
    </cfRule>
  </conditionalFormatting>
  <conditionalFormatting sqref="L56:M56">
    <cfRule type="expression" dxfId="18" priority="1">
      <formula>IF($L$56&lt;&gt;"",TRUE,FALSE)</formula>
    </cfRule>
  </conditionalFormatting>
  <conditionalFormatting sqref="N13 L13:M15 G13:K16">
    <cfRule type="expression" dxfId="17" priority="32">
      <formula>IF($G$13&lt;&gt;"",TRUE,FALSE)</formula>
    </cfRule>
  </conditionalFormatting>
  <conditionalFormatting sqref="N17 L17:M19 G17:K20">
    <cfRule type="expression" dxfId="16" priority="11">
      <formula>IF($G$17&lt;&gt;"",TRUE,FALSE)</formula>
    </cfRule>
  </conditionalFormatting>
  <conditionalFormatting sqref="N21 L21:M23 G21:K24">
    <cfRule type="expression" dxfId="15" priority="22">
      <formula>IF($G$21&lt;&gt;"",TRUE,FALSE)</formula>
    </cfRule>
  </conditionalFormatting>
  <conditionalFormatting sqref="N25">
    <cfRule type="expression" dxfId="14" priority="79">
      <formula>IF($G$25&lt;&gt;"",TRUE,FALSE)</formula>
    </cfRule>
  </conditionalFormatting>
  <conditionalFormatting sqref="N29">
    <cfRule type="expression" dxfId="13" priority="81">
      <formula>IF($G$29&lt;&gt;"",TRUE,FALSE)</formula>
    </cfRule>
  </conditionalFormatting>
  <conditionalFormatting sqref="N33">
    <cfRule type="expression" dxfId="12" priority="83">
      <formula>IF($G$33&lt;&gt;"",TRUE,FALSE)</formula>
    </cfRule>
  </conditionalFormatting>
  <conditionalFormatting sqref="N37">
    <cfRule type="expression" dxfId="11" priority="85">
      <formula>IF($G$37&lt;&gt;"",TRUE,FALSE)</formula>
    </cfRule>
  </conditionalFormatting>
  <conditionalFormatting sqref="N41">
    <cfRule type="expression" dxfId="10" priority="89">
      <formula>IF($G$41&lt;&gt;"",TRUE,FALSE)</formula>
    </cfRule>
  </conditionalFormatting>
  <conditionalFormatting sqref="N45">
    <cfRule type="expression" dxfId="9" priority="90">
      <formula>IF($G$45&lt;&gt;"",TRUE,FALSE)</formula>
    </cfRule>
  </conditionalFormatting>
  <conditionalFormatting sqref="N49">
    <cfRule type="expression" dxfId="8" priority="91">
      <formula>IF($G$49&lt;&gt;"",TRUE,FALSE)</formula>
    </cfRule>
  </conditionalFormatting>
  <conditionalFormatting sqref="N53">
    <cfRule type="expression" dxfId="7" priority="34">
      <formula>IF($G$53&lt;&gt;"",TRUE,FALSE)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9669-4614-4E15-A623-BC46A7E42596}">
  <sheetPr codeName="Sheet2"/>
  <dimension ref="B1:Y285"/>
  <sheetViews>
    <sheetView showGridLines="0" showRowColHeaders="0" zoomScaleNormal="100" workbookViewId="0">
      <selection activeCell="H6" sqref="H6"/>
    </sheetView>
  </sheetViews>
  <sheetFormatPr defaultColWidth="13.7109375" defaultRowHeight="12.75" x14ac:dyDescent="0.2"/>
  <cols>
    <col min="1" max="1" width="2.85546875" style="1" customWidth="1"/>
    <col min="2" max="2" width="4.42578125" style="1" customWidth="1"/>
    <col min="3" max="3" width="4.85546875" style="1" customWidth="1"/>
    <col min="4" max="12" width="19.28515625" style="1" customWidth="1"/>
    <col min="13" max="13" width="4.85546875" style="1" customWidth="1"/>
    <col min="14" max="14" width="4.7109375" style="1" customWidth="1"/>
    <col min="15" max="18" width="13.7109375" style="1"/>
    <col min="19" max="19" width="17.42578125" style="1" customWidth="1"/>
    <col min="20" max="20" width="13.7109375" style="1"/>
    <col min="21" max="21" width="13.140625" style="1" customWidth="1"/>
    <col min="22" max="22" width="8.42578125" style="1" bestFit="1" customWidth="1"/>
    <col min="23" max="23" width="14.42578125" style="4" bestFit="1" customWidth="1"/>
    <col min="24" max="24" width="10.7109375" style="4" bestFit="1" customWidth="1"/>
    <col min="25" max="25" width="13.7109375" style="1"/>
    <col min="26" max="26" width="30.85546875" style="1" bestFit="1" customWidth="1"/>
    <col min="27" max="28" width="17.5703125" style="1" bestFit="1" customWidth="1"/>
    <col min="29" max="35" width="13.7109375" style="1"/>
    <col min="36" max="36" width="52.7109375" style="1" bestFit="1" customWidth="1"/>
    <col min="37" max="16384" width="13.7109375" style="1"/>
  </cols>
  <sheetData>
    <row r="1" spans="2:24" ht="9" customHeight="1" x14ac:dyDescent="0.2">
      <c r="W1" s="1"/>
      <c r="X1" s="1"/>
    </row>
    <row r="2" spans="2:24" ht="15" x14ac:dyDescent="0.25">
      <c r="B2" s="147"/>
      <c r="C2" s="215"/>
      <c r="D2" s="215"/>
      <c r="E2" s="215"/>
      <c r="F2" s="215"/>
      <c r="G2" s="215"/>
      <c r="H2" s="215"/>
      <c r="I2" s="215"/>
      <c r="J2" s="215"/>
      <c r="K2" s="215"/>
      <c r="L2" s="215"/>
      <c r="M2" s="215"/>
      <c r="N2" s="215"/>
      <c r="W2" s="1"/>
      <c r="X2" s="1"/>
    </row>
    <row r="3" spans="2:24" ht="18" customHeight="1" x14ac:dyDescent="0.25">
      <c r="B3" s="218"/>
      <c r="C3" s="146"/>
      <c r="D3" s="146"/>
      <c r="E3" s="156" t="s">
        <v>1566</v>
      </c>
      <c r="F3" s="165" t="str">
        <f>HYPERLINK("mailto:SSPBusiness.Analysts@odhsoha.oregon.gov","SSPBusiness.Analysts@odhsoha.oregon.gov")</f>
        <v>SSPBusiness.Analysts@odhsoha.oregon.gov</v>
      </c>
      <c r="G3" s="146"/>
      <c r="H3" s="146"/>
      <c r="I3" s="146"/>
      <c r="J3" s="146"/>
      <c r="K3" s="146"/>
      <c r="L3" s="146"/>
      <c r="M3" s="155" t="str">
        <f>'CW DB Code'!C4</f>
        <v>v 6.4.2 - Last updated on 08/28/25</v>
      </c>
      <c r="N3" s="219"/>
      <c r="W3" s="1"/>
      <c r="X3" s="1"/>
    </row>
    <row r="4" spans="2:24" ht="30.75" customHeight="1" x14ac:dyDescent="0.2">
      <c r="B4" s="218"/>
      <c r="C4" s="154"/>
      <c r="D4" s="154"/>
      <c r="E4" s="220" t="s">
        <v>950</v>
      </c>
      <c r="F4" s="220"/>
      <c r="G4" s="220"/>
      <c r="H4" s="220"/>
      <c r="I4" s="220"/>
      <c r="J4" s="220"/>
      <c r="K4" s="220"/>
      <c r="L4" s="154"/>
      <c r="M4" s="154"/>
      <c r="N4" s="219"/>
      <c r="W4" s="1"/>
      <c r="X4" s="1"/>
    </row>
    <row r="5" spans="2:24" ht="13.5" customHeight="1" thickBot="1" x14ac:dyDescent="0.25">
      <c r="B5" s="218"/>
      <c r="C5" s="154"/>
      <c r="D5" s="154"/>
      <c r="E5" s="154"/>
      <c r="F5" s="154"/>
      <c r="G5" s="154"/>
      <c r="H5" s="154"/>
      <c r="I5" s="159"/>
      <c r="J5" s="154"/>
      <c r="K5" s="154"/>
      <c r="L5" s="154"/>
      <c r="M5" s="154"/>
      <c r="N5" s="219"/>
      <c r="W5" s="1"/>
      <c r="X5" s="1"/>
    </row>
    <row r="6" spans="2:24" ht="21" customHeight="1" thickBot="1" x14ac:dyDescent="0.3">
      <c r="B6" s="218"/>
      <c r="C6" s="154"/>
      <c r="D6" s="160"/>
      <c r="E6" s="160"/>
      <c r="F6" s="160"/>
      <c r="G6" s="153" t="s">
        <v>949</v>
      </c>
      <c r="H6" s="158"/>
      <c r="I6" s="161"/>
      <c r="K6" s="181" t="str">
        <f>'CW DB Code'!C3</f>
        <v/>
      </c>
      <c r="L6" s="154"/>
      <c r="M6" s="154"/>
      <c r="N6" s="219"/>
      <c r="W6" s="1"/>
      <c r="X6" s="1"/>
    </row>
    <row r="7" spans="2:24" ht="21" customHeight="1" x14ac:dyDescent="0.25">
      <c r="B7" s="218"/>
      <c r="C7" s="154"/>
      <c r="D7" s="160"/>
      <c r="E7" s="160"/>
      <c r="F7" s="160"/>
      <c r="G7" s="162"/>
      <c r="H7" s="154"/>
      <c r="I7" s="154"/>
      <c r="J7" s="154"/>
      <c r="K7" s="154"/>
      <c r="L7" s="154"/>
      <c r="M7" s="154"/>
      <c r="N7" s="219"/>
    </row>
    <row r="8" spans="2:24" ht="22.35" customHeight="1" x14ac:dyDescent="0.2">
      <c r="B8" s="218"/>
      <c r="C8" s="154"/>
      <c r="D8" s="217" t="str">
        <f>'CW DB Code'!B7</f>
        <v/>
      </c>
      <c r="E8" s="217"/>
      <c r="F8" s="217"/>
      <c r="G8" s="217" t="str">
        <f>'CW DB Code'!B8</f>
        <v/>
      </c>
      <c r="H8" s="217"/>
      <c r="I8" s="217"/>
      <c r="J8" s="217" t="str">
        <f>'CW DB Code'!B9</f>
        <v/>
      </c>
      <c r="K8" s="217"/>
      <c r="L8" s="217"/>
      <c r="M8" s="154"/>
      <c r="N8" s="219"/>
    </row>
    <row r="9" spans="2:24" ht="22.35" customHeight="1" x14ac:dyDescent="0.2">
      <c r="B9" s="218"/>
      <c r="C9" s="154"/>
      <c r="D9" s="217"/>
      <c r="E9" s="217"/>
      <c r="F9" s="217"/>
      <c r="G9" s="217"/>
      <c r="H9" s="217"/>
      <c r="I9" s="217"/>
      <c r="J9" s="217"/>
      <c r="K9" s="217"/>
      <c r="L9" s="217"/>
      <c r="M9" s="154"/>
      <c r="N9" s="219"/>
    </row>
    <row r="10" spans="2:24" ht="22.35" customHeight="1" x14ac:dyDescent="0.2">
      <c r="B10" s="218"/>
      <c r="C10" s="154"/>
      <c r="D10" s="217"/>
      <c r="E10" s="217"/>
      <c r="F10" s="217"/>
      <c r="G10" s="217"/>
      <c r="H10" s="217"/>
      <c r="I10" s="217"/>
      <c r="J10" s="217"/>
      <c r="K10" s="217"/>
      <c r="L10" s="217"/>
      <c r="M10" s="163"/>
      <c r="N10" s="219"/>
    </row>
    <row r="11" spans="2:24" ht="22.35" customHeight="1" x14ac:dyDescent="0.2">
      <c r="B11" s="218"/>
      <c r="C11" s="154"/>
      <c r="D11" s="217"/>
      <c r="E11" s="217"/>
      <c r="F11" s="217"/>
      <c r="G11" s="217"/>
      <c r="H11" s="217"/>
      <c r="I11" s="217"/>
      <c r="J11" s="217"/>
      <c r="K11" s="217"/>
      <c r="L11" s="217"/>
      <c r="M11" s="163"/>
      <c r="N11" s="219"/>
    </row>
    <row r="12" spans="2:24" ht="22.35" customHeight="1" x14ac:dyDescent="0.2">
      <c r="B12" s="218"/>
      <c r="C12" s="154"/>
      <c r="D12" s="217"/>
      <c r="E12" s="217"/>
      <c r="F12" s="217"/>
      <c r="G12" s="217"/>
      <c r="H12" s="217"/>
      <c r="I12" s="217"/>
      <c r="J12" s="217"/>
      <c r="K12" s="217"/>
      <c r="L12" s="217"/>
      <c r="M12" s="163"/>
      <c r="N12" s="219"/>
    </row>
    <row r="13" spans="2:24" ht="22.35" customHeight="1" x14ac:dyDescent="0.2">
      <c r="B13" s="218"/>
      <c r="C13" s="154"/>
      <c r="D13" s="217" t="str">
        <f>'CW DB Code'!B10</f>
        <v/>
      </c>
      <c r="E13" s="217"/>
      <c r="F13" s="217"/>
      <c r="G13" s="217" t="str">
        <f>'CW DB Code'!B11</f>
        <v/>
      </c>
      <c r="H13" s="217"/>
      <c r="I13" s="217"/>
      <c r="J13" s="217" t="str">
        <f>'CW DB Code'!B12</f>
        <v/>
      </c>
      <c r="K13" s="217"/>
      <c r="L13" s="217"/>
      <c r="M13" s="163"/>
      <c r="N13" s="219"/>
    </row>
    <row r="14" spans="2:24" ht="22.35" customHeight="1" x14ac:dyDescent="0.2">
      <c r="B14" s="218"/>
      <c r="C14" s="154"/>
      <c r="D14" s="217"/>
      <c r="E14" s="217"/>
      <c r="F14" s="217"/>
      <c r="G14" s="217"/>
      <c r="H14" s="217"/>
      <c r="I14" s="217"/>
      <c r="J14" s="217"/>
      <c r="K14" s="217"/>
      <c r="L14" s="217"/>
      <c r="M14" s="154"/>
      <c r="N14" s="219"/>
    </row>
    <row r="15" spans="2:24" ht="22.35" customHeight="1" x14ac:dyDescent="0.2">
      <c r="B15" s="218"/>
      <c r="C15" s="154"/>
      <c r="D15" s="217"/>
      <c r="E15" s="217"/>
      <c r="F15" s="217"/>
      <c r="G15" s="217"/>
      <c r="H15" s="217"/>
      <c r="I15" s="217"/>
      <c r="J15" s="217"/>
      <c r="K15" s="217"/>
      <c r="L15" s="217"/>
      <c r="M15" s="154"/>
      <c r="N15" s="219"/>
    </row>
    <row r="16" spans="2:24" ht="22.35" customHeight="1" x14ac:dyDescent="0.2">
      <c r="B16" s="218"/>
      <c r="C16" s="154"/>
      <c r="D16" s="217"/>
      <c r="E16" s="217"/>
      <c r="F16" s="217"/>
      <c r="G16" s="217"/>
      <c r="H16" s="217"/>
      <c r="I16" s="217"/>
      <c r="J16" s="217"/>
      <c r="K16" s="217"/>
      <c r="L16" s="217"/>
      <c r="M16" s="154"/>
      <c r="N16" s="219"/>
    </row>
    <row r="17" spans="2:14" ht="22.35" customHeight="1" x14ac:dyDescent="0.2">
      <c r="B17" s="218"/>
      <c r="C17" s="154"/>
      <c r="D17" s="217"/>
      <c r="E17" s="217"/>
      <c r="F17" s="217"/>
      <c r="G17" s="217"/>
      <c r="H17" s="217"/>
      <c r="I17" s="217"/>
      <c r="J17" s="217"/>
      <c r="K17" s="217"/>
      <c r="L17" s="217"/>
      <c r="M17" s="154"/>
      <c r="N17" s="219"/>
    </row>
    <row r="18" spans="2:14" ht="22.35" customHeight="1" x14ac:dyDescent="0.2">
      <c r="B18" s="218"/>
      <c r="C18" s="154"/>
      <c r="D18" s="217" t="str">
        <f>'CW DB Code'!B13</f>
        <v/>
      </c>
      <c r="E18" s="217"/>
      <c r="F18" s="217"/>
      <c r="G18" s="217" t="str">
        <f>'CW DB Code'!B14</f>
        <v/>
      </c>
      <c r="H18" s="217"/>
      <c r="I18" s="217"/>
      <c r="J18" s="217" t="str">
        <f>'CW DB Code'!B15</f>
        <v/>
      </c>
      <c r="K18" s="217"/>
      <c r="L18" s="217"/>
      <c r="M18" s="154"/>
      <c r="N18" s="219"/>
    </row>
    <row r="19" spans="2:14" ht="22.35" customHeight="1" x14ac:dyDescent="0.2">
      <c r="B19" s="218"/>
      <c r="C19" s="154"/>
      <c r="D19" s="217"/>
      <c r="E19" s="217"/>
      <c r="F19" s="217"/>
      <c r="G19" s="217"/>
      <c r="H19" s="217"/>
      <c r="I19" s="217"/>
      <c r="J19" s="217"/>
      <c r="K19" s="217"/>
      <c r="L19" s="217"/>
      <c r="M19" s="154"/>
      <c r="N19" s="219"/>
    </row>
    <row r="20" spans="2:14" ht="22.35" customHeight="1" x14ac:dyDescent="0.2">
      <c r="B20" s="218"/>
      <c r="C20" s="154"/>
      <c r="D20" s="217"/>
      <c r="E20" s="217"/>
      <c r="F20" s="217"/>
      <c r="G20" s="217"/>
      <c r="H20" s="217"/>
      <c r="I20" s="217"/>
      <c r="J20" s="217"/>
      <c r="K20" s="217"/>
      <c r="L20" s="217"/>
      <c r="M20" s="154"/>
      <c r="N20" s="219"/>
    </row>
    <row r="21" spans="2:14" ht="22.35" customHeight="1" x14ac:dyDescent="0.2">
      <c r="B21" s="218"/>
      <c r="C21" s="154"/>
      <c r="D21" s="217"/>
      <c r="E21" s="217"/>
      <c r="F21" s="217"/>
      <c r="G21" s="217"/>
      <c r="H21" s="217"/>
      <c r="I21" s="217"/>
      <c r="J21" s="217"/>
      <c r="K21" s="217"/>
      <c r="L21" s="217"/>
      <c r="M21" s="154"/>
      <c r="N21" s="219"/>
    </row>
    <row r="22" spans="2:14" ht="22.35" customHeight="1" x14ac:dyDescent="0.2">
      <c r="B22" s="218"/>
      <c r="C22" s="154"/>
      <c r="D22" s="217"/>
      <c r="E22" s="217"/>
      <c r="F22" s="217"/>
      <c r="G22" s="217"/>
      <c r="H22" s="217"/>
      <c r="I22" s="217"/>
      <c r="J22" s="217"/>
      <c r="K22" s="217"/>
      <c r="L22" s="217"/>
      <c r="M22" s="154"/>
      <c r="N22" s="219"/>
    </row>
    <row r="23" spans="2:14" ht="22.35" customHeight="1" x14ac:dyDescent="0.2">
      <c r="B23" s="218"/>
      <c r="C23" s="154"/>
      <c r="D23" s="217" t="str">
        <f>'CW DB Code'!B16</f>
        <v/>
      </c>
      <c r="E23" s="217"/>
      <c r="F23" s="217"/>
      <c r="G23" s="217" t="str">
        <f>'CW DB Code'!B17</f>
        <v/>
      </c>
      <c r="H23" s="217"/>
      <c r="I23" s="217"/>
      <c r="J23" s="217" t="str">
        <f>'CW DB Code'!B18</f>
        <v/>
      </c>
      <c r="K23" s="217"/>
      <c r="L23" s="217"/>
      <c r="M23" s="154"/>
      <c r="N23" s="219"/>
    </row>
    <row r="24" spans="2:14" ht="22.35" customHeight="1" x14ac:dyDescent="0.2">
      <c r="B24" s="218"/>
      <c r="C24" s="154"/>
      <c r="D24" s="217"/>
      <c r="E24" s="217"/>
      <c r="F24" s="217"/>
      <c r="G24" s="217"/>
      <c r="H24" s="217"/>
      <c r="I24" s="217"/>
      <c r="J24" s="217"/>
      <c r="K24" s="217"/>
      <c r="L24" s="217"/>
      <c r="M24" s="154"/>
      <c r="N24" s="219"/>
    </row>
    <row r="25" spans="2:14" ht="22.35" customHeight="1" x14ac:dyDescent="0.2">
      <c r="B25" s="218"/>
      <c r="C25" s="154"/>
      <c r="D25" s="217"/>
      <c r="E25" s="217"/>
      <c r="F25" s="217"/>
      <c r="G25" s="217"/>
      <c r="H25" s="217"/>
      <c r="I25" s="217"/>
      <c r="J25" s="217"/>
      <c r="K25" s="217"/>
      <c r="L25" s="217"/>
      <c r="M25" s="154"/>
      <c r="N25" s="219"/>
    </row>
    <row r="26" spans="2:14" ht="22.35" customHeight="1" x14ac:dyDescent="0.2">
      <c r="B26" s="218"/>
      <c r="C26" s="154"/>
      <c r="D26" s="217"/>
      <c r="E26" s="217"/>
      <c r="F26" s="217"/>
      <c r="G26" s="217"/>
      <c r="H26" s="217"/>
      <c r="I26" s="217"/>
      <c r="J26" s="217"/>
      <c r="K26" s="217"/>
      <c r="L26" s="217"/>
      <c r="M26" s="154"/>
      <c r="N26" s="219"/>
    </row>
    <row r="27" spans="2:14" ht="22.35" customHeight="1" x14ac:dyDescent="0.2">
      <c r="B27" s="218"/>
      <c r="C27" s="154"/>
      <c r="D27" s="217"/>
      <c r="E27" s="217"/>
      <c r="F27" s="217"/>
      <c r="G27" s="217"/>
      <c r="H27" s="217"/>
      <c r="I27" s="217"/>
      <c r="J27" s="217"/>
      <c r="K27" s="217"/>
      <c r="L27" s="217"/>
      <c r="M27" s="154"/>
      <c r="N27" s="219"/>
    </row>
    <row r="28" spans="2:14" ht="22.35" customHeight="1" x14ac:dyDescent="0.2">
      <c r="B28" s="218"/>
      <c r="C28" s="154"/>
      <c r="D28" s="217" t="str">
        <f>'CW DB Code'!B19</f>
        <v/>
      </c>
      <c r="E28" s="217"/>
      <c r="F28" s="217"/>
      <c r="G28" s="217" t="str">
        <f>'CW DB Code'!B20</f>
        <v/>
      </c>
      <c r="H28" s="217"/>
      <c r="I28" s="217"/>
      <c r="J28" s="217" t="str">
        <f>'CW DB Code'!B21</f>
        <v/>
      </c>
      <c r="K28" s="217"/>
      <c r="L28" s="217"/>
      <c r="M28" s="154"/>
      <c r="N28" s="219"/>
    </row>
    <row r="29" spans="2:14" ht="22.35" customHeight="1" x14ac:dyDescent="0.2">
      <c r="B29" s="218"/>
      <c r="C29" s="154"/>
      <c r="D29" s="217"/>
      <c r="E29" s="217"/>
      <c r="F29" s="217"/>
      <c r="G29" s="217"/>
      <c r="H29" s="217"/>
      <c r="I29" s="217"/>
      <c r="J29" s="217"/>
      <c r="K29" s="217"/>
      <c r="L29" s="217"/>
      <c r="M29" s="154"/>
      <c r="N29" s="219"/>
    </row>
    <row r="30" spans="2:14" ht="18" customHeight="1" x14ac:dyDescent="0.2">
      <c r="B30" s="218"/>
      <c r="C30" s="154"/>
      <c r="D30" s="217"/>
      <c r="E30" s="217"/>
      <c r="F30" s="217"/>
      <c r="G30" s="217"/>
      <c r="H30" s="217"/>
      <c r="I30" s="217"/>
      <c r="J30" s="217"/>
      <c r="K30" s="217"/>
      <c r="L30" s="217"/>
      <c r="M30" s="154"/>
      <c r="N30" s="219"/>
    </row>
    <row r="31" spans="2:14" ht="18" customHeight="1" x14ac:dyDescent="0.2">
      <c r="B31" s="218"/>
      <c r="C31" s="154"/>
      <c r="D31" s="217"/>
      <c r="E31" s="217"/>
      <c r="F31" s="217"/>
      <c r="G31" s="217"/>
      <c r="H31" s="217"/>
      <c r="I31" s="217"/>
      <c r="J31" s="217"/>
      <c r="K31" s="217"/>
      <c r="L31" s="217"/>
      <c r="M31" s="154"/>
      <c r="N31" s="219"/>
    </row>
    <row r="32" spans="2:14" ht="18" customHeight="1" x14ac:dyDescent="0.2">
      <c r="B32" s="218"/>
      <c r="C32" s="154"/>
      <c r="D32" s="217"/>
      <c r="E32" s="217"/>
      <c r="F32" s="217"/>
      <c r="G32" s="217"/>
      <c r="H32" s="217"/>
      <c r="I32" s="217"/>
      <c r="J32" s="217"/>
      <c r="K32" s="217"/>
      <c r="L32" s="217"/>
      <c r="M32" s="154"/>
      <c r="N32" s="219"/>
    </row>
    <row r="33" spans="2:14" ht="18" customHeight="1" x14ac:dyDescent="0.2">
      <c r="B33" s="218"/>
      <c r="C33" s="154"/>
      <c r="D33" s="217" t="str">
        <f>'CW DB Code'!B22</f>
        <v/>
      </c>
      <c r="E33" s="217"/>
      <c r="F33" s="217"/>
      <c r="G33" s="217"/>
      <c r="H33" s="217"/>
      <c r="I33" s="217"/>
      <c r="J33" s="217"/>
      <c r="K33" s="217"/>
      <c r="L33" s="217"/>
      <c r="M33" s="154"/>
      <c r="N33" s="219"/>
    </row>
    <row r="34" spans="2:14" ht="18" customHeight="1" x14ac:dyDescent="0.2">
      <c r="B34" s="218"/>
      <c r="C34" s="154"/>
      <c r="D34" s="217"/>
      <c r="E34" s="217"/>
      <c r="F34" s="217"/>
      <c r="G34" s="217"/>
      <c r="H34" s="217"/>
      <c r="I34" s="217"/>
      <c r="J34" s="217"/>
      <c r="K34" s="217"/>
      <c r="L34" s="217"/>
      <c r="M34" s="154"/>
      <c r="N34" s="219"/>
    </row>
    <row r="35" spans="2:14" ht="18" customHeight="1" x14ac:dyDescent="0.2">
      <c r="B35" s="218"/>
      <c r="C35" s="154"/>
      <c r="D35" s="217"/>
      <c r="E35" s="217"/>
      <c r="F35" s="217"/>
      <c r="G35" s="217"/>
      <c r="H35" s="217"/>
      <c r="I35" s="217"/>
      <c r="J35" s="217"/>
      <c r="K35" s="217"/>
      <c r="L35" s="217"/>
      <c r="M35" s="154"/>
      <c r="N35" s="219"/>
    </row>
    <row r="36" spans="2:14" ht="18.75" customHeight="1" x14ac:dyDescent="0.2">
      <c r="B36" s="218"/>
      <c r="C36" s="154"/>
      <c r="D36" s="217"/>
      <c r="E36" s="217"/>
      <c r="F36" s="217"/>
      <c r="G36" s="217"/>
      <c r="H36" s="217"/>
      <c r="I36" s="217"/>
      <c r="J36" s="217"/>
      <c r="K36" s="217"/>
      <c r="L36" s="217"/>
      <c r="M36" s="154"/>
      <c r="N36" s="219"/>
    </row>
    <row r="37" spans="2:14" ht="18.75" customHeight="1" x14ac:dyDescent="0.2">
      <c r="B37" s="218"/>
      <c r="C37" s="154"/>
      <c r="D37" s="217"/>
      <c r="E37" s="217"/>
      <c r="F37" s="217"/>
      <c r="G37" s="217"/>
      <c r="H37" s="217"/>
      <c r="I37" s="217"/>
      <c r="J37" s="217"/>
      <c r="K37" s="217"/>
      <c r="L37" s="217"/>
      <c r="M37" s="154"/>
      <c r="N37" s="219"/>
    </row>
    <row r="38" spans="2:14" ht="12.75" customHeight="1" x14ac:dyDescent="0.2">
      <c r="B38" s="218"/>
      <c r="C38" s="154"/>
      <c r="D38" s="154"/>
      <c r="E38" s="154"/>
      <c r="F38" s="154"/>
      <c r="G38" s="154"/>
      <c r="H38" s="154"/>
      <c r="I38" s="154"/>
      <c r="J38" s="154"/>
      <c r="K38" s="154"/>
      <c r="L38" s="154"/>
      <c r="M38" s="154"/>
      <c r="N38" s="219"/>
    </row>
    <row r="39" spans="2:14" ht="18" x14ac:dyDescent="0.25">
      <c r="B39" s="218"/>
      <c r="C39" s="164"/>
      <c r="D39" s="164"/>
      <c r="E39" s="156" t="s">
        <v>1566</v>
      </c>
      <c r="F39" s="165"/>
      <c r="G39" s="164"/>
      <c r="H39" s="164"/>
      <c r="I39" s="164"/>
      <c r="J39" s="164"/>
      <c r="K39" s="164"/>
      <c r="L39" s="164"/>
      <c r="M39" s="157" t="str">
        <f>'CW DB Code'!C4</f>
        <v>v 6.4.2 - Last updated on 08/28/25</v>
      </c>
      <c r="N39" s="219"/>
    </row>
    <row r="40" spans="2:14" ht="18" x14ac:dyDescent="0.25">
      <c r="B40" s="216"/>
      <c r="C40" s="216"/>
      <c r="D40" s="216"/>
      <c r="E40" s="216"/>
      <c r="F40" s="216"/>
      <c r="G40" s="216"/>
      <c r="H40" s="216"/>
      <c r="I40" s="216"/>
      <c r="J40" s="216"/>
      <c r="K40" s="216"/>
      <c r="L40" s="216"/>
      <c r="M40" s="216"/>
      <c r="N40" s="148"/>
    </row>
    <row r="42" spans="2:14" ht="12.75" customHeight="1" x14ac:dyDescent="0.2"/>
    <row r="47" spans="2:14" x14ac:dyDescent="0.2">
      <c r="B47" s="86"/>
      <c r="C47" s="86"/>
      <c r="D47" s="86"/>
      <c r="E47" s="84"/>
      <c r="F47" s="84"/>
      <c r="G47" s="84"/>
      <c r="H47" s="84"/>
      <c r="I47" s="84"/>
      <c r="J47" s="84"/>
      <c r="K47" s="84"/>
      <c r="L47" s="84"/>
      <c r="M47" s="84"/>
      <c r="N47" s="84"/>
    </row>
    <row r="48" spans="2:14" x14ac:dyDescent="0.2">
      <c r="B48" s="86"/>
      <c r="C48" s="86"/>
      <c r="D48" s="86"/>
      <c r="E48" s="85"/>
      <c r="F48" s="86"/>
      <c r="G48" s="86"/>
      <c r="H48" s="86"/>
      <c r="I48" s="86"/>
      <c r="J48" s="86"/>
      <c r="K48" s="85"/>
      <c r="L48" s="86"/>
      <c r="M48" s="86"/>
      <c r="N48" s="86"/>
    </row>
    <row r="49" spans="2:14" x14ac:dyDescent="0.2">
      <c r="B49" s="86"/>
      <c r="C49" s="86"/>
      <c r="D49" s="86"/>
      <c r="E49" s="85"/>
      <c r="F49" s="86"/>
      <c r="G49" s="86"/>
      <c r="H49" s="86"/>
      <c r="I49" s="86"/>
      <c r="J49" s="85"/>
      <c r="K49" s="85"/>
      <c r="L49" s="86"/>
      <c r="M49" s="86"/>
      <c r="N49" s="86"/>
    </row>
    <row r="50" spans="2:14" x14ac:dyDescent="0.2">
      <c r="B50" s="86"/>
      <c r="C50" s="86"/>
      <c r="D50" s="86"/>
      <c r="E50" s="85"/>
      <c r="F50" s="86"/>
      <c r="G50" s="86"/>
      <c r="H50" s="86"/>
      <c r="I50" s="86"/>
      <c r="J50" s="85"/>
      <c r="K50" s="85"/>
      <c r="L50" s="86"/>
      <c r="M50" s="86"/>
      <c r="N50" s="86"/>
    </row>
    <row r="51" spans="2:14" x14ac:dyDescent="0.2">
      <c r="B51" s="86"/>
      <c r="C51" s="86"/>
      <c r="D51" s="86"/>
      <c r="E51" s="85"/>
      <c r="F51" s="86"/>
      <c r="G51" s="86"/>
      <c r="H51" s="86"/>
      <c r="I51" s="86"/>
      <c r="J51" s="85"/>
      <c r="K51" s="85"/>
      <c r="L51" s="86"/>
      <c r="M51" s="86"/>
      <c r="N51" s="86"/>
    </row>
    <row r="52" spans="2:14" x14ac:dyDescent="0.2">
      <c r="B52" s="86"/>
      <c r="C52" s="86"/>
      <c r="D52" s="86"/>
      <c r="E52" s="85"/>
      <c r="F52" s="86"/>
      <c r="G52" s="86"/>
      <c r="H52" s="86"/>
      <c r="I52" s="86"/>
      <c r="J52" s="85"/>
      <c r="K52" s="85"/>
      <c r="L52" s="86"/>
      <c r="M52" s="86"/>
      <c r="N52" s="86"/>
    </row>
    <row r="53" spans="2:14" x14ac:dyDescent="0.2">
      <c r="B53" s="86"/>
      <c r="C53" s="86"/>
      <c r="D53" s="86"/>
      <c r="E53" s="85"/>
      <c r="F53" s="86"/>
      <c r="G53" s="86"/>
      <c r="H53" s="86"/>
      <c r="I53" s="86"/>
      <c r="J53" s="85"/>
      <c r="K53" s="85"/>
      <c r="L53" s="86"/>
      <c r="M53" s="86"/>
      <c r="N53" s="86"/>
    </row>
    <row r="54" spans="2:14" x14ac:dyDescent="0.2">
      <c r="B54" s="86"/>
      <c r="C54" s="86"/>
      <c r="D54" s="86"/>
      <c r="E54" s="85"/>
      <c r="F54" s="86"/>
      <c r="G54" s="86"/>
      <c r="H54" s="86"/>
      <c r="I54" s="86"/>
      <c r="J54" s="85"/>
      <c r="K54" s="85"/>
      <c r="L54" s="86"/>
      <c r="M54" s="86"/>
      <c r="N54" s="86"/>
    </row>
    <row r="55" spans="2:14" x14ac:dyDescent="0.2">
      <c r="B55" s="86"/>
      <c r="C55" s="86"/>
      <c r="D55" s="86"/>
      <c r="E55" s="85"/>
      <c r="F55" s="86"/>
      <c r="G55" s="86"/>
      <c r="H55" s="86"/>
      <c r="I55" s="86"/>
      <c r="J55" s="85"/>
      <c r="K55" s="85"/>
      <c r="L55" s="86"/>
      <c r="M55" s="86"/>
      <c r="N55" s="86"/>
    </row>
    <row r="56" spans="2:14" x14ac:dyDescent="0.2">
      <c r="B56" s="86"/>
      <c r="C56" s="86"/>
      <c r="D56" s="86"/>
      <c r="E56" s="85"/>
      <c r="F56" s="86"/>
      <c r="G56" s="86"/>
      <c r="H56" s="86"/>
      <c r="I56" s="86"/>
      <c r="J56" s="85"/>
      <c r="K56" s="85"/>
      <c r="L56" s="86"/>
      <c r="M56" s="86"/>
      <c r="N56" s="86"/>
    </row>
    <row r="57" spans="2:14" x14ac:dyDescent="0.2">
      <c r="B57" s="86"/>
      <c r="C57" s="86"/>
      <c r="D57" s="86"/>
      <c r="E57" s="85"/>
      <c r="F57" s="86"/>
      <c r="G57" s="86"/>
      <c r="H57" s="86"/>
      <c r="I57" s="86"/>
      <c r="J57" s="85"/>
      <c r="K57" s="85"/>
      <c r="L57" s="86"/>
      <c r="M57" s="86"/>
      <c r="N57" s="86"/>
    </row>
    <row r="58" spans="2:14" x14ac:dyDescent="0.2">
      <c r="B58" s="86"/>
      <c r="C58" s="86"/>
      <c r="D58" s="86"/>
      <c r="E58" s="85"/>
      <c r="F58" s="86"/>
      <c r="G58" s="86"/>
      <c r="H58" s="86"/>
      <c r="I58" s="86"/>
      <c r="J58" s="85"/>
      <c r="K58" s="85"/>
      <c r="L58" s="86"/>
      <c r="M58" s="86"/>
      <c r="N58" s="86"/>
    </row>
    <row r="59" spans="2:14" x14ac:dyDescent="0.2">
      <c r="B59" s="86"/>
      <c r="C59" s="86"/>
      <c r="D59" s="86"/>
      <c r="E59" s="85"/>
      <c r="F59" s="86"/>
      <c r="G59" s="86"/>
      <c r="H59" s="86"/>
      <c r="I59" s="86"/>
      <c r="J59" s="85"/>
      <c r="K59" s="85"/>
      <c r="L59" s="86"/>
      <c r="M59" s="86"/>
      <c r="N59" s="86"/>
    </row>
    <row r="60" spans="2:14" x14ac:dyDescent="0.2">
      <c r="B60" s="86"/>
      <c r="C60" s="86"/>
      <c r="D60" s="86"/>
      <c r="E60" s="85"/>
      <c r="F60" s="86"/>
      <c r="G60" s="86"/>
      <c r="H60" s="86"/>
      <c r="I60" s="86"/>
      <c r="J60" s="85"/>
      <c r="K60" s="85"/>
      <c r="L60" s="86"/>
      <c r="M60" s="86"/>
      <c r="N60" s="86"/>
    </row>
    <row r="61" spans="2:14" x14ac:dyDescent="0.2">
      <c r="B61" s="86"/>
      <c r="C61" s="86"/>
      <c r="D61" s="86"/>
      <c r="E61" s="85"/>
      <c r="F61" s="86"/>
      <c r="G61" s="86"/>
      <c r="H61" s="86"/>
      <c r="I61" s="86"/>
      <c r="J61" s="85"/>
      <c r="K61" s="85"/>
      <c r="L61" s="86"/>
      <c r="M61" s="86"/>
      <c r="N61" s="86"/>
    </row>
    <row r="62" spans="2:14" x14ac:dyDescent="0.2">
      <c r="B62" s="86"/>
      <c r="C62" s="86"/>
      <c r="D62" s="86"/>
      <c r="E62" s="85"/>
      <c r="F62" s="86"/>
      <c r="G62" s="86"/>
      <c r="H62" s="86"/>
      <c r="I62" s="86"/>
      <c r="J62" s="85"/>
      <c r="K62" s="85"/>
      <c r="L62" s="86"/>
      <c r="M62" s="86"/>
      <c r="N62" s="86"/>
    </row>
    <row r="63" spans="2:14" x14ac:dyDescent="0.2">
      <c r="B63" s="86"/>
      <c r="C63" s="86"/>
      <c r="D63" s="86"/>
      <c r="E63" s="85"/>
      <c r="F63" s="86"/>
      <c r="G63" s="86"/>
      <c r="H63" s="86"/>
      <c r="I63" s="86"/>
      <c r="J63" s="85"/>
      <c r="K63" s="85"/>
      <c r="L63" s="86"/>
      <c r="M63" s="86"/>
      <c r="N63" s="86"/>
    </row>
    <row r="64" spans="2:14" x14ac:dyDescent="0.2">
      <c r="B64" s="86"/>
      <c r="C64" s="86"/>
      <c r="D64" s="86"/>
      <c r="E64" s="85"/>
      <c r="F64" s="86"/>
      <c r="G64" s="86"/>
      <c r="H64" s="86"/>
      <c r="I64" s="86"/>
      <c r="J64" s="85"/>
      <c r="K64" s="85"/>
      <c r="L64" s="86"/>
      <c r="M64" s="86"/>
      <c r="N64" s="86"/>
    </row>
    <row r="65" spans="2:14" x14ac:dyDescent="0.2">
      <c r="B65" s="86"/>
      <c r="C65" s="86"/>
      <c r="D65" s="86"/>
      <c r="E65" s="85"/>
      <c r="F65" s="86"/>
      <c r="G65" s="86"/>
      <c r="H65" s="86"/>
      <c r="I65" s="86"/>
      <c r="J65" s="85"/>
      <c r="K65" s="85"/>
      <c r="L65" s="86"/>
      <c r="M65" s="86"/>
      <c r="N65" s="86"/>
    </row>
    <row r="66" spans="2:14" x14ac:dyDescent="0.2">
      <c r="B66" s="86"/>
      <c r="C66" s="86"/>
      <c r="D66" s="86"/>
      <c r="E66" s="85"/>
      <c r="F66" s="86"/>
      <c r="G66" s="86"/>
      <c r="H66" s="86"/>
      <c r="I66" s="86"/>
      <c r="J66" s="85"/>
      <c r="K66" s="85"/>
      <c r="L66" s="86"/>
      <c r="M66" s="86"/>
      <c r="N66" s="86"/>
    </row>
    <row r="67" spans="2:14" x14ac:dyDescent="0.2">
      <c r="B67" s="86"/>
      <c r="C67" s="86"/>
      <c r="D67" s="86"/>
      <c r="E67" s="85"/>
      <c r="F67" s="86"/>
      <c r="G67" s="86"/>
      <c r="H67" s="86"/>
      <c r="I67" s="86"/>
      <c r="J67" s="85"/>
      <c r="K67" s="85"/>
      <c r="L67" s="86"/>
      <c r="M67" s="86"/>
      <c r="N67" s="86"/>
    </row>
    <row r="68" spans="2:14" x14ac:dyDescent="0.2">
      <c r="B68" s="86"/>
      <c r="C68" s="86"/>
      <c r="D68" s="86"/>
      <c r="E68" s="85"/>
      <c r="F68" s="86"/>
      <c r="G68" s="86"/>
      <c r="H68" s="86"/>
      <c r="I68" s="86"/>
      <c r="J68" s="85"/>
      <c r="K68" s="85"/>
      <c r="L68" s="86"/>
      <c r="M68" s="86"/>
      <c r="N68" s="86"/>
    </row>
    <row r="69" spans="2:14" x14ac:dyDescent="0.2">
      <c r="B69" s="86"/>
      <c r="C69" s="86"/>
      <c r="D69" s="86"/>
      <c r="E69" s="85"/>
      <c r="F69" s="86"/>
      <c r="G69" s="86"/>
      <c r="H69" s="86"/>
      <c r="I69" s="86"/>
      <c r="J69" s="85"/>
      <c r="K69" s="85"/>
      <c r="L69" s="86"/>
      <c r="M69" s="86"/>
      <c r="N69" s="86"/>
    </row>
    <row r="70" spans="2:14" x14ac:dyDescent="0.2">
      <c r="B70" s="86"/>
      <c r="C70" s="86"/>
      <c r="D70" s="86"/>
      <c r="E70" s="85"/>
      <c r="F70" s="86"/>
      <c r="G70" s="86"/>
      <c r="H70" s="86"/>
      <c r="I70" s="86"/>
      <c r="J70" s="85"/>
      <c r="K70" s="85"/>
      <c r="L70" s="86"/>
      <c r="M70" s="86"/>
      <c r="N70" s="86"/>
    </row>
    <row r="71" spans="2:14" x14ac:dyDescent="0.2">
      <c r="B71" s="86"/>
      <c r="C71" s="86"/>
      <c r="D71" s="86"/>
      <c r="E71" s="85"/>
      <c r="F71" s="86"/>
      <c r="G71" s="86"/>
      <c r="H71" s="86"/>
      <c r="I71" s="86"/>
      <c r="J71" s="85"/>
      <c r="K71" s="85"/>
      <c r="L71" s="86"/>
      <c r="M71" s="86"/>
      <c r="N71" s="86"/>
    </row>
    <row r="72" spans="2:14" x14ac:dyDescent="0.2">
      <c r="B72" s="86"/>
      <c r="C72" s="86"/>
      <c r="D72" s="86"/>
      <c r="E72" s="85"/>
      <c r="F72" s="86"/>
      <c r="G72" s="86"/>
      <c r="H72" s="86"/>
      <c r="I72" s="86"/>
      <c r="J72" s="85"/>
      <c r="K72" s="85"/>
      <c r="L72" s="86"/>
      <c r="M72" s="86"/>
      <c r="N72" s="86"/>
    </row>
    <row r="73" spans="2:14" x14ac:dyDescent="0.2">
      <c r="B73" s="86"/>
      <c r="C73" s="86"/>
      <c r="D73" s="86"/>
      <c r="E73" s="85"/>
      <c r="F73" s="86"/>
      <c r="G73" s="86"/>
      <c r="H73" s="86"/>
      <c r="I73" s="86"/>
      <c r="J73" s="85"/>
      <c r="K73" s="85"/>
      <c r="L73" s="86"/>
      <c r="M73" s="86"/>
      <c r="N73" s="86"/>
    </row>
    <row r="74" spans="2:14" x14ac:dyDescent="0.2">
      <c r="B74" s="86"/>
      <c r="C74" s="86"/>
      <c r="D74" s="86"/>
      <c r="E74" s="85"/>
      <c r="F74" s="86"/>
      <c r="G74" s="86"/>
      <c r="H74" s="86"/>
      <c r="I74" s="86"/>
      <c r="J74" s="85"/>
      <c r="K74" s="85"/>
      <c r="L74" s="86"/>
      <c r="M74" s="86"/>
      <c r="N74" s="86"/>
    </row>
    <row r="75" spans="2:14" x14ac:dyDescent="0.2">
      <c r="B75" s="86"/>
      <c r="C75" s="86"/>
      <c r="D75" s="86"/>
      <c r="E75" s="85"/>
      <c r="F75" s="86"/>
      <c r="G75" s="86"/>
      <c r="H75" s="86"/>
      <c r="I75" s="86"/>
      <c r="J75" s="85"/>
      <c r="K75" s="85"/>
      <c r="L75" s="86"/>
      <c r="M75" s="86"/>
      <c r="N75" s="86"/>
    </row>
    <row r="76" spans="2:14" x14ac:dyDescent="0.2">
      <c r="B76" s="86"/>
      <c r="C76" s="86"/>
      <c r="D76" s="86"/>
      <c r="E76" s="85"/>
      <c r="F76" s="86"/>
      <c r="G76" s="86"/>
      <c r="H76" s="86"/>
      <c r="I76" s="86"/>
      <c r="J76" s="85"/>
      <c r="K76" s="85"/>
      <c r="L76" s="86"/>
      <c r="M76" s="86"/>
      <c r="N76" s="86"/>
    </row>
    <row r="77" spans="2:14" x14ac:dyDescent="0.2">
      <c r="B77" s="86"/>
      <c r="C77" s="86"/>
      <c r="D77" s="86"/>
      <c r="E77" s="85"/>
      <c r="F77" s="86"/>
      <c r="G77" s="86"/>
      <c r="H77" s="86"/>
      <c r="I77" s="86"/>
      <c r="J77" s="85"/>
      <c r="K77" s="85"/>
      <c r="L77" s="86"/>
      <c r="M77" s="86"/>
      <c r="N77" s="86"/>
    </row>
    <row r="78" spans="2:14" x14ac:dyDescent="0.2">
      <c r="B78" s="86"/>
      <c r="C78" s="86"/>
      <c r="D78" s="86"/>
      <c r="E78" s="85"/>
      <c r="F78" s="86"/>
      <c r="G78" s="86"/>
      <c r="H78" s="86"/>
      <c r="I78" s="86"/>
      <c r="J78" s="85"/>
      <c r="K78" s="85"/>
      <c r="L78" s="86"/>
      <c r="M78" s="86"/>
      <c r="N78" s="86"/>
    </row>
    <row r="79" spans="2:14" x14ac:dyDescent="0.2">
      <c r="B79" s="86"/>
      <c r="C79" s="86"/>
      <c r="D79" s="86"/>
      <c r="E79" s="85"/>
      <c r="F79" s="86"/>
      <c r="G79" s="86"/>
      <c r="H79" s="86"/>
      <c r="I79" s="86"/>
      <c r="J79" s="85"/>
      <c r="K79" s="85"/>
      <c r="L79" s="86"/>
      <c r="M79" s="86"/>
      <c r="N79" s="86"/>
    </row>
    <row r="80" spans="2:14" x14ac:dyDescent="0.2">
      <c r="B80" s="86"/>
      <c r="C80" s="86"/>
      <c r="D80" s="86"/>
      <c r="E80" s="85"/>
      <c r="F80" s="86"/>
      <c r="G80" s="86"/>
      <c r="H80" s="86"/>
      <c r="I80" s="86"/>
      <c r="J80" s="85"/>
      <c r="K80" s="85"/>
      <c r="L80" s="86"/>
      <c r="M80" s="86"/>
      <c r="N80" s="86"/>
    </row>
    <row r="81" spans="2:25" x14ac:dyDescent="0.2">
      <c r="B81" s="86"/>
      <c r="C81" s="86"/>
      <c r="D81" s="86"/>
      <c r="E81" s="85"/>
      <c r="F81" s="86"/>
      <c r="G81" s="86"/>
      <c r="H81" s="86"/>
      <c r="I81" s="86"/>
      <c r="J81" s="85"/>
      <c r="K81" s="85"/>
      <c r="L81" s="86"/>
      <c r="M81" s="86"/>
      <c r="N81" s="86"/>
    </row>
    <row r="82" spans="2:25" x14ac:dyDescent="0.2">
      <c r="B82" s="86"/>
      <c r="C82" s="86"/>
      <c r="D82" s="86"/>
      <c r="E82" s="85"/>
      <c r="F82" s="86"/>
      <c r="G82" s="86"/>
      <c r="H82" s="86"/>
      <c r="I82" s="86"/>
      <c r="J82" s="85"/>
      <c r="K82" s="85"/>
      <c r="L82" s="86"/>
      <c r="M82" s="86"/>
      <c r="N82" s="86"/>
    </row>
    <row r="83" spans="2:25" x14ac:dyDescent="0.2">
      <c r="B83" s="86"/>
      <c r="C83" s="86"/>
      <c r="D83" s="86"/>
      <c r="E83" s="85"/>
      <c r="F83" s="86"/>
      <c r="G83" s="86"/>
      <c r="H83" s="86"/>
      <c r="I83" s="86"/>
      <c r="J83" s="85"/>
      <c r="K83" s="85"/>
      <c r="L83" s="86"/>
      <c r="M83" s="86"/>
      <c r="N83" s="86"/>
    </row>
    <row r="84" spans="2:25" x14ac:dyDescent="0.2">
      <c r="B84" s="86"/>
      <c r="C84" s="86"/>
      <c r="D84" s="86"/>
      <c r="E84" s="85"/>
      <c r="F84" s="86"/>
      <c r="G84" s="86"/>
      <c r="H84" s="86"/>
      <c r="I84" s="86"/>
      <c r="J84" s="85"/>
      <c r="K84" s="85"/>
      <c r="L84" s="86"/>
      <c r="M84" s="86"/>
      <c r="N84" s="86"/>
    </row>
    <row r="85" spans="2:25" x14ac:dyDescent="0.2">
      <c r="B85" s="86"/>
      <c r="C85" s="86"/>
      <c r="D85" s="86"/>
      <c r="E85" s="85"/>
      <c r="F85" s="86"/>
      <c r="G85" s="86"/>
      <c r="H85" s="86"/>
      <c r="I85" s="86"/>
      <c r="J85" s="85"/>
      <c r="K85" s="85"/>
      <c r="L85" s="86"/>
      <c r="M85" s="86"/>
      <c r="N85" s="86"/>
    </row>
    <row r="86" spans="2:25" x14ac:dyDescent="0.2">
      <c r="B86" s="86"/>
      <c r="C86" s="86"/>
      <c r="D86" s="86"/>
      <c r="E86" s="85"/>
      <c r="F86" s="86"/>
      <c r="G86" s="86"/>
      <c r="H86" s="86"/>
      <c r="I86" s="86"/>
      <c r="J86" s="85"/>
      <c r="K86" s="85"/>
      <c r="L86" s="86"/>
      <c r="M86" s="86"/>
      <c r="N86" s="86"/>
    </row>
    <row r="87" spans="2:25" x14ac:dyDescent="0.2">
      <c r="B87" s="86"/>
      <c r="C87" s="86"/>
      <c r="D87" s="86"/>
      <c r="E87" s="85"/>
      <c r="F87" s="86"/>
      <c r="G87" s="86"/>
      <c r="H87" s="86"/>
      <c r="I87" s="86"/>
      <c r="J87" s="85"/>
      <c r="K87" s="85"/>
      <c r="L87" s="86"/>
      <c r="M87" s="86"/>
      <c r="N87" s="86"/>
    </row>
    <row r="88" spans="2:25" x14ac:dyDescent="0.2">
      <c r="B88" s="86"/>
      <c r="C88" s="86"/>
      <c r="D88" s="86"/>
      <c r="E88" s="85"/>
      <c r="F88" s="86"/>
      <c r="G88" s="86"/>
      <c r="H88" s="86"/>
      <c r="I88" s="86"/>
      <c r="J88" s="85"/>
      <c r="K88" s="85"/>
      <c r="L88" s="86"/>
      <c r="M88" s="86"/>
      <c r="N88" s="86"/>
    </row>
    <row r="89" spans="2:25" x14ac:dyDescent="0.2">
      <c r="B89" s="86"/>
      <c r="C89" s="86"/>
      <c r="D89" s="86"/>
      <c r="E89" s="85"/>
      <c r="F89" s="86"/>
      <c r="G89" s="86"/>
      <c r="H89" s="86"/>
      <c r="I89" s="86"/>
      <c r="J89" s="85"/>
      <c r="K89" s="85"/>
      <c r="L89" s="86"/>
      <c r="M89" s="86"/>
      <c r="N89" s="86"/>
    </row>
    <row r="90" spans="2:25" x14ac:dyDescent="0.2">
      <c r="B90" s="86"/>
      <c r="C90" s="86"/>
      <c r="D90" s="86"/>
      <c r="E90" s="85"/>
      <c r="F90" s="86"/>
      <c r="G90" s="86"/>
      <c r="H90" s="86"/>
      <c r="I90" s="86"/>
      <c r="J90" s="85"/>
      <c r="K90" s="85"/>
      <c r="L90" s="86"/>
      <c r="M90" s="86"/>
      <c r="N90" s="86"/>
    </row>
    <row r="91" spans="2:25" x14ac:dyDescent="0.2">
      <c r="B91" s="86"/>
      <c r="C91" s="86"/>
      <c r="D91" s="86"/>
      <c r="E91" s="85"/>
      <c r="F91" s="86"/>
      <c r="G91" s="86"/>
      <c r="H91" s="86"/>
      <c r="I91" s="86"/>
      <c r="J91" s="85"/>
      <c r="K91" s="85"/>
      <c r="L91" s="86"/>
      <c r="M91" s="86"/>
      <c r="N91" s="86"/>
    </row>
    <row r="92" spans="2:25" x14ac:dyDescent="0.2">
      <c r="B92" s="86"/>
      <c r="C92" s="86"/>
      <c r="D92" s="86"/>
      <c r="E92" s="85"/>
      <c r="F92" s="86"/>
      <c r="G92" s="86"/>
      <c r="H92" s="86"/>
      <c r="I92" s="86"/>
      <c r="J92" s="85"/>
      <c r="K92" s="85"/>
      <c r="L92" s="86"/>
      <c r="M92" s="86"/>
      <c r="N92" s="86"/>
    </row>
    <row r="93" spans="2:25" x14ac:dyDescent="0.2">
      <c r="B93" s="86"/>
      <c r="C93" s="86"/>
      <c r="D93" s="86"/>
      <c r="E93" s="85"/>
      <c r="F93" s="86"/>
      <c r="G93" s="86"/>
      <c r="H93" s="86"/>
      <c r="I93" s="86"/>
      <c r="J93" s="85"/>
      <c r="K93" s="85"/>
      <c r="L93" s="86"/>
      <c r="M93" s="86"/>
      <c r="N93" s="86"/>
    </row>
    <row r="94" spans="2:25" x14ac:dyDescent="0.2">
      <c r="B94" s="86"/>
      <c r="C94" s="86"/>
      <c r="D94" s="86"/>
      <c r="E94" s="85"/>
      <c r="F94" s="86"/>
      <c r="G94" s="86"/>
      <c r="H94" s="86"/>
      <c r="I94" s="86"/>
      <c r="J94" s="85"/>
      <c r="K94" s="85"/>
      <c r="L94" s="86"/>
      <c r="M94" s="86"/>
      <c r="N94" s="86"/>
    </row>
    <row r="95" spans="2:25" x14ac:dyDescent="0.2">
      <c r="B95" s="86"/>
      <c r="C95" s="86"/>
      <c r="D95" s="86"/>
      <c r="E95" s="85"/>
      <c r="F95" s="86"/>
      <c r="G95" s="86"/>
      <c r="H95" s="86"/>
      <c r="I95" s="86"/>
      <c r="J95" s="85"/>
      <c r="K95" s="85"/>
      <c r="L95" s="86"/>
      <c r="M95" s="86"/>
      <c r="N95" s="86"/>
    </row>
    <row r="96" spans="2:25" x14ac:dyDescent="0.2">
      <c r="B96" s="86"/>
      <c r="C96" s="86"/>
      <c r="D96" s="86"/>
      <c r="E96" s="85"/>
      <c r="F96" s="86"/>
      <c r="G96" s="86"/>
      <c r="H96" s="86"/>
      <c r="I96" s="86"/>
      <c r="J96" s="85"/>
      <c r="K96" s="85"/>
      <c r="L96" s="86"/>
      <c r="M96" s="86"/>
      <c r="N96" s="86"/>
      <c r="O96" s="86"/>
      <c r="P96" s="86"/>
      <c r="Q96" s="86"/>
      <c r="R96" s="86"/>
      <c r="S96" s="86"/>
      <c r="T96" s="86"/>
      <c r="V96" s="75"/>
      <c r="W96" s="74"/>
      <c r="X96" s="74"/>
      <c r="Y96" s="74"/>
    </row>
    <row r="97" spans="2:25" x14ac:dyDescent="0.2">
      <c r="B97" s="86"/>
      <c r="C97" s="86"/>
      <c r="D97" s="86"/>
      <c r="E97" s="85"/>
      <c r="F97" s="86"/>
      <c r="G97" s="86"/>
      <c r="H97" s="86"/>
      <c r="I97" s="86"/>
      <c r="J97" s="85"/>
      <c r="K97" s="85"/>
      <c r="L97" s="86"/>
      <c r="M97" s="86"/>
      <c r="N97" s="86"/>
      <c r="O97" s="86"/>
      <c r="P97" s="86"/>
      <c r="Q97" s="86"/>
      <c r="R97" s="86"/>
      <c r="S97" s="86"/>
      <c r="T97" s="86"/>
      <c r="V97" s="75"/>
      <c r="W97" s="74"/>
      <c r="X97" s="74"/>
      <c r="Y97" s="74"/>
    </row>
    <row r="98" spans="2:25" x14ac:dyDescent="0.2">
      <c r="B98" s="86"/>
      <c r="C98" s="86"/>
      <c r="D98" s="86"/>
      <c r="E98" s="85"/>
      <c r="F98" s="86"/>
      <c r="G98" s="86"/>
      <c r="H98" s="86"/>
      <c r="I98" s="86"/>
      <c r="J98" s="85"/>
      <c r="K98" s="85"/>
      <c r="L98" s="86"/>
      <c r="M98" s="86"/>
      <c r="N98" s="86"/>
      <c r="O98" s="86"/>
      <c r="P98" s="86"/>
      <c r="Q98" s="86"/>
      <c r="R98" s="86"/>
      <c r="S98" s="86"/>
      <c r="T98" s="86"/>
      <c r="V98" s="75"/>
      <c r="W98" s="74"/>
      <c r="X98" s="74"/>
      <c r="Y98" s="74"/>
    </row>
    <row r="99" spans="2:25" x14ac:dyDescent="0.2">
      <c r="B99" s="86"/>
      <c r="C99" s="86"/>
      <c r="D99" s="86"/>
      <c r="E99" s="85"/>
      <c r="F99" s="86"/>
      <c r="G99" s="86"/>
      <c r="H99" s="86"/>
      <c r="I99" s="86"/>
      <c r="J99" s="85"/>
      <c r="K99" s="85"/>
      <c r="L99" s="86"/>
      <c r="M99" s="86"/>
      <c r="N99" s="86"/>
      <c r="O99" s="86"/>
      <c r="P99" s="86"/>
      <c r="Q99" s="86"/>
      <c r="R99" s="86"/>
      <c r="S99" s="86"/>
      <c r="T99" s="86"/>
      <c r="V99" s="75"/>
      <c r="W99" s="74"/>
      <c r="X99" s="74"/>
      <c r="Y99" s="74"/>
    </row>
    <row r="100" spans="2:25" x14ac:dyDescent="0.2">
      <c r="B100" s="86"/>
      <c r="C100" s="86"/>
      <c r="D100" s="86"/>
      <c r="E100" s="85"/>
      <c r="F100" s="86"/>
      <c r="G100" s="86"/>
      <c r="H100" s="86"/>
      <c r="I100" s="86"/>
      <c r="J100" s="85"/>
      <c r="K100" s="85"/>
      <c r="L100" s="86"/>
      <c r="M100" s="86"/>
      <c r="N100" s="86"/>
      <c r="O100" s="86"/>
      <c r="P100" s="86"/>
      <c r="Q100" s="86"/>
      <c r="R100" s="86"/>
      <c r="S100" s="86"/>
      <c r="T100" s="86"/>
      <c r="V100" s="75"/>
      <c r="W100" s="74"/>
      <c r="X100" s="74"/>
      <c r="Y100" s="74"/>
    </row>
    <row r="101" spans="2:25" x14ac:dyDescent="0.2">
      <c r="B101" s="86"/>
      <c r="C101" s="86"/>
      <c r="D101" s="86"/>
      <c r="E101" s="85"/>
      <c r="F101" s="86"/>
      <c r="G101" s="86"/>
      <c r="H101" s="86"/>
      <c r="I101" s="86"/>
      <c r="J101" s="85"/>
      <c r="K101" s="85"/>
      <c r="L101" s="86"/>
      <c r="M101" s="86"/>
      <c r="N101" s="86"/>
      <c r="O101" s="86"/>
      <c r="P101" s="86"/>
      <c r="Q101" s="86"/>
      <c r="R101" s="86"/>
      <c r="S101" s="86"/>
      <c r="T101" s="86"/>
      <c r="V101" s="75"/>
      <c r="W101" s="74"/>
      <c r="X101" s="74"/>
      <c r="Y101" s="74"/>
    </row>
    <row r="102" spans="2:25" x14ac:dyDescent="0.2">
      <c r="B102" s="86"/>
      <c r="C102" s="86"/>
      <c r="D102" s="86"/>
      <c r="E102" s="85"/>
      <c r="F102" s="86"/>
      <c r="G102" s="86"/>
      <c r="H102" s="86"/>
      <c r="I102" s="86"/>
      <c r="J102" s="85"/>
      <c r="K102" s="85"/>
      <c r="L102" s="86"/>
      <c r="M102" s="86"/>
      <c r="N102" s="86"/>
      <c r="O102" s="86"/>
      <c r="P102" s="86"/>
      <c r="Q102" s="86"/>
      <c r="R102" s="86"/>
      <c r="S102" s="86"/>
      <c r="T102" s="86"/>
      <c r="V102" s="75"/>
      <c r="W102" s="74"/>
      <c r="X102" s="74"/>
      <c r="Y102" s="74"/>
    </row>
    <row r="103" spans="2:25" x14ac:dyDescent="0.2">
      <c r="B103" s="86"/>
      <c r="C103" s="86"/>
      <c r="D103" s="86"/>
      <c r="E103" s="85"/>
      <c r="F103" s="86"/>
      <c r="G103" s="86"/>
      <c r="H103" s="86"/>
      <c r="I103" s="86"/>
      <c r="J103" s="85"/>
      <c r="K103" s="85"/>
      <c r="L103" s="86"/>
      <c r="M103" s="86"/>
      <c r="N103" s="86"/>
      <c r="O103" s="86"/>
      <c r="P103" s="86"/>
      <c r="Q103" s="86"/>
      <c r="R103" s="86"/>
      <c r="S103" s="86"/>
      <c r="T103" s="86"/>
      <c r="V103" s="75"/>
      <c r="W103" s="74"/>
      <c r="X103" s="74"/>
      <c r="Y103" s="74"/>
    </row>
    <row r="104" spans="2:25" x14ac:dyDescent="0.2">
      <c r="B104" s="86"/>
      <c r="C104" s="86"/>
      <c r="D104" s="86"/>
      <c r="E104" s="85"/>
      <c r="F104" s="86"/>
      <c r="G104" s="86"/>
      <c r="H104" s="86"/>
      <c r="I104" s="86"/>
      <c r="J104" s="85"/>
      <c r="K104" s="85"/>
      <c r="L104" s="86"/>
      <c r="M104" s="86"/>
      <c r="N104" s="86"/>
      <c r="P104" s="86"/>
      <c r="Q104" s="86"/>
      <c r="R104" s="86"/>
      <c r="S104" s="86"/>
      <c r="T104" s="86"/>
      <c r="V104" s="75"/>
      <c r="W104" s="74"/>
      <c r="X104" s="74"/>
      <c r="Y104" s="74"/>
    </row>
    <row r="105" spans="2:25" x14ac:dyDescent="0.2">
      <c r="B105" s="86"/>
      <c r="C105" s="86"/>
      <c r="D105" s="86"/>
      <c r="E105" s="85"/>
      <c r="F105" s="86"/>
      <c r="G105" s="86"/>
      <c r="H105" s="86"/>
      <c r="I105" s="86"/>
      <c r="J105" s="85"/>
      <c r="K105" s="85"/>
      <c r="L105" s="86"/>
      <c r="M105" s="86"/>
      <c r="N105" s="86"/>
      <c r="P105" s="86"/>
      <c r="Q105" s="86"/>
      <c r="R105" s="86"/>
      <c r="S105" s="86"/>
      <c r="T105" s="86"/>
      <c r="V105" s="75"/>
      <c r="W105" s="74"/>
      <c r="X105" s="74"/>
      <c r="Y105" s="74"/>
    </row>
    <row r="106" spans="2:25" x14ac:dyDescent="0.2">
      <c r="B106" s="86"/>
      <c r="C106" s="86"/>
      <c r="D106" s="86"/>
      <c r="E106" s="85"/>
      <c r="F106" s="86"/>
      <c r="G106" s="86"/>
      <c r="H106" s="86"/>
      <c r="I106" s="86"/>
      <c r="J106" s="85"/>
      <c r="K106" s="85"/>
      <c r="L106" s="86"/>
      <c r="M106" s="86"/>
      <c r="N106" s="86"/>
      <c r="P106" s="86"/>
      <c r="Q106" s="86"/>
      <c r="R106" s="86"/>
      <c r="S106" s="86"/>
      <c r="T106" s="86"/>
      <c r="V106" s="75"/>
      <c r="W106" s="74"/>
      <c r="X106" s="74"/>
      <c r="Y106" s="74"/>
    </row>
    <row r="107" spans="2:25" x14ac:dyDescent="0.2">
      <c r="B107" s="86"/>
      <c r="C107" s="86"/>
      <c r="D107" s="86"/>
      <c r="E107" s="85"/>
      <c r="F107" s="86"/>
      <c r="G107" s="86"/>
      <c r="H107" s="86"/>
      <c r="I107" s="86"/>
      <c r="J107" s="85"/>
      <c r="K107" s="85"/>
      <c r="L107" s="86"/>
      <c r="M107" s="86"/>
      <c r="N107" s="86"/>
      <c r="P107" s="86"/>
      <c r="Q107" s="86"/>
      <c r="R107" s="86"/>
      <c r="S107" s="86"/>
      <c r="T107" s="86"/>
      <c r="V107" s="75"/>
      <c r="W107" s="74"/>
      <c r="X107" s="74"/>
      <c r="Y107" s="74"/>
    </row>
    <row r="108" spans="2:25" x14ac:dyDescent="0.2">
      <c r="B108" s="86"/>
      <c r="C108" s="86"/>
      <c r="D108" s="86"/>
      <c r="E108" s="85"/>
      <c r="F108" s="86"/>
      <c r="G108" s="86"/>
      <c r="H108" s="86"/>
      <c r="I108" s="86"/>
      <c r="J108" s="85"/>
      <c r="K108" s="85"/>
      <c r="L108" s="86"/>
      <c r="M108" s="86"/>
      <c r="N108" s="86"/>
      <c r="P108" s="86"/>
      <c r="Q108" s="86"/>
      <c r="R108" s="86"/>
      <c r="S108" s="86"/>
      <c r="T108" s="86"/>
      <c r="V108" s="75"/>
      <c r="W108" s="74"/>
      <c r="X108" s="74"/>
      <c r="Y108" s="74"/>
    </row>
    <row r="109" spans="2:25" x14ac:dyDescent="0.2">
      <c r="B109" s="86"/>
      <c r="C109" s="86"/>
      <c r="D109" s="86"/>
      <c r="E109" s="85"/>
      <c r="F109" s="86"/>
      <c r="G109" s="86"/>
      <c r="H109" s="86"/>
      <c r="I109" s="86"/>
      <c r="J109" s="85"/>
      <c r="K109" s="85"/>
      <c r="L109" s="86"/>
      <c r="M109" s="86"/>
      <c r="N109" s="86"/>
      <c r="P109" s="86"/>
      <c r="Q109" s="86"/>
      <c r="R109" s="86"/>
      <c r="S109" s="86"/>
      <c r="T109" s="86"/>
    </row>
    <row r="110" spans="2:25" x14ac:dyDescent="0.2">
      <c r="B110" s="86"/>
      <c r="C110" s="86"/>
      <c r="D110" s="86"/>
      <c r="E110" s="85"/>
      <c r="F110" s="86"/>
      <c r="G110" s="86"/>
      <c r="H110" s="86"/>
      <c r="I110" s="86"/>
      <c r="J110" s="85"/>
      <c r="K110" s="85"/>
      <c r="L110" s="86"/>
      <c r="M110" s="86"/>
      <c r="N110" s="86"/>
      <c r="P110" s="86"/>
      <c r="Q110" s="86"/>
      <c r="R110" s="86"/>
      <c r="S110" s="86"/>
      <c r="T110" s="86"/>
    </row>
    <row r="111" spans="2:25" x14ac:dyDescent="0.2">
      <c r="B111" s="86"/>
      <c r="C111" s="86"/>
      <c r="D111" s="86"/>
      <c r="E111" s="85"/>
      <c r="F111" s="86"/>
      <c r="G111" s="86"/>
      <c r="H111" s="86"/>
      <c r="I111" s="86"/>
      <c r="J111" s="85"/>
      <c r="K111" s="85"/>
      <c r="L111" s="86"/>
      <c r="M111" s="86"/>
      <c r="N111" s="86"/>
      <c r="P111" s="86"/>
      <c r="Q111" s="86"/>
      <c r="R111" s="86"/>
      <c r="S111" s="86"/>
      <c r="T111" s="86"/>
    </row>
    <row r="112" spans="2:25" x14ac:dyDescent="0.2">
      <c r="B112" s="86"/>
      <c r="C112" s="86"/>
      <c r="D112" s="86"/>
      <c r="E112" s="85"/>
      <c r="F112" s="86"/>
      <c r="G112" s="86"/>
      <c r="H112" s="86"/>
      <c r="I112" s="86"/>
      <c r="J112" s="85"/>
      <c r="K112" s="85"/>
      <c r="L112" s="86"/>
      <c r="M112" s="86"/>
      <c r="N112" s="86"/>
      <c r="P112" s="86"/>
      <c r="Q112" s="86"/>
      <c r="R112" s="86"/>
      <c r="S112" s="86"/>
      <c r="T112" s="86"/>
    </row>
    <row r="113" spans="16:24" x14ac:dyDescent="0.2">
      <c r="P113" s="86"/>
      <c r="Q113" s="86"/>
      <c r="R113" s="86"/>
      <c r="S113" s="86"/>
      <c r="T113" s="86"/>
    </row>
    <row r="114" spans="16:24" x14ac:dyDescent="0.2">
      <c r="P114" s="86"/>
      <c r="Q114" s="86"/>
      <c r="R114" s="86"/>
      <c r="S114" s="86"/>
      <c r="T114" s="86"/>
    </row>
    <row r="115" spans="16:24" x14ac:dyDescent="0.2">
      <c r="P115" s="86"/>
      <c r="Q115" s="86"/>
      <c r="R115" s="86"/>
      <c r="S115" s="86"/>
      <c r="T115" s="86"/>
    </row>
    <row r="116" spans="16:24" x14ac:dyDescent="0.2">
      <c r="P116" s="86"/>
      <c r="Q116" s="86"/>
      <c r="R116" s="86"/>
      <c r="S116" s="86"/>
      <c r="T116" s="86"/>
    </row>
    <row r="117" spans="16:24" x14ac:dyDescent="0.2">
      <c r="P117" s="86"/>
      <c r="Q117" s="86"/>
      <c r="R117" s="86"/>
      <c r="S117" s="86"/>
      <c r="T117" s="86"/>
    </row>
    <row r="118" spans="16:24" x14ac:dyDescent="0.2">
      <c r="P118" s="86"/>
      <c r="Q118" s="86"/>
      <c r="R118" s="86"/>
      <c r="S118" s="86"/>
      <c r="T118" s="86"/>
    </row>
    <row r="119" spans="16:24" x14ac:dyDescent="0.2">
      <c r="P119" s="86"/>
      <c r="Q119" s="86"/>
      <c r="R119" s="86"/>
      <c r="S119" s="86"/>
      <c r="T119" s="86"/>
    </row>
    <row r="120" spans="16:24" x14ac:dyDescent="0.2">
      <c r="P120" s="86"/>
      <c r="Q120" s="86"/>
      <c r="R120" s="86"/>
      <c r="S120" s="86"/>
      <c r="T120" s="86"/>
    </row>
    <row r="121" spans="16:24" x14ac:dyDescent="0.2">
      <c r="T121" s="83"/>
      <c r="W121" s="1"/>
      <c r="X121" s="1"/>
    </row>
    <row r="122" spans="16:24" x14ac:dyDescent="0.2">
      <c r="T122" s="3"/>
      <c r="W122" s="1"/>
      <c r="X122" s="1"/>
    </row>
    <row r="123" spans="16:24" x14ac:dyDescent="0.2">
      <c r="T123" s="3"/>
      <c r="W123" s="1"/>
      <c r="X123" s="1"/>
    </row>
    <row r="124" spans="16:24" x14ac:dyDescent="0.2">
      <c r="W124" s="1"/>
      <c r="X124" s="1"/>
    </row>
    <row r="125" spans="16:24" x14ac:dyDescent="0.2">
      <c r="W125" s="1"/>
      <c r="X125" s="1"/>
    </row>
    <row r="126" spans="16:24" x14ac:dyDescent="0.2">
      <c r="W126" s="1"/>
      <c r="X126" s="1"/>
    </row>
    <row r="127" spans="16:24" x14ac:dyDescent="0.2">
      <c r="W127" s="1"/>
      <c r="X127" s="1"/>
    </row>
    <row r="128" spans="16:24" x14ac:dyDescent="0.2">
      <c r="W128" s="1"/>
      <c r="X128" s="1"/>
    </row>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sheetData>
  <sheetProtection algorithmName="SHA-512" hashValue="/HIl2KT2cnBlt1Dbd0qyL3vCzNag0mD3gsMCLXUe+hEiwl6h9fDHLZvrCjSb5/QJvm45OEsofWM5/o/POhwKDQ==" saltValue="p0j8KMAwqKhogD17/jzSpw==" spinCount="100000" sheet="1" objects="1" scenarios="1" selectLockedCells="1"/>
  <mergeCells count="23">
    <mergeCell ref="G33:I37"/>
    <mergeCell ref="J28:L32"/>
    <mergeCell ref="J33:L37"/>
    <mergeCell ref="D23:F27"/>
    <mergeCell ref="J8:L12"/>
    <mergeCell ref="J13:L17"/>
    <mergeCell ref="J18:L22"/>
    <mergeCell ref="C2:N2"/>
    <mergeCell ref="B40:M40"/>
    <mergeCell ref="G23:I27"/>
    <mergeCell ref="J23:L27"/>
    <mergeCell ref="D8:F12"/>
    <mergeCell ref="G8:I12"/>
    <mergeCell ref="D13:F17"/>
    <mergeCell ref="G13:I17"/>
    <mergeCell ref="D18:F22"/>
    <mergeCell ref="G18:I22"/>
    <mergeCell ref="B3:B39"/>
    <mergeCell ref="N3:N39"/>
    <mergeCell ref="E4:K4"/>
    <mergeCell ref="D28:F32"/>
    <mergeCell ref="G28:I32"/>
    <mergeCell ref="D33:F37"/>
  </mergeCells>
  <phoneticPr fontId="0" type="noConversion"/>
  <conditionalFormatting sqref="D8:L37">
    <cfRule type="expression" dxfId="6" priority="4">
      <formula>IF(D8&lt;&gt;"",TRUE,FALSE)</formula>
    </cfRule>
  </conditionalFormatting>
  <conditionalFormatting sqref="H6">
    <cfRule type="expression" dxfId="5" priority="1">
      <formula>IF(LEN(H6)=2,TRUE,FALSE)</formula>
    </cfRule>
    <cfRule type="expression" dxfId="4" priority="2">
      <formula>IF(LEN(H6)=4,TRUE,FALSE)</formula>
    </cfRule>
    <cfRule type="expression" dxfId="3" priority="3">
      <formula>IF(LEN(H6)=1,TRUE,FALSE)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532C9-3816-473D-B38F-7C33126B966E}">
  <sheetPr codeName="Sheet3"/>
  <dimension ref="B1:AO490"/>
  <sheetViews>
    <sheetView showGridLines="0" showRowColHeaders="0" workbookViewId="0">
      <pane xSplit="2" ySplit="6" topLeftCell="C7" activePane="bottomRight" state="frozen"/>
      <selection pane="topRight" activeCell="C1" sqref="C1"/>
      <selection pane="bottomLeft" activeCell="A7" sqref="A7"/>
      <selection pane="bottomRight" activeCell="H5" sqref="H5"/>
    </sheetView>
  </sheetViews>
  <sheetFormatPr defaultColWidth="13.7109375" defaultRowHeight="15" x14ac:dyDescent="0.25"/>
  <cols>
    <col min="1" max="2" width="3.85546875" style="25" customWidth="1"/>
    <col min="3" max="3" width="13.42578125" style="25" bestFit="1" customWidth="1"/>
    <col min="4" max="4" width="16" style="25" customWidth="1"/>
    <col min="5" max="5" width="3" style="25" customWidth="1"/>
    <col min="6" max="6" width="13.42578125" style="25" customWidth="1"/>
    <col min="7" max="7" width="3" style="25" customWidth="1"/>
    <col min="8" max="8" width="24.28515625" style="25" bestFit="1" customWidth="1"/>
    <col min="9" max="9" width="3" style="25" customWidth="1"/>
    <col min="10" max="10" width="14.28515625" style="25" customWidth="1"/>
    <col min="11" max="11" width="19.5703125" style="26" customWidth="1"/>
    <col min="12" max="12" width="24.28515625" style="25" bestFit="1" customWidth="1"/>
    <col min="13" max="13" width="34.7109375" style="25" customWidth="1"/>
    <col min="14" max="14" width="9.42578125" style="25" customWidth="1"/>
    <col min="15" max="15" width="1.5703125" style="25" customWidth="1"/>
    <col min="16" max="16" width="4.5703125" style="25" customWidth="1"/>
    <col min="17" max="17" width="3.85546875" style="25" customWidth="1"/>
    <col min="41" max="16384" width="13.7109375" style="25"/>
  </cols>
  <sheetData>
    <row r="1" spans="2:41" ht="12.75" customHeight="1" x14ac:dyDescent="0.25"/>
    <row r="2" spans="2:41" ht="18" customHeight="1" x14ac:dyDescent="0.25">
      <c r="B2" s="150"/>
      <c r="C2" s="221" t="str">
        <f>"For updates or corrections, please email SSPBusiness.Analysts@odhsoha.oregon.gov.  Search using SSP Business Analysts.                                                                                                           "&amp;'ZIPs &amp; FIPs DB Code'!F2&amp;""</f>
        <v>For updates or corrections, please email SSPBusiness.Analysts@odhsoha.oregon.gov.  Search using SSP Business Analysts.                                                                                                           v 6.4.0 - Last updated on 06/30/25</v>
      </c>
      <c r="D2" s="221"/>
      <c r="E2" s="221"/>
      <c r="F2" s="221"/>
      <c r="G2" s="221"/>
      <c r="H2" s="221"/>
      <c r="I2" s="221"/>
      <c r="J2" s="221"/>
      <c r="K2" s="221"/>
      <c r="L2" s="221"/>
      <c r="M2" s="221"/>
      <c r="N2" s="221"/>
      <c r="O2" s="221"/>
      <c r="P2" s="221"/>
      <c r="Q2" s="221"/>
    </row>
    <row r="3" spans="2:41" ht="54" customHeight="1" x14ac:dyDescent="0.25">
      <c r="B3" s="225"/>
      <c r="C3" s="224" t="s">
        <v>814</v>
      </c>
      <c r="D3" s="224"/>
      <c r="E3" s="224"/>
      <c r="F3" s="224"/>
      <c r="G3" s="224"/>
      <c r="H3" s="224"/>
      <c r="I3" s="224"/>
      <c r="J3" s="224"/>
      <c r="K3" s="224"/>
      <c r="L3" s="224"/>
      <c r="M3" s="224"/>
      <c r="N3" s="224"/>
      <c r="O3" s="224"/>
      <c r="P3" s="224"/>
      <c r="Q3" s="223"/>
    </row>
    <row r="4" spans="2:41" ht="18" customHeight="1" thickBot="1" x14ac:dyDescent="0.3">
      <c r="B4" s="225"/>
      <c r="C4" s="149"/>
      <c r="D4" s="149"/>
      <c r="E4" s="149"/>
      <c r="F4" s="149"/>
      <c r="G4" s="149"/>
      <c r="H4" s="149"/>
      <c r="I4" s="149"/>
      <c r="J4" s="176" t="s">
        <v>313</v>
      </c>
      <c r="K4" s="177" t="s">
        <v>310</v>
      </c>
      <c r="L4" s="176" t="s">
        <v>311</v>
      </c>
      <c r="M4" s="176" t="s">
        <v>312</v>
      </c>
      <c r="N4" s="149"/>
      <c r="O4" s="149"/>
      <c r="P4" s="149"/>
      <c r="Q4" s="223"/>
    </row>
    <row r="5" spans="2:41" ht="18" customHeight="1" thickBot="1" x14ac:dyDescent="0.3">
      <c r="B5" s="225"/>
      <c r="C5" s="166"/>
      <c r="D5" s="167"/>
      <c r="E5" s="167"/>
      <c r="F5" s="168" t="s">
        <v>805</v>
      </c>
      <c r="G5" s="167"/>
      <c r="H5" s="169"/>
      <c r="I5" s="170"/>
      <c r="J5" s="184" t="str">
        <f>'ZIPs &amp; FIPs DB Code'!C5</f>
        <v/>
      </c>
      <c r="K5" s="184" t="str">
        <f>'ZIPs &amp; FIPs DB Code'!D5</f>
        <v/>
      </c>
      <c r="L5" s="184" t="str">
        <f>'ZIPs &amp; FIPs DB Code'!E5</f>
        <v/>
      </c>
      <c r="M5" s="184" t="str">
        <f>'ZIPs &amp; FIPs DB Code'!F5</f>
        <v/>
      </c>
      <c r="N5" s="166"/>
      <c r="O5" s="166"/>
      <c r="P5" s="166"/>
      <c r="Q5" s="223"/>
    </row>
    <row r="6" spans="2:41" ht="18" customHeight="1" thickBot="1" x14ac:dyDescent="0.3">
      <c r="B6" s="225"/>
      <c r="C6" s="167"/>
      <c r="D6" s="167"/>
      <c r="E6" s="167"/>
      <c r="F6" s="167"/>
      <c r="G6" s="167"/>
      <c r="H6" s="167"/>
      <c r="I6" s="170"/>
      <c r="J6" s="171"/>
      <c r="K6" s="171"/>
      <c r="L6" s="171"/>
      <c r="M6" s="171"/>
      <c r="N6" s="166"/>
      <c r="O6" s="166"/>
      <c r="P6" s="166"/>
      <c r="Q6" s="223"/>
    </row>
    <row r="7" spans="2:41" ht="18" customHeight="1" thickBot="1" x14ac:dyDescent="0.3">
      <c r="B7" s="225"/>
      <c r="C7" s="167"/>
      <c r="D7" s="168" t="s">
        <v>806</v>
      </c>
      <c r="E7" s="167"/>
      <c r="F7" s="172"/>
      <c r="G7" s="166"/>
      <c r="H7" s="169"/>
      <c r="I7" s="170"/>
      <c r="J7" s="185" t="str">
        <f>'ZIPs &amp; FIPs DB Code'!C7</f>
        <v/>
      </c>
      <c r="K7" s="185" t="str">
        <f>'ZIPs &amp; FIPs DB Code'!D7</f>
        <v/>
      </c>
      <c r="L7" s="185" t="str">
        <f>'ZIPs &amp; FIPs DB Code'!E7</f>
        <v/>
      </c>
      <c r="M7" s="185" t="str">
        <f>'ZIPs &amp; FIPs DB Code'!F7</f>
        <v/>
      </c>
      <c r="N7" s="166"/>
      <c r="O7" s="166"/>
      <c r="P7" s="166"/>
      <c r="Q7" s="223"/>
    </row>
    <row r="8" spans="2:41" ht="18" customHeight="1" x14ac:dyDescent="0.25">
      <c r="B8" s="225"/>
      <c r="C8" s="170"/>
      <c r="D8" s="170"/>
      <c r="E8" s="170"/>
      <c r="F8" s="170"/>
      <c r="G8" s="170"/>
      <c r="H8" s="182" t="str">
        <f>'ZIPs &amp; FIPs DB Code'!C2</f>
        <v/>
      </c>
      <c r="I8" s="170"/>
      <c r="J8" s="185" t="str">
        <f ca="1">'ZIPs &amp; FIPs DB Code'!C8</f>
        <v/>
      </c>
      <c r="K8" s="185" t="str">
        <f ca="1">'ZIPs &amp; FIPs DB Code'!D8</f>
        <v/>
      </c>
      <c r="L8" s="185" t="str">
        <f ca="1">'ZIPs &amp; FIPs DB Code'!E8</f>
        <v/>
      </c>
      <c r="M8" s="185" t="str">
        <f ca="1">'ZIPs &amp; FIPs DB Code'!F8</f>
        <v/>
      </c>
      <c r="N8" s="170"/>
      <c r="O8" s="170"/>
      <c r="P8" s="170"/>
      <c r="Q8" s="223"/>
    </row>
    <row r="9" spans="2:41" ht="18" customHeight="1" x14ac:dyDescent="0.25">
      <c r="B9" s="225"/>
      <c r="C9" s="167"/>
      <c r="D9" s="167"/>
      <c r="E9" s="167"/>
      <c r="F9" s="167"/>
      <c r="G9" s="167"/>
      <c r="H9" s="167"/>
      <c r="I9" s="167"/>
      <c r="J9" s="185" t="str">
        <f ca="1">'ZIPs &amp; FIPs DB Code'!C9</f>
        <v/>
      </c>
      <c r="K9" s="185" t="str">
        <f ca="1">'ZIPs &amp; FIPs DB Code'!D9</f>
        <v/>
      </c>
      <c r="L9" s="185" t="str">
        <f ca="1">'ZIPs &amp; FIPs DB Code'!E9</f>
        <v/>
      </c>
      <c r="M9" s="185" t="str">
        <f ca="1">'ZIPs &amp; FIPs DB Code'!F9</f>
        <v/>
      </c>
      <c r="N9" s="170"/>
      <c r="O9" s="170"/>
      <c r="P9" s="170"/>
      <c r="Q9" s="223"/>
      <c r="AO9" s="29"/>
    </row>
    <row r="10" spans="2:41" ht="18" customHeight="1" x14ac:dyDescent="0.25">
      <c r="B10" s="225"/>
      <c r="C10" s="167"/>
      <c r="D10" s="167"/>
      <c r="E10" s="167"/>
      <c r="F10" s="167"/>
      <c r="G10" s="167"/>
      <c r="H10" s="173"/>
      <c r="I10" s="170"/>
      <c r="J10" s="185" t="str">
        <f ca="1">'ZIPs &amp; FIPs DB Code'!C10</f>
        <v/>
      </c>
      <c r="K10" s="185" t="str">
        <f ca="1">'ZIPs &amp; FIPs DB Code'!D10</f>
        <v/>
      </c>
      <c r="L10" s="185" t="str">
        <f ca="1">'ZIPs &amp; FIPs DB Code'!E10</f>
        <v/>
      </c>
      <c r="M10" s="185" t="str">
        <f ca="1">'ZIPs &amp; FIPs DB Code'!F10</f>
        <v/>
      </c>
      <c r="N10" s="170"/>
      <c r="O10" s="170"/>
      <c r="P10" s="170"/>
      <c r="Q10" s="223"/>
    </row>
    <row r="11" spans="2:41" ht="18" customHeight="1" x14ac:dyDescent="0.25">
      <c r="B11" s="225"/>
      <c r="C11" s="167"/>
      <c r="D11" s="167"/>
      <c r="E11" s="167"/>
      <c r="F11" s="167"/>
      <c r="G11" s="167"/>
      <c r="H11" s="167"/>
      <c r="I11" s="167"/>
      <c r="J11" s="185" t="str">
        <f ca="1">'ZIPs &amp; FIPs DB Code'!C11</f>
        <v/>
      </c>
      <c r="K11" s="185" t="str">
        <f ca="1">'ZIPs &amp; FIPs DB Code'!D11</f>
        <v/>
      </c>
      <c r="L11" s="185" t="str">
        <f ca="1">'ZIPs &amp; FIPs DB Code'!E11</f>
        <v/>
      </c>
      <c r="M11" s="185" t="str">
        <f ca="1">'ZIPs &amp; FIPs DB Code'!F11</f>
        <v/>
      </c>
      <c r="N11" s="170"/>
      <c r="O11" s="170"/>
      <c r="P11" s="170"/>
      <c r="Q11" s="223"/>
    </row>
    <row r="12" spans="2:41" ht="18" customHeight="1" x14ac:dyDescent="0.25">
      <c r="B12" s="225"/>
      <c r="C12" s="167"/>
      <c r="D12" s="167"/>
      <c r="E12" s="167"/>
      <c r="F12" s="167"/>
      <c r="G12" s="167"/>
      <c r="H12" s="173"/>
      <c r="I12" s="170"/>
      <c r="J12" s="185" t="str">
        <f ca="1">'ZIPs &amp; FIPs DB Code'!C12</f>
        <v/>
      </c>
      <c r="K12" s="185" t="str">
        <f ca="1">'ZIPs &amp; FIPs DB Code'!D12</f>
        <v/>
      </c>
      <c r="L12" s="185" t="str">
        <f ca="1">'ZIPs &amp; FIPs DB Code'!E12</f>
        <v/>
      </c>
      <c r="M12" s="185" t="str">
        <f ca="1">'ZIPs &amp; FIPs DB Code'!F12</f>
        <v/>
      </c>
      <c r="N12" s="170"/>
      <c r="O12" s="170"/>
      <c r="P12" s="170"/>
      <c r="Q12" s="223"/>
    </row>
    <row r="13" spans="2:41" ht="18" customHeight="1" x14ac:dyDescent="0.25">
      <c r="B13" s="225"/>
      <c r="C13" s="174"/>
      <c r="D13" s="174"/>
      <c r="E13" s="174"/>
      <c r="F13" s="174"/>
      <c r="G13" s="174"/>
      <c r="H13" s="167"/>
      <c r="I13" s="167"/>
      <c r="J13" s="185" t="str">
        <f ca="1">'ZIPs &amp; FIPs DB Code'!C13</f>
        <v/>
      </c>
      <c r="K13" s="185" t="str">
        <f ca="1">'ZIPs &amp; FIPs DB Code'!D13</f>
        <v/>
      </c>
      <c r="L13" s="185" t="str">
        <f ca="1">'ZIPs &amp; FIPs DB Code'!E13</f>
        <v/>
      </c>
      <c r="M13" s="185" t="str">
        <f ca="1">'ZIPs &amp; FIPs DB Code'!F13</f>
        <v/>
      </c>
      <c r="N13" s="170"/>
      <c r="O13" s="170"/>
      <c r="P13" s="170"/>
      <c r="Q13" s="223"/>
    </row>
    <row r="14" spans="2:41" ht="18" customHeight="1" x14ac:dyDescent="0.25">
      <c r="B14" s="225"/>
      <c r="C14" s="175"/>
      <c r="D14" s="175"/>
      <c r="E14" s="175"/>
      <c r="F14" s="175"/>
      <c r="G14" s="175"/>
      <c r="H14" s="183" t="str">
        <f>IF(H13="","",H13)</f>
        <v/>
      </c>
      <c r="I14" s="170"/>
      <c r="J14" s="185" t="str">
        <f ca="1">'ZIPs &amp; FIPs DB Code'!C14</f>
        <v/>
      </c>
      <c r="K14" s="185" t="str">
        <f ca="1">'ZIPs &amp; FIPs DB Code'!D14</f>
        <v/>
      </c>
      <c r="L14" s="185" t="str">
        <f ca="1">'ZIPs &amp; FIPs DB Code'!E14</f>
        <v/>
      </c>
      <c r="M14" s="185" t="str">
        <f ca="1">'ZIPs &amp; FIPs DB Code'!F14</f>
        <v/>
      </c>
      <c r="N14" s="170"/>
      <c r="O14" s="170"/>
      <c r="P14" s="170"/>
      <c r="Q14" s="223"/>
    </row>
    <row r="15" spans="2:41" ht="18" customHeight="1" x14ac:dyDescent="0.25">
      <c r="B15" s="225"/>
      <c r="C15" s="170"/>
      <c r="D15" s="170"/>
      <c r="E15" s="170"/>
      <c r="F15" s="170"/>
      <c r="G15" s="170"/>
      <c r="H15" s="170"/>
      <c r="I15" s="170"/>
      <c r="J15" s="185" t="str">
        <f ca="1">'ZIPs &amp; FIPs DB Code'!C15</f>
        <v/>
      </c>
      <c r="K15" s="185" t="str">
        <f ca="1">'ZIPs &amp; FIPs DB Code'!D15</f>
        <v/>
      </c>
      <c r="L15" s="185" t="str">
        <f ca="1">'ZIPs &amp; FIPs DB Code'!E15</f>
        <v/>
      </c>
      <c r="M15" s="185" t="str">
        <f ca="1">'ZIPs &amp; FIPs DB Code'!F15</f>
        <v/>
      </c>
      <c r="N15" s="170"/>
      <c r="O15" s="170"/>
      <c r="P15" s="170"/>
      <c r="Q15" s="223"/>
    </row>
    <row r="16" spans="2:41" ht="18" customHeight="1" x14ac:dyDescent="0.25">
      <c r="B16" s="225"/>
      <c r="C16" s="170"/>
      <c r="D16" s="170"/>
      <c r="E16" s="170"/>
      <c r="F16" s="170"/>
      <c r="G16" s="170"/>
      <c r="H16" s="170"/>
      <c r="I16" s="170"/>
      <c r="J16" s="185" t="str">
        <f ca="1">'ZIPs &amp; FIPs DB Code'!C16</f>
        <v/>
      </c>
      <c r="K16" s="185" t="str">
        <f ca="1">'ZIPs &amp; FIPs DB Code'!D16</f>
        <v/>
      </c>
      <c r="L16" s="185" t="str">
        <f ca="1">'ZIPs &amp; FIPs DB Code'!E16</f>
        <v/>
      </c>
      <c r="M16" s="185" t="str">
        <f ca="1">'ZIPs &amp; FIPs DB Code'!F16</f>
        <v/>
      </c>
      <c r="N16" s="170"/>
      <c r="O16" s="170"/>
      <c r="P16" s="170"/>
      <c r="Q16" s="223"/>
    </row>
    <row r="17" spans="2:17" ht="18" customHeight="1" x14ac:dyDescent="0.25">
      <c r="B17" s="225"/>
      <c r="C17" s="170"/>
      <c r="D17" s="170"/>
      <c r="E17" s="170"/>
      <c r="F17" s="170"/>
      <c r="G17" s="170"/>
      <c r="H17" s="170"/>
      <c r="I17" s="170"/>
      <c r="J17" s="185" t="str">
        <f ca="1">'ZIPs &amp; FIPs DB Code'!C17</f>
        <v/>
      </c>
      <c r="K17" s="185" t="str">
        <f ca="1">'ZIPs &amp; FIPs DB Code'!D17</f>
        <v/>
      </c>
      <c r="L17" s="185" t="str">
        <f ca="1">'ZIPs &amp; FIPs DB Code'!E17</f>
        <v/>
      </c>
      <c r="M17" s="185" t="str">
        <f ca="1">'ZIPs &amp; FIPs DB Code'!F17</f>
        <v/>
      </c>
      <c r="N17" s="170"/>
      <c r="O17" s="170"/>
      <c r="P17" s="170"/>
      <c r="Q17" s="223"/>
    </row>
    <row r="18" spans="2:17" ht="18" customHeight="1" x14ac:dyDescent="0.25">
      <c r="B18" s="225"/>
      <c r="C18" s="170"/>
      <c r="D18" s="170"/>
      <c r="E18" s="170"/>
      <c r="F18" s="170"/>
      <c r="G18" s="170"/>
      <c r="H18" s="170"/>
      <c r="I18" s="170"/>
      <c r="J18" s="185" t="str">
        <f ca="1">'ZIPs &amp; FIPs DB Code'!C18</f>
        <v/>
      </c>
      <c r="K18" s="185" t="str">
        <f ca="1">'ZIPs &amp; FIPs DB Code'!D18</f>
        <v/>
      </c>
      <c r="L18" s="185" t="str">
        <f ca="1">'ZIPs &amp; FIPs DB Code'!E18</f>
        <v/>
      </c>
      <c r="M18" s="185" t="str">
        <f ca="1">'ZIPs &amp; FIPs DB Code'!F18</f>
        <v/>
      </c>
      <c r="N18" s="170"/>
      <c r="O18" s="170"/>
      <c r="P18" s="170"/>
      <c r="Q18" s="223"/>
    </row>
    <row r="19" spans="2:17" ht="18" customHeight="1" x14ac:dyDescent="0.25">
      <c r="B19" s="225"/>
      <c r="C19" s="170"/>
      <c r="D19" s="170"/>
      <c r="E19" s="170"/>
      <c r="F19" s="170"/>
      <c r="G19" s="170"/>
      <c r="H19" s="170"/>
      <c r="I19" s="170"/>
      <c r="J19" s="185" t="str">
        <f ca="1">'ZIPs &amp; FIPs DB Code'!C19</f>
        <v/>
      </c>
      <c r="K19" s="185" t="str">
        <f ca="1">'ZIPs &amp; FIPs DB Code'!D19</f>
        <v/>
      </c>
      <c r="L19" s="185" t="str">
        <f ca="1">'ZIPs &amp; FIPs DB Code'!E19</f>
        <v/>
      </c>
      <c r="M19" s="185" t="str">
        <f ca="1">'ZIPs &amp; FIPs DB Code'!F19</f>
        <v/>
      </c>
      <c r="N19" s="170"/>
      <c r="O19" s="170"/>
      <c r="P19" s="170"/>
      <c r="Q19" s="223"/>
    </row>
    <row r="20" spans="2:17" ht="18" customHeight="1" x14ac:dyDescent="0.25">
      <c r="B20" s="225"/>
      <c r="C20" s="170"/>
      <c r="D20" s="170"/>
      <c r="E20" s="170"/>
      <c r="F20" s="170"/>
      <c r="G20" s="170"/>
      <c r="H20" s="170"/>
      <c r="I20" s="170"/>
      <c r="J20" s="185" t="str">
        <f ca="1">'ZIPs &amp; FIPs DB Code'!C20</f>
        <v/>
      </c>
      <c r="K20" s="185" t="str">
        <f ca="1">'ZIPs &amp; FIPs DB Code'!D20</f>
        <v/>
      </c>
      <c r="L20" s="185" t="str">
        <f ca="1">'ZIPs &amp; FIPs DB Code'!E20</f>
        <v/>
      </c>
      <c r="M20" s="185" t="str">
        <f ca="1">'ZIPs &amp; FIPs DB Code'!F20</f>
        <v/>
      </c>
      <c r="N20" s="170"/>
      <c r="O20" s="170"/>
      <c r="P20" s="170"/>
      <c r="Q20" s="223"/>
    </row>
    <row r="21" spans="2:17" ht="18" customHeight="1" x14ac:dyDescent="0.25">
      <c r="B21" s="225"/>
      <c r="C21" s="170"/>
      <c r="D21" s="170"/>
      <c r="E21" s="170"/>
      <c r="F21" s="170"/>
      <c r="G21" s="170"/>
      <c r="H21" s="170"/>
      <c r="I21" s="170"/>
      <c r="J21" s="185" t="str">
        <f ca="1">'ZIPs &amp; FIPs DB Code'!C21</f>
        <v/>
      </c>
      <c r="K21" s="185" t="str">
        <f ca="1">'ZIPs &amp; FIPs DB Code'!D21</f>
        <v/>
      </c>
      <c r="L21" s="185" t="str">
        <f ca="1">'ZIPs &amp; FIPs DB Code'!E21</f>
        <v/>
      </c>
      <c r="M21" s="185" t="str">
        <f ca="1">'ZIPs &amp; FIPs DB Code'!F21</f>
        <v/>
      </c>
      <c r="N21" s="170"/>
      <c r="O21" s="170"/>
      <c r="P21" s="170"/>
      <c r="Q21" s="223"/>
    </row>
    <row r="22" spans="2:17" ht="18" customHeight="1" x14ac:dyDescent="0.25">
      <c r="B22" s="225"/>
      <c r="C22" s="170"/>
      <c r="D22" s="170"/>
      <c r="E22" s="170"/>
      <c r="F22" s="170"/>
      <c r="G22" s="170"/>
      <c r="H22" s="170"/>
      <c r="I22" s="170"/>
      <c r="J22" s="185" t="str">
        <f ca="1">'ZIPs &amp; FIPs DB Code'!C22</f>
        <v/>
      </c>
      <c r="K22" s="185" t="str">
        <f ca="1">'ZIPs &amp; FIPs DB Code'!D22</f>
        <v/>
      </c>
      <c r="L22" s="185" t="str">
        <f ca="1">'ZIPs &amp; FIPs DB Code'!E22</f>
        <v/>
      </c>
      <c r="M22" s="185" t="str">
        <f ca="1">'ZIPs &amp; FIPs DB Code'!F22</f>
        <v/>
      </c>
      <c r="N22" s="170"/>
      <c r="O22" s="170"/>
      <c r="P22" s="170"/>
      <c r="Q22" s="223"/>
    </row>
    <row r="23" spans="2:17" ht="18" customHeight="1" x14ac:dyDescent="0.25">
      <c r="B23" s="225"/>
      <c r="C23" s="170"/>
      <c r="D23" s="170"/>
      <c r="E23" s="170"/>
      <c r="F23" s="170"/>
      <c r="G23" s="170"/>
      <c r="H23" s="170"/>
      <c r="I23" s="170"/>
      <c r="J23" s="185" t="str">
        <f ca="1">'ZIPs &amp; FIPs DB Code'!C23</f>
        <v/>
      </c>
      <c r="K23" s="185" t="str">
        <f ca="1">'ZIPs &amp; FIPs DB Code'!D23</f>
        <v/>
      </c>
      <c r="L23" s="185" t="str">
        <f ca="1">'ZIPs &amp; FIPs DB Code'!E23</f>
        <v/>
      </c>
      <c r="M23" s="185" t="str">
        <f ca="1">'ZIPs &amp; FIPs DB Code'!F23</f>
        <v/>
      </c>
      <c r="N23" s="170"/>
      <c r="O23" s="170"/>
      <c r="P23" s="170"/>
      <c r="Q23" s="223"/>
    </row>
    <row r="24" spans="2:17" ht="18" customHeight="1" x14ac:dyDescent="0.25">
      <c r="B24" s="225"/>
      <c r="C24" s="170"/>
      <c r="D24" s="170"/>
      <c r="E24" s="170"/>
      <c r="F24" s="170"/>
      <c r="G24" s="170"/>
      <c r="H24" s="170"/>
      <c r="I24" s="170"/>
      <c r="J24" s="185" t="str">
        <f ca="1">'ZIPs &amp; FIPs DB Code'!C24</f>
        <v/>
      </c>
      <c r="K24" s="185" t="str">
        <f ca="1">'ZIPs &amp; FIPs DB Code'!D24</f>
        <v/>
      </c>
      <c r="L24" s="185" t="str">
        <f ca="1">'ZIPs &amp; FIPs DB Code'!E24</f>
        <v/>
      </c>
      <c r="M24" s="185" t="str">
        <f ca="1">'ZIPs &amp; FIPs DB Code'!F24</f>
        <v/>
      </c>
      <c r="N24" s="170"/>
      <c r="O24" s="170"/>
      <c r="P24" s="170"/>
      <c r="Q24" s="223"/>
    </row>
    <row r="25" spans="2:17" ht="18" customHeight="1" x14ac:dyDescent="0.25">
      <c r="B25" s="225"/>
      <c r="C25" s="170"/>
      <c r="D25" s="170"/>
      <c r="E25" s="170"/>
      <c r="F25" s="170"/>
      <c r="G25" s="170"/>
      <c r="H25" s="170"/>
      <c r="I25" s="170"/>
      <c r="J25" s="185" t="str">
        <f ca="1">'ZIPs &amp; FIPs DB Code'!C25</f>
        <v/>
      </c>
      <c r="K25" s="185" t="str">
        <f ca="1">'ZIPs &amp; FIPs DB Code'!D25</f>
        <v/>
      </c>
      <c r="L25" s="185" t="str">
        <f ca="1">'ZIPs &amp; FIPs DB Code'!E25</f>
        <v/>
      </c>
      <c r="M25" s="185" t="str">
        <f ca="1">'ZIPs &amp; FIPs DB Code'!F25</f>
        <v/>
      </c>
      <c r="N25" s="170"/>
      <c r="O25" s="170"/>
      <c r="P25" s="170"/>
      <c r="Q25" s="223"/>
    </row>
    <row r="26" spans="2:17" ht="18" customHeight="1" x14ac:dyDescent="0.25">
      <c r="B26" s="225"/>
      <c r="C26" s="170"/>
      <c r="D26" s="170"/>
      <c r="E26" s="170"/>
      <c r="F26" s="170"/>
      <c r="G26" s="170"/>
      <c r="H26" s="170"/>
      <c r="I26" s="170"/>
      <c r="J26" s="185" t="str">
        <f ca="1">'ZIPs &amp; FIPs DB Code'!C26</f>
        <v/>
      </c>
      <c r="K26" s="185" t="str">
        <f ca="1">'ZIPs &amp; FIPs DB Code'!D26</f>
        <v/>
      </c>
      <c r="L26" s="185" t="str">
        <f ca="1">'ZIPs &amp; FIPs DB Code'!E26</f>
        <v/>
      </c>
      <c r="M26" s="185" t="str">
        <f ca="1">'ZIPs &amp; FIPs DB Code'!F26</f>
        <v/>
      </c>
      <c r="N26" s="170"/>
      <c r="O26" s="170"/>
      <c r="P26" s="170"/>
      <c r="Q26" s="223"/>
    </row>
    <row r="27" spans="2:17" ht="18" customHeight="1" x14ac:dyDescent="0.25">
      <c r="B27" s="225"/>
      <c r="C27" s="170"/>
      <c r="D27" s="170"/>
      <c r="E27" s="170"/>
      <c r="F27" s="170"/>
      <c r="G27" s="170"/>
      <c r="H27" s="170"/>
      <c r="I27" s="170"/>
      <c r="J27" s="185" t="str">
        <f ca="1">'ZIPs &amp; FIPs DB Code'!C27</f>
        <v/>
      </c>
      <c r="K27" s="185" t="str">
        <f ca="1">'ZIPs &amp; FIPs DB Code'!D27</f>
        <v/>
      </c>
      <c r="L27" s="185" t="str">
        <f ca="1">'ZIPs &amp; FIPs DB Code'!E27</f>
        <v/>
      </c>
      <c r="M27" s="185" t="str">
        <f ca="1">'ZIPs &amp; FIPs DB Code'!F27</f>
        <v/>
      </c>
      <c r="N27" s="170"/>
      <c r="O27" s="170"/>
      <c r="P27" s="170"/>
      <c r="Q27" s="223"/>
    </row>
    <row r="28" spans="2:17" ht="18" customHeight="1" x14ac:dyDescent="0.25">
      <c r="B28" s="225"/>
      <c r="C28" s="170"/>
      <c r="D28" s="170"/>
      <c r="E28" s="170"/>
      <c r="F28" s="170"/>
      <c r="G28" s="170"/>
      <c r="H28" s="170"/>
      <c r="I28" s="170"/>
      <c r="J28" s="185" t="str">
        <f ca="1">'ZIPs &amp; FIPs DB Code'!C28</f>
        <v/>
      </c>
      <c r="K28" s="185" t="str">
        <f ca="1">'ZIPs &amp; FIPs DB Code'!D28</f>
        <v/>
      </c>
      <c r="L28" s="185" t="str">
        <f ca="1">'ZIPs &amp; FIPs DB Code'!E28</f>
        <v/>
      </c>
      <c r="M28" s="185" t="str">
        <f ca="1">'ZIPs &amp; FIPs DB Code'!F28</f>
        <v/>
      </c>
      <c r="N28" s="170"/>
      <c r="O28" s="170"/>
      <c r="P28" s="170"/>
      <c r="Q28" s="223"/>
    </row>
    <row r="29" spans="2:17" ht="18" customHeight="1" x14ac:dyDescent="0.25">
      <c r="B29" s="225"/>
      <c r="C29" s="170"/>
      <c r="D29" s="170"/>
      <c r="E29" s="170"/>
      <c r="F29" s="170"/>
      <c r="G29" s="170"/>
      <c r="H29" s="170"/>
      <c r="I29" s="170"/>
      <c r="J29" s="185" t="str">
        <f ca="1">'ZIPs &amp; FIPs DB Code'!C29</f>
        <v/>
      </c>
      <c r="K29" s="185" t="str">
        <f ca="1">'ZIPs &amp; FIPs DB Code'!D29</f>
        <v/>
      </c>
      <c r="L29" s="185" t="str">
        <f ca="1">'ZIPs &amp; FIPs DB Code'!E29</f>
        <v/>
      </c>
      <c r="M29" s="185" t="str">
        <f ca="1">'ZIPs &amp; FIPs DB Code'!F29</f>
        <v/>
      </c>
      <c r="N29" s="170"/>
      <c r="O29" s="170"/>
      <c r="P29" s="170"/>
      <c r="Q29" s="223"/>
    </row>
    <row r="30" spans="2:17" ht="18" customHeight="1" x14ac:dyDescent="0.25">
      <c r="B30" s="225"/>
      <c r="C30" s="170"/>
      <c r="D30" s="170"/>
      <c r="E30" s="170"/>
      <c r="F30" s="170"/>
      <c r="G30" s="170"/>
      <c r="H30" s="170"/>
      <c r="I30" s="170"/>
      <c r="J30" s="185" t="str">
        <f ca="1">'ZIPs &amp; FIPs DB Code'!C30</f>
        <v/>
      </c>
      <c r="K30" s="185" t="str">
        <f ca="1">'ZIPs &amp; FIPs DB Code'!D30</f>
        <v/>
      </c>
      <c r="L30" s="185" t="str">
        <f ca="1">'ZIPs &amp; FIPs DB Code'!E30</f>
        <v/>
      </c>
      <c r="M30" s="185" t="str">
        <f ca="1">'ZIPs &amp; FIPs DB Code'!F30</f>
        <v/>
      </c>
      <c r="N30" s="170"/>
      <c r="O30" s="170"/>
      <c r="P30" s="170"/>
      <c r="Q30" s="223"/>
    </row>
    <row r="31" spans="2:17" ht="18" customHeight="1" x14ac:dyDescent="0.25">
      <c r="B31" s="225"/>
      <c r="C31" s="170"/>
      <c r="D31" s="170"/>
      <c r="E31" s="170"/>
      <c r="F31" s="170"/>
      <c r="G31" s="170"/>
      <c r="H31" s="170"/>
      <c r="I31" s="170"/>
      <c r="J31" s="185" t="str">
        <f ca="1">'ZIPs &amp; FIPs DB Code'!C31</f>
        <v/>
      </c>
      <c r="K31" s="185" t="str">
        <f ca="1">'ZIPs &amp; FIPs DB Code'!D31</f>
        <v/>
      </c>
      <c r="L31" s="185" t="str">
        <f ca="1">'ZIPs &amp; FIPs DB Code'!E31</f>
        <v/>
      </c>
      <c r="M31" s="185" t="str">
        <f ca="1">'ZIPs &amp; FIPs DB Code'!F31</f>
        <v/>
      </c>
      <c r="N31" s="170"/>
      <c r="O31" s="170"/>
      <c r="P31" s="170"/>
      <c r="Q31" s="223"/>
    </row>
    <row r="32" spans="2:17" ht="18" customHeight="1" x14ac:dyDescent="0.25">
      <c r="B32" s="225"/>
      <c r="C32" s="170"/>
      <c r="D32" s="170"/>
      <c r="E32" s="170"/>
      <c r="F32" s="170"/>
      <c r="G32" s="170"/>
      <c r="H32" s="170"/>
      <c r="I32" s="170"/>
      <c r="J32" s="185" t="str">
        <f ca="1">'ZIPs &amp; FIPs DB Code'!C32</f>
        <v/>
      </c>
      <c r="K32" s="185" t="str">
        <f ca="1">'ZIPs &amp; FIPs DB Code'!D32</f>
        <v/>
      </c>
      <c r="L32" s="185" t="str">
        <f ca="1">'ZIPs &amp; FIPs DB Code'!E32</f>
        <v/>
      </c>
      <c r="M32" s="185" t="str">
        <f ca="1">'ZIPs &amp; FIPs DB Code'!F32</f>
        <v/>
      </c>
      <c r="N32" s="170"/>
      <c r="O32" s="170"/>
      <c r="P32" s="170"/>
      <c r="Q32" s="223"/>
    </row>
    <row r="33" spans="2:41" ht="18" customHeight="1" x14ac:dyDescent="0.25">
      <c r="B33" s="225"/>
      <c r="C33" s="170"/>
      <c r="D33" s="170"/>
      <c r="E33" s="170"/>
      <c r="F33" s="170"/>
      <c r="G33" s="170"/>
      <c r="H33" s="170"/>
      <c r="I33" s="170"/>
      <c r="J33" s="185" t="str">
        <f ca="1">'ZIPs &amp; FIPs DB Code'!C33</f>
        <v/>
      </c>
      <c r="K33" s="185" t="str">
        <f ca="1">'ZIPs &amp; FIPs DB Code'!D33</f>
        <v/>
      </c>
      <c r="L33" s="185" t="str">
        <f ca="1">'ZIPs &amp; FIPs DB Code'!E33</f>
        <v/>
      </c>
      <c r="M33" s="185" t="str">
        <f ca="1">'ZIPs &amp; FIPs DB Code'!F33</f>
        <v/>
      </c>
      <c r="N33" s="170"/>
      <c r="O33" s="170"/>
      <c r="P33" s="170"/>
      <c r="Q33" s="223"/>
    </row>
    <row r="34" spans="2:41" ht="18" customHeight="1" x14ac:dyDescent="0.25">
      <c r="B34" s="225"/>
      <c r="C34" s="170"/>
      <c r="D34" s="170"/>
      <c r="E34" s="170"/>
      <c r="F34" s="170"/>
      <c r="G34" s="170"/>
      <c r="H34" s="170"/>
      <c r="I34" s="170"/>
      <c r="J34" s="185" t="str">
        <f ca="1">'ZIPs &amp; FIPs DB Code'!C34</f>
        <v/>
      </c>
      <c r="K34" s="185" t="str">
        <f ca="1">'ZIPs &amp; FIPs DB Code'!D34</f>
        <v/>
      </c>
      <c r="L34" s="185" t="str">
        <f ca="1">'ZIPs &amp; FIPs DB Code'!E34</f>
        <v/>
      </c>
      <c r="M34" s="185" t="str">
        <f ca="1">'ZIPs &amp; FIPs DB Code'!F34</f>
        <v/>
      </c>
      <c r="N34" s="170"/>
      <c r="O34" s="170"/>
      <c r="P34" s="170"/>
      <c r="Q34" s="223"/>
    </row>
    <row r="35" spans="2:41" ht="18" customHeight="1" x14ac:dyDescent="0.25">
      <c r="B35" s="225"/>
      <c r="C35" s="170"/>
      <c r="D35" s="170"/>
      <c r="E35" s="170"/>
      <c r="F35" s="170"/>
      <c r="G35" s="170"/>
      <c r="H35" s="170"/>
      <c r="I35" s="170"/>
      <c r="J35" s="185" t="str">
        <f ca="1">'ZIPs &amp; FIPs DB Code'!C35</f>
        <v/>
      </c>
      <c r="K35" s="185" t="str">
        <f ca="1">'ZIPs &amp; FIPs DB Code'!D35</f>
        <v/>
      </c>
      <c r="L35" s="185" t="str">
        <f ca="1">'ZIPs &amp; FIPs DB Code'!E35</f>
        <v/>
      </c>
      <c r="M35" s="185" t="str">
        <f ca="1">'ZIPs &amp; FIPs DB Code'!F35</f>
        <v/>
      </c>
      <c r="N35" s="170"/>
      <c r="O35" s="170"/>
      <c r="P35" s="170"/>
      <c r="Q35" s="223"/>
    </row>
    <row r="36" spans="2:41" ht="18" customHeight="1" x14ac:dyDescent="0.25">
      <c r="B36" s="225"/>
      <c r="C36" s="170"/>
      <c r="D36" s="170"/>
      <c r="E36" s="170"/>
      <c r="F36" s="170"/>
      <c r="G36" s="170"/>
      <c r="H36" s="170"/>
      <c r="I36" s="170"/>
      <c r="J36" s="185" t="str">
        <f ca="1">'ZIPs &amp; FIPs DB Code'!C36</f>
        <v/>
      </c>
      <c r="K36" s="185" t="str">
        <f ca="1">'ZIPs &amp; FIPs DB Code'!D36</f>
        <v/>
      </c>
      <c r="L36" s="185" t="str">
        <f ca="1">'ZIPs &amp; FIPs DB Code'!E36</f>
        <v/>
      </c>
      <c r="M36" s="185" t="str">
        <f ca="1">'ZIPs &amp; FIPs DB Code'!F36</f>
        <v/>
      </c>
      <c r="N36" s="170"/>
      <c r="O36" s="170"/>
      <c r="P36" s="170"/>
      <c r="Q36" s="223"/>
    </row>
    <row r="37" spans="2:41" ht="18" customHeight="1" x14ac:dyDescent="0.25">
      <c r="B37" s="225"/>
      <c r="C37" s="170"/>
      <c r="D37" s="170"/>
      <c r="E37" s="170"/>
      <c r="F37" s="170"/>
      <c r="G37" s="170"/>
      <c r="H37" s="170"/>
      <c r="I37" s="170"/>
      <c r="J37" s="185" t="str">
        <f ca="1">'ZIPs &amp; FIPs DB Code'!C37</f>
        <v/>
      </c>
      <c r="K37" s="185" t="str">
        <f ca="1">'ZIPs &amp; FIPs DB Code'!D37</f>
        <v/>
      </c>
      <c r="L37" s="185" t="str">
        <f ca="1">'ZIPs &amp; FIPs DB Code'!E37</f>
        <v/>
      </c>
      <c r="M37" s="185" t="str">
        <f ca="1">'ZIPs &amp; FIPs DB Code'!F37</f>
        <v/>
      </c>
      <c r="N37" s="170"/>
      <c r="O37" s="170"/>
      <c r="P37" s="170"/>
      <c r="Q37" s="223"/>
    </row>
    <row r="38" spans="2:41" ht="18" customHeight="1" x14ac:dyDescent="0.25">
      <c r="B38" s="225"/>
      <c r="C38" s="170"/>
      <c r="D38" s="170"/>
      <c r="E38" s="170"/>
      <c r="F38" s="170"/>
      <c r="G38" s="170"/>
      <c r="H38" s="170"/>
      <c r="I38" s="170"/>
      <c r="J38" s="185" t="str">
        <f ca="1">'ZIPs &amp; FIPs DB Code'!C38</f>
        <v/>
      </c>
      <c r="K38" s="185" t="str">
        <f ca="1">'ZIPs &amp; FIPs DB Code'!D38</f>
        <v/>
      </c>
      <c r="L38" s="185" t="str">
        <f ca="1">'ZIPs &amp; FIPs DB Code'!E38</f>
        <v/>
      </c>
      <c r="M38" s="185" t="str">
        <f ca="1">'ZIPs &amp; FIPs DB Code'!F38</f>
        <v/>
      </c>
      <c r="N38" s="170"/>
      <c r="O38" s="170"/>
      <c r="P38" s="170"/>
      <c r="Q38" s="223"/>
    </row>
    <row r="39" spans="2:41" ht="18" customHeight="1" x14ac:dyDescent="0.25">
      <c r="B39" s="225"/>
      <c r="C39" s="170"/>
      <c r="D39" s="170"/>
      <c r="E39" s="170"/>
      <c r="F39" s="170"/>
      <c r="G39" s="170"/>
      <c r="H39" s="170"/>
      <c r="I39" s="170"/>
      <c r="J39" s="185" t="str">
        <f ca="1">'ZIPs &amp; FIPs DB Code'!C39</f>
        <v/>
      </c>
      <c r="K39" s="185" t="str">
        <f ca="1">'ZIPs &amp; FIPs DB Code'!D39</f>
        <v/>
      </c>
      <c r="L39" s="185" t="str">
        <f ca="1">'ZIPs &amp; FIPs DB Code'!E39</f>
        <v/>
      </c>
      <c r="M39" s="185" t="str">
        <f ca="1">'ZIPs &amp; FIPs DB Code'!F39</f>
        <v/>
      </c>
      <c r="N39" s="170"/>
      <c r="O39" s="170"/>
      <c r="P39" s="170"/>
      <c r="Q39" s="223"/>
      <c r="AO39" s="29"/>
    </row>
    <row r="40" spans="2:41" ht="18" customHeight="1" x14ac:dyDescent="0.25">
      <c r="B40" s="225"/>
      <c r="C40" s="170"/>
      <c r="D40" s="170"/>
      <c r="E40" s="170"/>
      <c r="F40" s="170"/>
      <c r="G40" s="170"/>
      <c r="H40" s="170"/>
      <c r="I40" s="170"/>
      <c r="J40" s="185" t="str">
        <f ca="1">'ZIPs &amp; FIPs DB Code'!C40</f>
        <v/>
      </c>
      <c r="K40" s="185" t="str">
        <f ca="1">'ZIPs &amp; FIPs DB Code'!D40</f>
        <v/>
      </c>
      <c r="L40" s="185" t="str">
        <f ca="1">'ZIPs &amp; FIPs DB Code'!E40</f>
        <v/>
      </c>
      <c r="M40" s="185" t="str">
        <f ca="1">'ZIPs &amp; FIPs DB Code'!F40</f>
        <v/>
      </c>
      <c r="N40" s="170"/>
      <c r="O40" s="170"/>
      <c r="P40" s="170"/>
      <c r="Q40" s="223"/>
    </row>
    <row r="41" spans="2:41" ht="18" customHeight="1" x14ac:dyDescent="0.25">
      <c r="B41" s="225"/>
      <c r="C41" s="170"/>
      <c r="D41" s="170"/>
      <c r="E41" s="170"/>
      <c r="F41" s="170"/>
      <c r="G41" s="170"/>
      <c r="H41" s="170"/>
      <c r="I41" s="170"/>
      <c r="J41" s="185" t="str">
        <f ca="1">'ZIPs &amp; FIPs DB Code'!C41</f>
        <v/>
      </c>
      <c r="K41" s="185" t="str">
        <f ca="1">'ZIPs &amp; FIPs DB Code'!D41</f>
        <v/>
      </c>
      <c r="L41" s="185" t="str">
        <f ca="1">'ZIPs &amp; FIPs DB Code'!E41</f>
        <v/>
      </c>
      <c r="M41" s="185" t="str">
        <f ca="1">'ZIPs &amp; FIPs DB Code'!F41</f>
        <v/>
      </c>
      <c r="N41" s="170"/>
      <c r="O41" s="170"/>
      <c r="P41" s="170"/>
      <c r="Q41" s="223"/>
    </row>
    <row r="42" spans="2:41" ht="18" customHeight="1" x14ac:dyDescent="0.25">
      <c r="B42" s="225"/>
      <c r="C42" s="170"/>
      <c r="D42" s="170"/>
      <c r="E42" s="170"/>
      <c r="F42" s="170"/>
      <c r="G42" s="170"/>
      <c r="H42" s="170"/>
      <c r="I42" s="170"/>
      <c r="J42" s="185" t="str">
        <f ca="1">'ZIPs &amp; FIPs DB Code'!C42</f>
        <v/>
      </c>
      <c r="K42" s="185" t="str">
        <f ca="1">'ZIPs &amp; FIPs DB Code'!D42</f>
        <v/>
      </c>
      <c r="L42" s="185" t="str">
        <f ca="1">'ZIPs &amp; FIPs DB Code'!E42</f>
        <v/>
      </c>
      <c r="M42" s="185" t="str">
        <f ca="1">'ZIPs &amp; FIPs DB Code'!F42</f>
        <v/>
      </c>
      <c r="N42" s="170"/>
      <c r="O42" s="170"/>
      <c r="P42" s="170"/>
      <c r="Q42" s="223"/>
    </row>
    <row r="43" spans="2:41" ht="18" customHeight="1" x14ac:dyDescent="0.25">
      <c r="B43" s="225"/>
      <c r="C43" s="170"/>
      <c r="D43" s="170"/>
      <c r="E43" s="170"/>
      <c r="F43" s="170"/>
      <c r="G43" s="170"/>
      <c r="H43" s="170"/>
      <c r="I43" s="170"/>
      <c r="J43" s="185" t="str">
        <f ca="1">'ZIPs &amp; FIPs DB Code'!C43</f>
        <v/>
      </c>
      <c r="K43" s="185" t="str">
        <f ca="1">'ZIPs &amp; FIPs DB Code'!D43</f>
        <v/>
      </c>
      <c r="L43" s="185" t="str">
        <f ca="1">'ZIPs &amp; FIPs DB Code'!E43</f>
        <v/>
      </c>
      <c r="M43" s="185" t="str">
        <f ca="1">'ZIPs &amp; FIPs DB Code'!F43</f>
        <v/>
      </c>
      <c r="N43" s="170"/>
      <c r="O43" s="170"/>
      <c r="P43" s="170"/>
      <c r="Q43" s="223"/>
    </row>
    <row r="44" spans="2:41" ht="18" customHeight="1" x14ac:dyDescent="0.25">
      <c r="B44" s="225"/>
      <c r="C44" s="170"/>
      <c r="D44" s="170"/>
      <c r="E44" s="170"/>
      <c r="F44" s="170"/>
      <c r="G44" s="170"/>
      <c r="H44" s="170"/>
      <c r="I44" s="170"/>
      <c r="J44" s="185" t="str">
        <f ca="1">'ZIPs &amp; FIPs DB Code'!C44</f>
        <v/>
      </c>
      <c r="K44" s="185" t="str">
        <f ca="1">'ZIPs &amp; FIPs DB Code'!D44</f>
        <v/>
      </c>
      <c r="L44" s="185" t="str">
        <f ca="1">'ZIPs &amp; FIPs DB Code'!E44</f>
        <v/>
      </c>
      <c r="M44" s="185" t="str">
        <f ca="1">'ZIPs &amp; FIPs DB Code'!F44</f>
        <v/>
      </c>
      <c r="N44" s="170"/>
      <c r="O44" s="170"/>
      <c r="P44" s="170"/>
      <c r="Q44" s="223"/>
    </row>
    <row r="45" spans="2:41" ht="18" customHeight="1" x14ac:dyDescent="0.25">
      <c r="B45" s="225"/>
      <c r="C45" s="170"/>
      <c r="D45" s="170"/>
      <c r="E45" s="170"/>
      <c r="F45" s="170"/>
      <c r="G45" s="170"/>
      <c r="H45" s="170"/>
      <c r="I45" s="170"/>
      <c r="J45" s="185" t="str">
        <f ca="1">'ZIPs &amp; FIPs DB Code'!C45</f>
        <v/>
      </c>
      <c r="K45" s="185" t="str">
        <f ca="1">'ZIPs &amp; FIPs DB Code'!D45</f>
        <v/>
      </c>
      <c r="L45" s="185" t="str">
        <f ca="1">'ZIPs &amp; FIPs DB Code'!E45</f>
        <v/>
      </c>
      <c r="M45" s="185" t="str">
        <f ca="1">'ZIPs &amp; FIPs DB Code'!F45</f>
        <v/>
      </c>
      <c r="N45" s="170"/>
      <c r="O45" s="170"/>
      <c r="P45" s="170"/>
      <c r="Q45" s="223"/>
    </row>
    <row r="46" spans="2:41" ht="18" customHeight="1" x14ac:dyDescent="0.25">
      <c r="B46" s="225"/>
      <c r="C46" s="170"/>
      <c r="D46" s="170"/>
      <c r="E46" s="170"/>
      <c r="F46" s="170"/>
      <c r="G46" s="170"/>
      <c r="H46" s="170"/>
      <c r="I46" s="170"/>
      <c r="J46" s="185" t="str">
        <f ca="1">'ZIPs &amp; FIPs DB Code'!C46</f>
        <v/>
      </c>
      <c r="K46" s="185" t="str">
        <f ca="1">'ZIPs &amp; FIPs DB Code'!D46</f>
        <v/>
      </c>
      <c r="L46" s="185" t="str">
        <f ca="1">'ZIPs &amp; FIPs DB Code'!E46</f>
        <v/>
      </c>
      <c r="M46" s="185" t="str">
        <f ca="1">'ZIPs &amp; FIPs DB Code'!F46</f>
        <v/>
      </c>
      <c r="N46" s="170"/>
      <c r="O46" s="170"/>
      <c r="P46" s="170"/>
      <c r="Q46" s="223"/>
    </row>
    <row r="47" spans="2:41" ht="18" customHeight="1" x14ac:dyDescent="0.25">
      <c r="B47" s="225"/>
      <c r="C47" s="170"/>
      <c r="D47" s="170"/>
      <c r="E47" s="170"/>
      <c r="F47" s="170"/>
      <c r="G47" s="170"/>
      <c r="H47" s="170"/>
      <c r="I47" s="170"/>
      <c r="J47" s="185" t="str">
        <f ca="1">'ZIPs &amp; FIPs DB Code'!C47</f>
        <v/>
      </c>
      <c r="K47" s="185" t="str">
        <f ca="1">'ZIPs &amp; FIPs DB Code'!D47</f>
        <v/>
      </c>
      <c r="L47" s="185" t="str">
        <f ca="1">'ZIPs &amp; FIPs DB Code'!E47</f>
        <v/>
      </c>
      <c r="M47" s="185" t="str">
        <f ca="1">'ZIPs &amp; FIPs DB Code'!F47</f>
        <v/>
      </c>
      <c r="N47" s="170"/>
      <c r="O47" s="170"/>
      <c r="P47" s="170"/>
      <c r="Q47" s="223"/>
    </row>
    <row r="48" spans="2:41" ht="18" customHeight="1" x14ac:dyDescent="0.25">
      <c r="B48" s="225"/>
      <c r="C48" s="170"/>
      <c r="D48" s="170"/>
      <c r="E48" s="170"/>
      <c r="F48" s="170"/>
      <c r="G48" s="170"/>
      <c r="H48" s="170"/>
      <c r="I48" s="170"/>
      <c r="J48" s="185" t="str">
        <f ca="1">'ZIPs &amp; FIPs DB Code'!C48</f>
        <v/>
      </c>
      <c r="K48" s="185" t="str">
        <f ca="1">'ZIPs &amp; FIPs DB Code'!D48</f>
        <v/>
      </c>
      <c r="L48" s="185" t="str">
        <f ca="1">'ZIPs &amp; FIPs DB Code'!E48</f>
        <v/>
      </c>
      <c r="M48" s="185" t="str">
        <f ca="1">'ZIPs &amp; FIPs DB Code'!F48</f>
        <v/>
      </c>
      <c r="N48" s="170"/>
      <c r="O48" s="170"/>
      <c r="P48" s="170"/>
      <c r="Q48" s="223"/>
    </row>
    <row r="49" spans="2:17" ht="18" customHeight="1" x14ac:dyDescent="0.25">
      <c r="B49" s="225"/>
      <c r="C49" s="170"/>
      <c r="D49" s="170"/>
      <c r="E49" s="170"/>
      <c r="F49" s="170"/>
      <c r="G49" s="170"/>
      <c r="H49" s="170"/>
      <c r="I49" s="170"/>
      <c r="J49" s="185" t="str">
        <f ca="1">'ZIPs &amp; FIPs DB Code'!C49</f>
        <v/>
      </c>
      <c r="K49" s="185" t="str">
        <f ca="1">'ZIPs &amp; FIPs DB Code'!D49</f>
        <v/>
      </c>
      <c r="L49" s="185" t="str">
        <f ca="1">'ZIPs &amp; FIPs DB Code'!E49</f>
        <v/>
      </c>
      <c r="M49" s="185" t="str">
        <f ca="1">'ZIPs &amp; FIPs DB Code'!F49</f>
        <v/>
      </c>
      <c r="N49" s="170"/>
      <c r="O49" s="170"/>
      <c r="P49" s="170"/>
      <c r="Q49" s="223"/>
    </row>
    <row r="50" spans="2:17" ht="18" customHeight="1" x14ac:dyDescent="0.25">
      <c r="B50" s="225"/>
      <c r="C50" s="170"/>
      <c r="D50" s="170"/>
      <c r="E50" s="170"/>
      <c r="F50" s="170"/>
      <c r="G50" s="170"/>
      <c r="H50" s="170"/>
      <c r="I50" s="170"/>
      <c r="J50" s="185" t="str">
        <f ca="1">'ZIPs &amp; FIPs DB Code'!C50</f>
        <v/>
      </c>
      <c r="K50" s="185" t="str">
        <f ca="1">'ZIPs &amp; FIPs DB Code'!D50</f>
        <v/>
      </c>
      <c r="L50" s="185" t="str">
        <f ca="1">'ZIPs &amp; FIPs DB Code'!E50</f>
        <v/>
      </c>
      <c r="M50" s="185" t="str">
        <f ca="1">'ZIPs &amp; FIPs DB Code'!F50</f>
        <v/>
      </c>
      <c r="N50" s="170"/>
      <c r="O50" s="170"/>
      <c r="P50" s="170"/>
      <c r="Q50" s="223"/>
    </row>
    <row r="51" spans="2:17" ht="18" customHeight="1" x14ac:dyDescent="0.25">
      <c r="B51" s="225"/>
      <c r="C51" s="170"/>
      <c r="D51" s="170"/>
      <c r="E51" s="170"/>
      <c r="F51" s="170"/>
      <c r="G51" s="170"/>
      <c r="H51" s="170"/>
      <c r="I51" s="170"/>
      <c r="J51" s="185" t="str">
        <f ca="1">'ZIPs &amp; FIPs DB Code'!C51</f>
        <v/>
      </c>
      <c r="K51" s="185" t="str">
        <f ca="1">'ZIPs &amp; FIPs DB Code'!D51</f>
        <v/>
      </c>
      <c r="L51" s="185" t="str">
        <f ca="1">'ZIPs &amp; FIPs DB Code'!E51</f>
        <v/>
      </c>
      <c r="M51" s="185" t="str">
        <f ca="1">'ZIPs &amp; FIPs DB Code'!F51</f>
        <v/>
      </c>
      <c r="N51" s="170"/>
      <c r="O51" s="170"/>
      <c r="P51" s="170"/>
      <c r="Q51" s="223"/>
    </row>
    <row r="52" spans="2:17" ht="18" customHeight="1" x14ac:dyDescent="0.25">
      <c r="B52" s="225"/>
      <c r="C52" s="170"/>
      <c r="D52" s="170"/>
      <c r="E52" s="170"/>
      <c r="F52" s="170"/>
      <c r="G52" s="170"/>
      <c r="H52" s="170"/>
      <c r="I52" s="170"/>
      <c r="J52" s="185" t="str">
        <f ca="1">'ZIPs &amp; FIPs DB Code'!C52</f>
        <v/>
      </c>
      <c r="K52" s="185" t="str">
        <f ca="1">'ZIPs &amp; FIPs DB Code'!D52</f>
        <v/>
      </c>
      <c r="L52" s="185" t="str">
        <f ca="1">'ZIPs &amp; FIPs DB Code'!E52</f>
        <v/>
      </c>
      <c r="M52" s="185" t="str">
        <f ca="1">'ZIPs &amp; FIPs DB Code'!F52</f>
        <v/>
      </c>
      <c r="N52" s="170"/>
      <c r="O52" s="170"/>
      <c r="P52" s="170"/>
      <c r="Q52" s="223"/>
    </row>
    <row r="53" spans="2:17" ht="18" customHeight="1" x14ac:dyDescent="0.25">
      <c r="B53" s="225"/>
      <c r="C53" s="170"/>
      <c r="D53" s="170"/>
      <c r="E53" s="170"/>
      <c r="F53" s="170"/>
      <c r="G53" s="170"/>
      <c r="H53" s="170"/>
      <c r="I53" s="170"/>
      <c r="J53" s="185" t="str">
        <f ca="1">'ZIPs &amp; FIPs DB Code'!C53</f>
        <v/>
      </c>
      <c r="K53" s="185" t="str">
        <f ca="1">'ZIPs &amp; FIPs DB Code'!D53</f>
        <v/>
      </c>
      <c r="L53" s="185" t="str">
        <f ca="1">'ZIPs &amp; FIPs DB Code'!E53</f>
        <v/>
      </c>
      <c r="M53" s="185" t="str">
        <f ca="1">'ZIPs &amp; FIPs DB Code'!F53</f>
        <v/>
      </c>
      <c r="N53" s="170"/>
      <c r="O53" s="170"/>
      <c r="P53" s="170"/>
      <c r="Q53" s="223"/>
    </row>
    <row r="54" spans="2:17" ht="18" customHeight="1" x14ac:dyDescent="0.25">
      <c r="B54" s="225"/>
      <c r="C54" s="170"/>
      <c r="D54" s="170"/>
      <c r="E54" s="170"/>
      <c r="F54" s="170"/>
      <c r="G54" s="170"/>
      <c r="H54" s="170"/>
      <c r="I54" s="170"/>
      <c r="J54" s="185" t="str">
        <f ca="1">'ZIPs &amp; FIPs DB Code'!C54</f>
        <v/>
      </c>
      <c r="K54" s="185" t="str">
        <f ca="1">'ZIPs &amp; FIPs DB Code'!D54</f>
        <v/>
      </c>
      <c r="L54" s="185" t="str">
        <f ca="1">'ZIPs &amp; FIPs DB Code'!E54</f>
        <v/>
      </c>
      <c r="M54" s="185" t="str">
        <f ca="1">'ZIPs &amp; FIPs DB Code'!F54</f>
        <v/>
      </c>
      <c r="N54" s="170"/>
      <c r="O54" s="170"/>
      <c r="P54" s="170"/>
      <c r="Q54" s="223"/>
    </row>
    <row r="55" spans="2:17" ht="18" customHeight="1" x14ac:dyDescent="0.25">
      <c r="B55" s="225"/>
      <c r="C55" s="170"/>
      <c r="D55" s="170"/>
      <c r="E55" s="170"/>
      <c r="F55" s="170"/>
      <c r="G55" s="170"/>
      <c r="H55" s="170"/>
      <c r="I55" s="170"/>
      <c r="J55" s="185" t="str">
        <f ca="1">'ZIPs &amp; FIPs DB Code'!C55</f>
        <v/>
      </c>
      <c r="K55" s="185" t="str">
        <f ca="1">'ZIPs &amp; FIPs DB Code'!D55</f>
        <v/>
      </c>
      <c r="L55" s="185" t="str">
        <f ca="1">'ZIPs &amp; FIPs DB Code'!E55</f>
        <v/>
      </c>
      <c r="M55" s="185" t="str">
        <f ca="1">'ZIPs &amp; FIPs DB Code'!F55</f>
        <v/>
      </c>
      <c r="N55" s="170"/>
      <c r="O55" s="170"/>
      <c r="P55" s="170"/>
      <c r="Q55" s="223"/>
    </row>
    <row r="56" spans="2:17" ht="18" customHeight="1" x14ac:dyDescent="0.25">
      <c r="B56" s="225"/>
      <c r="C56" s="170"/>
      <c r="D56" s="170"/>
      <c r="E56" s="170"/>
      <c r="F56" s="170"/>
      <c r="G56" s="170"/>
      <c r="H56" s="170"/>
      <c r="I56" s="170"/>
      <c r="J56" s="185" t="str">
        <f ca="1">'ZIPs &amp; FIPs DB Code'!C56</f>
        <v/>
      </c>
      <c r="K56" s="185" t="str">
        <f ca="1">'ZIPs &amp; FIPs DB Code'!D56</f>
        <v/>
      </c>
      <c r="L56" s="185" t="str">
        <f ca="1">'ZIPs &amp; FIPs DB Code'!E56</f>
        <v/>
      </c>
      <c r="M56" s="185" t="str">
        <f ca="1">'ZIPs &amp; FIPs DB Code'!F56</f>
        <v/>
      </c>
      <c r="N56" s="170"/>
      <c r="O56" s="170"/>
      <c r="P56" s="170"/>
      <c r="Q56" s="223"/>
    </row>
    <row r="57" spans="2:17" ht="18" customHeight="1" x14ac:dyDescent="0.25">
      <c r="B57" s="225"/>
      <c r="C57" s="170"/>
      <c r="D57" s="170"/>
      <c r="E57" s="170"/>
      <c r="F57" s="170"/>
      <c r="G57" s="170"/>
      <c r="H57" s="170"/>
      <c r="I57" s="170"/>
      <c r="J57" s="185" t="str">
        <f ca="1">'ZIPs &amp; FIPs DB Code'!C57</f>
        <v/>
      </c>
      <c r="K57" s="185" t="str">
        <f ca="1">'ZIPs &amp; FIPs DB Code'!D57</f>
        <v/>
      </c>
      <c r="L57" s="185" t="str">
        <f ca="1">'ZIPs &amp; FIPs DB Code'!E57</f>
        <v/>
      </c>
      <c r="M57" s="185" t="str">
        <f ca="1">'ZIPs &amp; FIPs DB Code'!F57</f>
        <v/>
      </c>
      <c r="N57" s="170"/>
      <c r="O57" s="170"/>
      <c r="P57" s="170"/>
      <c r="Q57" s="223"/>
    </row>
    <row r="58" spans="2:17" ht="18" customHeight="1" x14ac:dyDescent="0.25">
      <c r="B58" s="225"/>
      <c r="C58" s="170"/>
      <c r="D58" s="170"/>
      <c r="E58" s="170"/>
      <c r="F58" s="170"/>
      <c r="G58" s="170"/>
      <c r="H58" s="170"/>
      <c r="I58" s="170"/>
      <c r="J58" s="185" t="str">
        <f ca="1">'ZIPs &amp; FIPs DB Code'!C58</f>
        <v/>
      </c>
      <c r="K58" s="185" t="str">
        <f ca="1">'ZIPs &amp; FIPs DB Code'!D58</f>
        <v/>
      </c>
      <c r="L58" s="185" t="str">
        <f ca="1">'ZIPs &amp; FIPs DB Code'!E58</f>
        <v/>
      </c>
      <c r="M58" s="185" t="str">
        <f ca="1">'ZIPs &amp; FIPs DB Code'!F58</f>
        <v/>
      </c>
      <c r="N58" s="170"/>
      <c r="O58" s="170"/>
      <c r="P58" s="170"/>
      <c r="Q58" s="223"/>
    </row>
    <row r="59" spans="2:17" ht="18" customHeight="1" x14ac:dyDescent="0.25">
      <c r="B59" s="225"/>
      <c r="C59" s="170"/>
      <c r="D59" s="170"/>
      <c r="E59" s="170"/>
      <c r="F59" s="170"/>
      <c r="G59" s="170"/>
      <c r="H59" s="170"/>
      <c r="I59" s="170"/>
      <c r="J59" s="185" t="str">
        <f ca="1">'ZIPs &amp; FIPs DB Code'!C59</f>
        <v/>
      </c>
      <c r="K59" s="185" t="str">
        <f ca="1">'ZIPs &amp; FIPs DB Code'!D59</f>
        <v/>
      </c>
      <c r="L59" s="185" t="str">
        <f ca="1">'ZIPs &amp; FIPs DB Code'!E59</f>
        <v/>
      </c>
      <c r="M59" s="185" t="str">
        <f ca="1">'ZIPs &amp; FIPs DB Code'!F59</f>
        <v/>
      </c>
      <c r="N59" s="170"/>
      <c r="O59" s="170"/>
      <c r="P59" s="170"/>
      <c r="Q59" s="223"/>
    </row>
    <row r="60" spans="2:17" ht="18" customHeight="1" x14ac:dyDescent="0.25">
      <c r="B60" s="225"/>
      <c r="C60" s="170"/>
      <c r="D60" s="170"/>
      <c r="E60" s="170"/>
      <c r="F60" s="170"/>
      <c r="G60" s="170"/>
      <c r="H60" s="170"/>
      <c r="I60" s="170"/>
      <c r="J60" s="185" t="str">
        <f ca="1">'ZIPs &amp; FIPs DB Code'!C60</f>
        <v/>
      </c>
      <c r="K60" s="185" t="str">
        <f ca="1">'ZIPs &amp; FIPs DB Code'!D60</f>
        <v/>
      </c>
      <c r="L60" s="185" t="str">
        <f ca="1">'ZIPs &amp; FIPs DB Code'!E60</f>
        <v/>
      </c>
      <c r="M60" s="185" t="str">
        <f ca="1">'ZIPs &amp; FIPs DB Code'!F60</f>
        <v/>
      </c>
      <c r="N60" s="170"/>
      <c r="O60" s="170"/>
      <c r="P60" s="170"/>
      <c r="Q60" s="223"/>
    </row>
    <row r="61" spans="2:17" ht="18" customHeight="1" x14ac:dyDescent="0.25">
      <c r="B61" s="225"/>
      <c r="C61" s="170"/>
      <c r="D61" s="170"/>
      <c r="E61" s="170"/>
      <c r="F61" s="170"/>
      <c r="G61" s="170"/>
      <c r="H61" s="170"/>
      <c r="I61" s="170"/>
      <c r="J61" s="185" t="str">
        <f ca="1">'ZIPs &amp; FIPs DB Code'!C61</f>
        <v/>
      </c>
      <c r="K61" s="185" t="str">
        <f ca="1">'ZIPs &amp; FIPs DB Code'!D61</f>
        <v/>
      </c>
      <c r="L61" s="185" t="str">
        <f ca="1">'ZIPs &amp; FIPs DB Code'!E61</f>
        <v/>
      </c>
      <c r="M61" s="185" t="str">
        <f ca="1">'ZIPs &amp; FIPs DB Code'!F61</f>
        <v/>
      </c>
      <c r="N61" s="170"/>
      <c r="O61" s="170"/>
      <c r="P61" s="170"/>
      <c r="Q61" s="223"/>
    </row>
    <row r="62" spans="2:17" ht="18" customHeight="1" x14ac:dyDescent="0.25">
      <c r="B62" s="225"/>
      <c r="C62" s="170"/>
      <c r="D62" s="170"/>
      <c r="E62" s="170"/>
      <c r="F62" s="170"/>
      <c r="G62" s="170"/>
      <c r="H62" s="170"/>
      <c r="I62" s="170"/>
      <c r="J62" s="185" t="str">
        <f ca="1">'ZIPs &amp; FIPs DB Code'!C62</f>
        <v/>
      </c>
      <c r="K62" s="185" t="str">
        <f ca="1">'ZIPs &amp; FIPs DB Code'!D62</f>
        <v/>
      </c>
      <c r="L62" s="185" t="str">
        <f ca="1">'ZIPs &amp; FIPs DB Code'!E62</f>
        <v/>
      </c>
      <c r="M62" s="185" t="str">
        <f ca="1">'ZIPs &amp; FIPs DB Code'!F62</f>
        <v/>
      </c>
      <c r="N62" s="170"/>
      <c r="O62" s="170"/>
      <c r="P62" s="170"/>
      <c r="Q62" s="223"/>
    </row>
    <row r="63" spans="2:17" ht="18" customHeight="1" x14ac:dyDescent="0.25">
      <c r="B63" s="225"/>
      <c r="C63" s="170"/>
      <c r="D63" s="170"/>
      <c r="E63" s="170"/>
      <c r="F63" s="170"/>
      <c r="G63" s="170"/>
      <c r="H63" s="170"/>
      <c r="I63" s="170"/>
      <c r="J63" s="185" t="str">
        <f ca="1">'ZIPs &amp; FIPs DB Code'!C63</f>
        <v/>
      </c>
      <c r="K63" s="185" t="str">
        <f ca="1">'ZIPs &amp; FIPs DB Code'!D63</f>
        <v/>
      </c>
      <c r="L63" s="185" t="str">
        <f ca="1">'ZIPs &amp; FIPs DB Code'!E63</f>
        <v/>
      </c>
      <c r="M63" s="185" t="str">
        <f ca="1">'ZIPs &amp; FIPs DB Code'!F63</f>
        <v/>
      </c>
      <c r="N63" s="170"/>
      <c r="O63" s="170"/>
      <c r="P63" s="170"/>
      <c r="Q63" s="223"/>
    </row>
    <row r="64" spans="2:17" ht="18" customHeight="1" x14ac:dyDescent="0.25">
      <c r="B64" s="225"/>
      <c r="C64" s="170"/>
      <c r="D64" s="170"/>
      <c r="E64" s="170"/>
      <c r="F64" s="170"/>
      <c r="G64" s="170"/>
      <c r="H64" s="170"/>
      <c r="I64" s="170"/>
      <c r="J64" s="185" t="str">
        <f ca="1">'ZIPs &amp; FIPs DB Code'!C64</f>
        <v/>
      </c>
      <c r="K64" s="185" t="str">
        <f ca="1">'ZIPs &amp; FIPs DB Code'!D64</f>
        <v/>
      </c>
      <c r="L64" s="185" t="str">
        <f ca="1">'ZIPs &amp; FIPs DB Code'!E64</f>
        <v/>
      </c>
      <c r="M64" s="185" t="str">
        <f ca="1">'ZIPs &amp; FIPs DB Code'!F64</f>
        <v/>
      </c>
      <c r="N64" s="170"/>
      <c r="O64" s="170"/>
      <c r="P64" s="170"/>
      <c r="Q64" s="223"/>
    </row>
    <row r="65" spans="2:41" ht="18" customHeight="1" x14ac:dyDescent="0.25">
      <c r="B65" s="225"/>
      <c r="C65" s="170"/>
      <c r="D65" s="170"/>
      <c r="E65" s="170"/>
      <c r="F65" s="170"/>
      <c r="G65" s="170"/>
      <c r="H65" s="170"/>
      <c r="I65" s="170"/>
      <c r="J65" s="185" t="str">
        <f ca="1">'ZIPs &amp; FIPs DB Code'!C65</f>
        <v/>
      </c>
      <c r="K65" s="185" t="str">
        <f ca="1">'ZIPs &amp; FIPs DB Code'!D65</f>
        <v/>
      </c>
      <c r="L65" s="185" t="str">
        <f ca="1">'ZIPs &amp; FIPs DB Code'!E65</f>
        <v/>
      </c>
      <c r="M65" s="185" t="str">
        <f ca="1">'ZIPs &amp; FIPs DB Code'!F65</f>
        <v/>
      </c>
      <c r="N65" s="170"/>
      <c r="O65" s="170"/>
      <c r="P65" s="170"/>
      <c r="Q65" s="223"/>
    </row>
    <row r="66" spans="2:41" ht="18" customHeight="1" x14ac:dyDescent="0.25">
      <c r="B66" s="225"/>
      <c r="C66" s="170"/>
      <c r="D66" s="170"/>
      <c r="E66" s="170"/>
      <c r="F66" s="170"/>
      <c r="G66" s="170"/>
      <c r="H66" s="170"/>
      <c r="I66" s="170"/>
      <c r="J66" s="185" t="str">
        <f ca="1">'ZIPs &amp; FIPs DB Code'!C66</f>
        <v/>
      </c>
      <c r="K66" s="185" t="str">
        <f ca="1">'ZIPs &amp; FIPs DB Code'!D66</f>
        <v/>
      </c>
      <c r="L66" s="185" t="str">
        <f ca="1">'ZIPs &amp; FIPs DB Code'!E66</f>
        <v/>
      </c>
      <c r="M66" s="185" t="str">
        <f ca="1">'ZIPs &amp; FIPs DB Code'!F66</f>
        <v/>
      </c>
      <c r="N66" s="170"/>
      <c r="O66" s="170"/>
      <c r="P66" s="170"/>
      <c r="Q66" s="223"/>
    </row>
    <row r="67" spans="2:41" ht="18" customHeight="1" x14ac:dyDescent="0.25">
      <c r="B67" s="225"/>
      <c r="C67" s="170"/>
      <c r="D67" s="170"/>
      <c r="E67" s="170"/>
      <c r="F67" s="170"/>
      <c r="G67" s="170"/>
      <c r="H67" s="170"/>
      <c r="I67" s="170"/>
      <c r="J67" s="185" t="str">
        <f ca="1">'ZIPs &amp; FIPs DB Code'!C67</f>
        <v/>
      </c>
      <c r="K67" s="185" t="str">
        <f ca="1">'ZIPs &amp; FIPs DB Code'!D67</f>
        <v/>
      </c>
      <c r="L67" s="185" t="str">
        <f ca="1">'ZIPs &amp; FIPs DB Code'!E67</f>
        <v/>
      </c>
      <c r="M67" s="185" t="str">
        <f ca="1">'ZIPs &amp; FIPs DB Code'!F67</f>
        <v/>
      </c>
      <c r="N67" s="170"/>
      <c r="O67" s="170"/>
      <c r="P67" s="170"/>
      <c r="Q67" s="223"/>
    </row>
    <row r="68" spans="2:41" ht="18" customHeight="1" x14ac:dyDescent="0.25">
      <c r="B68" s="225"/>
      <c r="C68" s="170"/>
      <c r="D68" s="170"/>
      <c r="E68" s="170"/>
      <c r="F68" s="170"/>
      <c r="G68" s="170"/>
      <c r="H68" s="170"/>
      <c r="I68" s="170"/>
      <c r="J68" s="185" t="str">
        <f ca="1">'ZIPs &amp; FIPs DB Code'!C68</f>
        <v/>
      </c>
      <c r="K68" s="185" t="str">
        <f ca="1">'ZIPs &amp; FIPs DB Code'!D68</f>
        <v/>
      </c>
      <c r="L68" s="185" t="str">
        <f ca="1">'ZIPs &amp; FIPs DB Code'!E68</f>
        <v/>
      </c>
      <c r="M68" s="185" t="str">
        <f ca="1">'ZIPs &amp; FIPs DB Code'!F68</f>
        <v/>
      </c>
      <c r="N68" s="170"/>
      <c r="O68" s="170"/>
      <c r="P68" s="170"/>
      <c r="Q68" s="223"/>
    </row>
    <row r="69" spans="2:41" ht="18" customHeight="1" x14ac:dyDescent="0.25">
      <c r="B69" s="225"/>
      <c r="C69" s="226" t="str">
        <f>'ZIPs &amp; FIPs DB Code'!F2</f>
        <v>v 6.4.0 - Last updated on 06/30/25</v>
      </c>
      <c r="D69" s="226"/>
      <c r="E69" s="226"/>
      <c r="F69" s="226"/>
      <c r="G69" s="226"/>
      <c r="H69" s="226"/>
      <c r="I69" s="226"/>
      <c r="J69" s="226"/>
      <c r="K69" s="226"/>
      <c r="L69" s="226"/>
      <c r="M69" s="226"/>
      <c r="N69" s="226"/>
      <c r="O69" s="226"/>
      <c r="P69" s="226"/>
      <c r="Q69" s="223"/>
    </row>
    <row r="70" spans="2:41" ht="18.75" customHeight="1" x14ac:dyDescent="0.25">
      <c r="B70" s="225"/>
      <c r="C70" s="226"/>
      <c r="D70" s="226"/>
      <c r="E70" s="226"/>
      <c r="F70" s="226"/>
      <c r="G70" s="226"/>
      <c r="H70" s="226"/>
      <c r="I70" s="226"/>
      <c r="J70" s="226"/>
      <c r="K70" s="226"/>
      <c r="L70" s="226"/>
      <c r="M70" s="226"/>
      <c r="N70" s="226"/>
      <c r="O70" s="226"/>
      <c r="P70" s="226"/>
      <c r="Q70" s="223"/>
      <c r="AO70" s="29"/>
    </row>
    <row r="71" spans="2:41" ht="18" customHeight="1" x14ac:dyDescent="0.25">
      <c r="B71" s="222" t="s">
        <v>1084</v>
      </c>
      <c r="C71" s="222"/>
      <c r="D71" s="222"/>
      <c r="E71" s="222"/>
      <c r="F71" s="222"/>
      <c r="G71" s="222"/>
      <c r="H71" s="222"/>
      <c r="I71" s="222"/>
      <c r="J71" s="222"/>
      <c r="K71" s="222"/>
      <c r="L71" s="222"/>
      <c r="M71" s="222"/>
      <c r="N71" s="222"/>
      <c r="O71" s="222"/>
      <c r="P71" s="222"/>
      <c r="Q71" s="151"/>
    </row>
    <row r="72" spans="2:41" x14ac:dyDescent="0.25">
      <c r="B72" s="7"/>
      <c r="Q72" s="7"/>
    </row>
    <row r="73" spans="2:41" x14ac:dyDescent="0.25">
      <c r="B73" s="7"/>
      <c r="Q73" s="7"/>
    </row>
    <row r="74" spans="2:41" x14ac:dyDescent="0.25">
      <c r="B74" s="7"/>
    </row>
    <row r="75" spans="2:41" x14ac:dyDescent="0.25">
      <c r="B75" s="7"/>
    </row>
    <row r="76" spans="2:41" x14ac:dyDescent="0.25">
      <c r="B76" s="7"/>
    </row>
    <row r="77" spans="2:41" x14ac:dyDescent="0.25">
      <c r="B77" s="7"/>
    </row>
    <row r="78" spans="2:41" x14ac:dyDescent="0.25">
      <c r="B78" s="7"/>
    </row>
    <row r="79" spans="2:41" x14ac:dyDescent="0.25">
      <c r="B79" s="7"/>
    </row>
    <row r="80" spans="2:41" x14ac:dyDescent="0.25">
      <c r="B80" s="7"/>
    </row>
    <row r="81" spans="2:2" x14ac:dyDescent="0.25">
      <c r="B81" s="7"/>
    </row>
    <row r="82" spans="2:2" x14ac:dyDescent="0.25">
      <c r="B82" s="7"/>
    </row>
    <row r="83" spans="2:2" x14ac:dyDescent="0.25">
      <c r="B83" s="7"/>
    </row>
    <row r="84" spans="2:2" x14ac:dyDescent="0.25">
      <c r="B84" s="7"/>
    </row>
    <row r="85" spans="2:2" x14ac:dyDescent="0.25">
      <c r="B85" s="7"/>
    </row>
    <row r="100" spans="41:41" x14ac:dyDescent="0.25">
      <c r="AO100" s="29"/>
    </row>
    <row r="130" spans="41:41" x14ac:dyDescent="0.25">
      <c r="AO130" s="29"/>
    </row>
    <row r="160" spans="41:41" x14ac:dyDescent="0.25">
      <c r="AO160" s="29"/>
    </row>
    <row r="190" spans="41:41" x14ac:dyDescent="0.25">
      <c r="AO190" s="29"/>
    </row>
    <row r="220" spans="41:41" x14ac:dyDescent="0.25">
      <c r="AO220" s="29"/>
    </row>
    <row r="250" spans="41:41" x14ac:dyDescent="0.25">
      <c r="AO250" s="29"/>
    </row>
    <row r="280" spans="41:41" x14ac:dyDescent="0.25">
      <c r="AO280" s="29"/>
    </row>
    <row r="310" spans="41:41" x14ac:dyDescent="0.25">
      <c r="AO310" s="29"/>
    </row>
    <row r="340" spans="41:41" x14ac:dyDescent="0.25">
      <c r="AO340" s="29"/>
    </row>
    <row r="370" spans="41:41" x14ac:dyDescent="0.25">
      <c r="AO370" s="29"/>
    </row>
    <row r="400" spans="41:41" x14ac:dyDescent="0.25">
      <c r="AO400" s="29"/>
    </row>
    <row r="430" spans="41:41" x14ac:dyDescent="0.25">
      <c r="AO430" s="29"/>
    </row>
    <row r="460" spans="41:41" x14ac:dyDescent="0.25">
      <c r="AO460" s="29"/>
    </row>
    <row r="486" spans="41:41" ht="15" customHeight="1" x14ac:dyDescent="0.25"/>
    <row r="490" spans="41:41" x14ac:dyDescent="0.25">
      <c r="AO490" s="29"/>
    </row>
  </sheetData>
  <sheetProtection algorithmName="SHA-512" hashValue="WrscGJTwq9fxV4oEvlHiuRFVUL1YaE3sgx7GMe6/MJ7EwUsI2OHN+ZNHyJ1lFbQGtLvO+aRSEgoFu29nd89WGw==" saltValue="u/7PfIyWJWptVNN9ymxnUA==" spinCount="100000" sheet="1" objects="1" scenarios="1" selectLockedCells="1"/>
  <mergeCells count="6">
    <mergeCell ref="C2:Q2"/>
    <mergeCell ref="B71:P71"/>
    <mergeCell ref="Q3:Q70"/>
    <mergeCell ref="C3:P3"/>
    <mergeCell ref="B3:B70"/>
    <mergeCell ref="C69:P70"/>
  </mergeCells>
  <conditionalFormatting sqref="J7:J68">
    <cfRule type="expression" dxfId="2" priority="3">
      <formula>IF(J7&lt;&gt;"",TRUE,FALSE)</formula>
    </cfRule>
  </conditionalFormatting>
  <conditionalFormatting sqref="K7:K68">
    <cfRule type="expression" dxfId="1" priority="2">
      <formula>IF(J7&lt;&gt;"",TRUE,FALSE)</formula>
    </cfRule>
  </conditionalFormatting>
  <conditionalFormatting sqref="L7:M68">
    <cfRule type="expression" dxfId="0" priority="1">
      <formula>IF(J7&lt;&gt;"",TRUE,FALSE)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888A67-40CB-4B10-B34D-059240DC4C82}">
          <x14:formula1>
            <xm:f>'ZIPs &amp; FIPs DB Code'!$Q$4:$Q$39</xm:f>
          </x14:formula1>
          <xm:sqref>H15:H68</xm:sqref>
        </x14:dataValidation>
        <x14:dataValidation type="list" allowBlank="1" showInputMessage="1" showErrorMessage="1" xr:uid="{94A5FF28-D9F6-454D-B97E-A595EB7AB9F2}">
          <x14:formula1>
            <xm:f>'ZIPs &amp; FIPs DB Code'!$P$4:$P$5</xm:f>
          </x14:formula1>
          <xm:sqref>F7</xm:sqref>
        </x14:dataValidation>
        <x14:dataValidation type="list" allowBlank="1" showInputMessage="1" showErrorMessage="1" xr:uid="{40DDB9FC-B4A0-4979-BE9B-C9C0BB1075C6}">
          <x14:formula1>
            <xm:f>IF($F$7="County",'ZIPs &amp; FIPs DB Code'!$Q$4:$Q$39,IF($F$7="City",'ZIPs &amp; FIPs DB Code'!$R$4:$R$384,""))</xm:f>
          </x14:formula1>
          <xm:sqref>H7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0D78-9211-449F-AD04-9CDB57B7D67E}">
  <sheetPr codeName="Sheet4"/>
  <dimension ref="A1:BE1004"/>
  <sheetViews>
    <sheetView zoomScale="90" zoomScaleNormal="90" workbookViewId="0">
      <pane xSplit="9" ySplit="21" topLeftCell="U22" activePane="bottomRight" state="frozen"/>
      <selection pane="topRight" activeCell="J1" sqref="J1"/>
      <selection pane="bottomLeft" activeCell="A22" sqref="A22"/>
      <selection pane="bottomRight" activeCell="C5" sqref="C5"/>
    </sheetView>
  </sheetViews>
  <sheetFormatPr defaultRowHeight="15" x14ac:dyDescent="0.25"/>
  <cols>
    <col min="1" max="1" width="9.140625" style="7"/>
    <col min="2" max="4" width="25.7109375" style="7" customWidth="1"/>
    <col min="5" max="5" width="11.140625" style="7" customWidth="1"/>
    <col min="6" max="6" width="5.5703125" style="7" customWidth="1"/>
    <col min="7" max="7" width="14.42578125" style="7" customWidth="1"/>
    <col min="8" max="8" width="4.85546875" style="7" customWidth="1"/>
    <col min="9" max="9" width="14.42578125" style="7" customWidth="1"/>
    <col min="10" max="10" width="10.7109375" style="7" customWidth="1"/>
    <col min="11" max="11" width="38.7109375" style="8" customWidth="1"/>
    <col min="12" max="12" width="54.85546875" style="8" customWidth="1"/>
    <col min="13" max="13" width="17.5703125" style="7" customWidth="1"/>
    <col min="14" max="14" width="17.5703125" style="9" customWidth="1"/>
    <col min="15" max="15" width="10.28515625" style="7" customWidth="1"/>
    <col min="16" max="16" width="14.5703125" style="9" customWidth="1"/>
    <col min="17" max="17" width="4.85546875" style="7" customWidth="1"/>
    <col min="18" max="18" width="14.7109375" style="10" bestFit="1" customWidth="1"/>
    <col min="19" max="19" width="57.140625" style="7" customWidth="1"/>
    <col min="20" max="20" width="7.7109375" style="7" customWidth="1"/>
    <col min="21" max="21" width="111.42578125" style="7" customWidth="1"/>
    <col min="22" max="22" width="25.5703125" style="7" customWidth="1"/>
    <col min="23" max="23" width="13.85546875" style="7" customWidth="1"/>
    <col min="24" max="24" width="16.85546875" style="7" customWidth="1"/>
    <col min="25" max="25" width="5.5703125" style="7" customWidth="1"/>
    <col min="26" max="26" width="8.7109375" style="7" customWidth="1"/>
    <col min="27" max="27" width="11.5703125" style="7" customWidth="1"/>
    <col min="28" max="35" width="16.7109375" style="7" customWidth="1"/>
    <col min="36" max="43" width="40.7109375" style="7" customWidth="1"/>
    <col min="44" max="44" width="6.5703125" style="7" customWidth="1"/>
    <col min="45" max="45" width="9.7109375" style="7" customWidth="1"/>
    <col min="46" max="46" width="8.28515625" style="7" customWidth="1"/>
    <col min="47" max="47" width="27.85546875" style="7" customWidth="1"/>
    <col min="48" max="48" width="6.42578125" style="7" customWidth="1"/>
    <col min="49" max="49" width="6.5703125" style="7" customWidth="1"/>
    <col min="50" max="50" width="9.7109375" style="7" customWidth="1"/>
    <col min="51" max="51" width="8.28515625" style="7" customWidth="1"/>
    <col min="52" max="52" width="21.5703125" style="7" customWidth="1"/>
    <col min="53" max="53" width="6.7109375" style="7" customWidth="1"/>
    <col min="54" max="54" width="6" style="7" customWidth="1"/>
    <col min="55" max="57" width="9.140625" style="7"/>
  </cols>
  <sheetData>
    <row r="1" spans="1:44" x14ac:dyDescent="0.25">
      <c r="G1" s="104"/>
    </row>
    <row r="2" spans="1:44" x14ac:dyDescent="0.25">
      <c r="B2" s="7" t="s">
        <v>812</v>
      </c>
      <c r="C2" s="7" t="str">
        <f>IFERROR(IF(OR('SSP APD AAA Branches'!I6="",H7=""),"",""&amp;COUNT(H7:H18)&amp;" Result"&amp;IF(COUNT(H7:H18)=1,"","s")&amp;""),"")</f>
        <v/>
      </c>
      <c r="G2" s="104"/>
      <c r="J2" s="8"/>
      <c r="L2" s="7"/>
      <c r="M2" s="9"/>
      <c r="N2" s="7"/>
      <c r="O2" s="9"/>
      <c r="P2" s="7"/>
      <c r="Q2" s="10"/>
      <c r="R2" s="7"/>
    </row>
    <row r="3" spans="1:44" x14ac:dyDescent="0.25">
      <c r="B3" s="7" t="s">
        <v>1165</v>
      </c>
      <c r="C3" s="7" t="str">
        <f ca="1">IF(AND(IF(AND(LEN('SSP APD AAA Branches'!I6)=5,LEFT('SSP APD AAA Branches'!I6,1)="9"),TRUE,FALSE)=TRUE,COUNT(H7:H18)&gt;2),"There are multiple offices associated with this zip code.  Be sure to inquire with the customer which office is most conveniently located for them.","")</f>
        <v/>
      </c>
      <c r="D3" s="7" t="str">
        <f ca="1">IF(AND(IF(AND(LEN('SSP APD AAA Branches'!I6)=5,LEFT('SSP APD AAA Branches'!I6,1)="9"),TRUE,FALSE)=TRUE,COUNT(H7:H18)&gt;2),"There are multiple offices associated with this zip code.  Be sure to inquire with the customer which office is most conveniently located for them.",IF(OR(T6=2,T7=2),"For refugee case hand-offs, please send case information to 1404.refugeebranch@odhsoha.oregon.gov",""))</f>
        <v/>
      </c>
      <c r="E3" s="7" t="str">
        <f>""</f>
        <v/>
      </c>
      <c r="H3" s="88" t="s">
        <v>960</v>
      </c>
      <c r="I3" s="11"/>
      <c r="J3" s="8"/>
      <c r="K3" s="7"/>
      <c r="L3" s="7"/>
      <c r="M3" s="9"/>
      <c r="N3" s="7"/>
      <c r="O3" s="9"/>
      <c r="P3" s="7"/>
      <c r="Q3" s="10"/>
      <c r="R3" s="7"/>
    </row>
    <row r="4" spans="1:44" x14ac:dyDescent="0.25">
      <c r="B4" s="7" t="s">
        <v>813</v>
      </c>
      <c r="C4" s="7" t="s">
        <v>1885</v>
      </c>
      <c r="D4" s="61"/>
      <c r="G4" s="66"/>
      <c r="H4" s="12" t="s">
        <v>1</v>
      </c>
      <c r="I4" s="12" t="s">
        <v>2</v>
      </c>
      <c r="J4" s="12" t="s">
        <v>3</v>
      </c>
      <c r="K4" s="13" t="s">
        <v>4</v>
      </c>
      <c r="L4" s="13" t="s">
        <v>5</v>
      </c>
      <c r="M4" s="13" t="s">
        <v>6</v>
      </c>
      <c r="N4" s="13" t="s">
        <v>7</v>
      </c>
      <c r="O4" s="12" t="s">
        <v>8</v>
      </c>
      <c r="P4" s="14" t="s">
        <v>9</v>
      </c>
      <c r="Q4" s="12" t="s">
        <v>10</v>
      </c>
      <c r="R4" s="14" t="s">
        <v>11</v>
      </c>
      <c r="S4" s="12" t="s">
        <v>12</v>
      </c>
      <c r="T4" s="12" t="s">
        <v>13</v>
      </c>
      <c r="U4" s="12" t="s">
        <v>14</v>
      </c>
      <c r="V4" s="12" t="s">
        <v>15</v>
      </c>
      <c r="W4" s="12" t="s">
        <v>16</v>
      </c>
      <c r="X4" s="12" t="s">
        <v>17</v>
      </c>
      <c r="Y4" s="12" t="s">
        <v>18</v>
      </c>
      <c r="Z4" s="12" t="s">
        <v>19</v>
      </c>
      <c r="AA4" s="12" t="s">
        <v>20</v>
      </c>
      <c r="AB4" s="15" t="s">
        <v>698</v>
      </c>
      <c r="AC4" s="15" t="s">
        <v>700</v>
      </c>
      <c r="AD4" s="15" t="s">
        <v>699</v>
      </c>
      <c r="AE4" s="15" t="s">
        <v>712</v>
      </c>
      <c r="AF4" s="15" t="s">
        <v>713</v>
      </c>
      <c r="AG4" s="15" t="s">
        <v>779</v>
      </c>
      <c r="AH4" s="15" t="s">
        <v>783</v>
      </c>
      <c r="AI4" s="15" t="s">
        <v>787</v>
      </c>
      <c r="AJ4" s="15" t="s">
        <v>701</v>
      </c>
      <c r="AK4" s="15" t="s">
        <v>702</v>
      </c>
      <c r="AL4" s="15" t="s">
        <v>703</v>
      </c>
      <c r="AM4" s="15" t="s">
        <v>714</v>
      </c>
      <c r="AN4" s="15" t="s">
        <v>715</v>
      </c>
      <c r="AO4" s="15" t="s">
        <v>778</v>
      </c>
      <c r="AP4" s="15" t="s">
        <v>782</v>
      </c>
      <c r="AQ4" s="15" t="s">
        <v>1568</v>
      </c>
    </row>
    <row r="5" spans="1:44" x14ac:dyDescent="0.25">
      <c r="B5" s="88" t="s">
        <v>959</v>
      </c>
      <c r="H5" s="15"/>
      <c r="I5" s="15" t="s">
        <v>21</v>
      </c>
      <c r="J5" s="15" t="s">
        <v>22</v>
      </c>
      <c r="K5" s="16" t="s">
        <v>23</v>
      </c>
      <c r="L5" s="16" t="s">
        <v>24</v>
      </c>
      <c r="M5" s="17" t="s">
        <v>25</v>
      </c>
      <c r="N5" s="17" t="s">
        <v>26</v>
      </c>
      <c r="O5" s="18" t="s">
        <v>27</v>
      </c>
      <c r="P5" s="19" t="s">
        <v>28</v>
      </c>
      <c r="Q5" s="18" t="s">
        <v>29</v>
      </c>
      <c r="R5" s="19" t="s">
        <v>30</v>
      </c>
      <c r="S5" s="18" t="s">
        <v>31</v>
      </c>
      <c r="T5" s="18" t="s">
        <v>32</v>
      </c>
      <c r="U5" s="18" t="s">
        <v>33</v>
      </c>
      <c r="V5" s="18" t="s">
        <v>34</v>
      </c>
      <c r="W5" s="18" t="s">
        <v>35</v>
      </c>
      <c r="X5" s="18" t="s">
        <v>36</v>
      </c>
      <c r="Y5" s="18" t="s">
        <v>37</v>
      </c>
      <c r="Z5" s="18" t="s">
        <v>38</v>
      </c>
      <c r="AA5" s="18" t="s">
        <v>39</v>
      </c>
      <c r="AB5" s="41" t="s">
        <v>704</v>
      </c>
      <c r="AC5" s="41" t="s">
        <v>705</v>
      </c>
      <c r="AD5" s="41" t="s">
        <v>706</v>
      </c>
      <c r="AE5" s="41" t="s">
        <v>707</v>
      </c>
      <c r="AF5" s="41" t="s">
        <v>708</v>
      </c>
      <c r="AG5" s="41" t="s">
        <v>709</v>
      </c>
      <c r="AH5" s="45" t="s">
        <v>716</v>
      </c>
      <c r="AI5" s="45" t="s">
        <v>717</v>
      </c>
      <c r="AJ5" s="41" t="s">
        <v>718</v>
      </c>
      <c r="AK5" s="41" t="s">
        <v>719</v>
      </c>
      <c r="AL5" s="41" t="s">
        <v>780</v>
      </c>
      <c r="AM5" s="45" t="s">
        <v>784</v>
      </c>
      <c r="AN5" s="45" t="s">
        <v>785</v>
      </c>
      <c r="AO5" s="45" t="s">
        <v>786</v>
      </c>
      <c r="AP5" s="45" t="s">
        <v>841</v>
      </c>
      <c r="AQ5" s="45" t="s">
        <v>842</v>
      </c>
    </row>
    <row r="6" spans="1:44" x14ac:dyDescent="0.25">
      <c r="B6" s="10" t="s">
        <v>41</v>
      </c>
      <c r="C6" s="10" t="s">
        <v>42</v>
      </c>
      <c r="D6" s="87" t="s">
        <v>1213</v>
      </c>
      <c r="E6" s="7" t="s">
        <v>1212</v>
      </c>
      <c r="H6" s="15" t="str">
        <f>""</f>
        <v/>
      </c>
      <c r="I6" s="20" t="str">
        <f>IF(ISNA(VLOOKUP('SSP APD AAA Branches'!$I$6,$I$22:$AA$127,1,FALSE))
        =TRUE,
           "",
           VLOOKUP('SSP APD AAA Branches'!$I$6,$I$22:$AA$127,1,FALSE))</f>
        <v/>
      </c>
      <c r="J6" s="20" t="str">
        <f>IF(ISNA(VLOOKUP('SSP APD AAA Branches'!$I$6,$I$22:$AA$127,2,FALSE))
        =TRUE,
           "",
           VLOOKUP('SSP APD AAA Branches'!$I$6,$I$22:$AA$127,2,FALSE))</f>
        <v/>
      </c>
      <c r="K6" s="20" t="str">
        <f>IF(ISNA(VLOOKUP('SSP APD AAA Branches'!$I$6,$I$22:$AA$127,3,FALSE))
        =TRUE,
          "",
          VLOOKUP('SSP APD AAA Branches'!$I$6,$I$22:$AA$127,3,FALSE))</f>
        <v/>
      </c>
      <c r="L6" s="20" t="str">
        <f>IF(ISNA(VLOOKUP('SSP APD AAA Branches'!$I$6,$I$22:$AA$127,4,FALSE))=TRUE,"",VLOOKUP('SSP APD AAA Branches'!$I$6,$I$22:$AA$127,4,FALSE))</f>
        <v/>
      </c>
      <c r="M6" s="17" t="str">
        <f>IF(ISNA(VLOOKUP('SSP APD AAA Branches'!$I$6,$I$22:$AA$127,5,FALSE))=TRUE,"",VLOOKUP('SSP APD AAA Branches'!$I$6,$I$22:$AA$127,5,FALSE))</f>
        <v/>
      </c>
      <c r="N6" s="17" t="str">
        <f>IF(ISNA(VLOOKUP('SSP APD AAA Branches'!$I$6,$I$22:$AA$127,6,FALSE))=TRUE,"",VLOOKUP('SSP APD AAA Branches'!$I$6,$I$22:$AA$127,6,FALSE))</f>
        <v/>
      </c>
      <c r="O6" s="20" t="str">
        <f>IF(ISNA(VLOOKUP('SSP APD AAA Branches'!$I$6,$I$22:$AA$127,7,FALSE))=TRUE,"",VLOOKUP('SSP APD AAA Branches'!$I$6,$I$22:$AA$127,7,FALSE))</f>
        <v/>
      </c>
      <c r="P6" s="19" t="str">
        <f>IF(ISNA(VLOOKUP('SSP APD AAA Branches'!$I$6,$I$22:$AA$127,8,FALSE))=TRUE,"",VLOOKUP('SSP APD AAA Branches'!$I$6,$I$22:$AA$127,8,FALSE))</f>
        <v/>
      </c>
      <c r="Q6" s="18" t="str">
        <f>IF(ISNA(VLOOKUP('SSP APD AAA Branches'!$I$6,$I$22:$AA$127,9,FALSE))=TRUE,"",VLOOKUP('SSP APD AAA Branches'!$I$6,$I$22:$AA$127,9,FALSE))</f>
        <v/>
      </c>
      <c r="R6" s="19" t="str">
        <f>IF(ISNA(VLOOKUP('SSP APD AAA Branches'!$I$6,$I$22:$AA$127,10,FALSE))=TRUE,"",VLOOKUP('SSP APD AAA Branches'!$I$6,$I$22:$AA$127,10,FALSE))</f>
        <v/>
      </c>
      <c r="S6" s="20" t="e">
        <f>IF(VLOOKUP('SSP APD AAA Branches'!$I$6,$I$22:$AA$127,11,FALSE)
       ="",
         "No Case Transfer Email has been Submitted.",
         IF(ISNA(VLOOKUP('SSP APD AAA Branches'!$I$6,$I$22:$AA$127,11,FALSE))
             =TRUE,
                "",
                VLOOKUP('SSP APD AAA Branches'!$I$6,$I$22:$AA$127,11,FALSE)))</f>
        <v>#N/A</v>
      </c>
      <c r="T6" s="21" t="str">
        <f>IF(ISNA(VLOOKUP('SSP APD AAA Branches'!$I$6,$I$22:$AA$127,12,FALSE))=TRUE,"",VLOOKUP('SSP APD AAA Branches'!$I$6,$I$22:$AA$127,12,FALSE))</f>
        <v/>
      </c>
      <c r="U6" s="20" t="str">
        <f>IF(ISNA(VLOOKUP('SSP APD AAA Branches'!$I$6,$I$22:$AA$127,13,FALSE))=TRUE,"",VLOOKUP('SSP APD AAA Branches'!$I$6,$I$22:$AA$127,13,FALSE))</f>
        <v/>
      </c>
      <c r="V6" s="20" t="str">
        <f>IF(ISNA(VLOOKUP('SSP APD AAA Branches'!$I$6,$I$22:$AA$127,14,FALSE))=TRUE,"",VLOOKUP('SSP APD AAA Branches'!$I$6,$I$22:$AA$127,14,FALSE))</f>
        <v/>
      </c>
      <c r="W6" s="20" t="str">
        <f>IF(ISNA(VLOOKUP('SSP APD AAA Branches'!$I$6,$I$22:$AA$127,15,FALSE))=TRUE,"",IF(VLOOKUP('SSP APD AAA Branches'!$I$6,$I$22:$AA$127,15,FALSE)=0,"",VLOOKUP('SSP APD AAA Branches'!$I$6,$I$22:$AA$127,15,FALSE)))</f>
        <v/>
      </c>
      <c r="X6" s="20" t="str">
        <f>IF(ISNA(VLOOKUP('SSP APD AAA Branches'!$I$6,$I$22:$AA$127,16,FALSE))=TRUE,"",VLOOKUP('SSP APD AAA Branches'!$I$6,$I$22:$AA$127,16,FALSE))</f>
        <v/>
      </c>
      <c r="Y6" s="20" t="str">
        <f>IF(ISNA(VLOOKUP('SSP APD AAA Branches'!$I$6,$I$22:$AA$127,17,FALSE))=TRUE,"",VLOOKUP('SSP APD AAA Branches'!$I$6,$I$22:$AA$127,17,FALSE))</f>
        <v/>
      </c>
      <c r="Z6" s="20" t="str">
        <f>IF(ISNA(VLOOKUP('SSP APD AAA Branches'!$I$6,$I$22:$AA$127,18,FALSE))=TRUE,"",VLOOKUP('SSP APD AAA Branches'!$I$6,$I$22:$AA$127,18,FALSE))</f>
        <v/>
      </c>
      <c r="AA6" s="20" t="str">
        <f>IF(ISNA(VLOOKUP('SSP APD AAA Branches'!$I$6,$I$22:$AA$127,19,FALSE))=TRUE,"",VLOOKUP('SSP APD AAA Branches'!$I$6,$I$22:$AA$127,19,FALSE))</f>
        <v/>
      </c>
      <c r="AB6" s="20" t="str">
        <f>IF(IF(ISNA(VLOOKUP('SSP APD AAA Branches'!$I$6,$I$22:$AQ$127,20,FALSE))=TRUE,"",VLOOKUP('SSP APD AAA Branches'!$I$6,$I$22:$AQ$127,20,FALSE))=0,"",IF(ISNA(VLOOKUP('SSP APD AAA Branches'!$I$6,$I$22:$AQ$127,20,FALSE))=TRUE,"",VLOOKUP('SSP APD AAA Branches'!$I$6,$I$22:$AQ$127,20,FALSE)))</f>
        <v/>
      </c>
      <c r="AC6" s="20" t="str">
        <f>IF(IF(ISNA(VLOOKUP('SSP APD AAA Branches'!$I$6,$I$22:$AQ$127,21,FALSE))=TRUE,"",VLOOKUP('SSP APD AAA Branches'!$I$6,$I$22:$AQ$127,21,FALSE))=0,"",IF(ISNA(VLOOKUP('SSP APD AAA Branches'!$I$6,$I$22:$AQ$127,21,FALSE))=TRUE,"",VLOOKUP('SSP APD AAA Branches'!$I$6,$I$22:$AQ$127,21,FALSE)))</f>
        <v/>
      </c>
      <c r="AD6" s="20" t="str">
        <f>IF(IF(ISNA(VLOOKUP('SSP APD AAA Branches'!$I$6,$I$22:$AQ$127,22,FALSE))=TRUE,"",VLOOKUP('SSP APD AAA Branches'!$I$6,$I$22:$AQ$127,22,FALSE))=0,"",IF(ISNA(VLOOKUP('SSP APD AAA Branches'!$I$6,$I$22:$AQ$127,22,FALSE))=TRUE,"",VLOOKUP('SSP APD AAA Branches'!$I$6,$I$22:$AQ$127,22,FALSE)))</f>
        <v/>
      </c>
      <c r="AE6" s="20" t="str">
        <f>IF(IF(ISNA(VLOOKUP('SSP APD AAA Branches'!$I$6,$I$22:$AQ$127,23,FALSE))=TRUE,"",VLOOKUP('SSP APD AAA Branches'!$I$6,$I$22:$AQ$127,23,FALSE))=0,"",IF(ISNA(VLOOKUP('SSP APD AAA Branches'!$I$6,$I$22:$AQ$127,23,FALSE))=TRUE,"",VLOOKUP('SSP APD AAA Branches'!$I$6,$I$22:$AQ$127,23,FALSE)))</f>
        <v/>
      </c>
      <c r="AF6" s="20" t="str">
        <f>IF(IF(ISNA(VLOOKUP('SSP APD AAA Branches'!$I$6,$I$22:$AQ$127,24,FALSE))=TRUE,"",VLOOKUP('SSP APD AAA Branches'!$I$6,$I$22:$AQ$127,24,FALSE))=0,"",IF(ISNA(VLOOKUP('SSP APD AAA Branches'!$I$6,$I$22:$AQ$127,24,FALSE))=TRUE,"",VLOOKUP('SSP APD AAA Branches'!$I$6,$I$22:$AQ$127,24,FALSE)))</f>
        <v/>
      </c>
      <c r="AG6" s="20" t="str">
        <f>IF(IF(ISNA(VLOOKUP('SSP APD AAA Branches'!$I$6,$I$22:$AQ$127,25,FALSE))=TRUE,"",VLOOKUP('SSP APD AAA Branches'!$I$6,$I$22:$AQ$127,25,FALSE))=0,"",IF(ISNA(VLOOKUP('SSP APD AAA Branches'!$I$6,$I$22:$AQ$127,25,FALSE))=TRUE,"",VLOOKUP('SSP APD AAA Branches'!$I$6,$I$22:$AQ$127,25,FALSE)))</f>
        <v/>
      </c>
      <c r="AH6" s="20" t="str">
        <f>IF(IF(ISNA(VLOOKUP('SSP APD AAA Branches'!$I$6,$I$22:$AQ$127,26,FALSE))=TRUE,"",VLOOKUP('SSP APD AAA Branches'!$I$6,$I$22:$AQ$127,26,FALSE))=0,"",IF(ISNA(VLOOKUP('SSP APD AAA Branches'!$I$6,$I$22:$AQ$127,26,FALSE))=TRUE,"",VLOOKUP('SSP APD AAA Branches'!$I$6,$I$22:$AQ$127,26,FALSE)))</f>
        <v/>
      </c>
      <c r="AI6" s="20" t="str">
        <f>IF(IF(ISNA(VLOOKUP('SSP APD AAA Branches'!$I$6,$I$22:$AQ$127,27,FALSE))=TRUE,"",VLOOKUP('SSP APD AAA Branches'!$I$6,$I$22:$AQ$127,27,FALSE))=0,"",IF(ISNA(VLOOKUP('SSP APD AAA Branches'!$I$6,$I$22:$AQ$127,27,FALSE))=TRUE,"",VLOOKUP('SSP APD AAA Branches'!$I$6,$I$22:$AQ$127,27,FALSE)))</f>
        <v/>
      </c>
      <c r="AJ6" s="20" t="str">
        <f>IF(IF(ISNA(VLOOKUP('SSP APD AAA Branches'!$I$6,$I$22:$AQ$127,28,FALSE))=TRUE,"",VLOOKUP('SSP APD AAA Branches'!$I$6,$I$22:$AQ$127,28,FALSE))=0,"",IF(ISNA(VLOOKUP('SSP APD AAA Branches'!$I$6,$I$22:$AQ$127,28,FALSE))=TRUE,"",VLOOKUP('SSP APD AAA Branches'!$I$6,$I$22:$AQ$127,28,FALSE)))</f>
        <v/>
      </c>
      <c r="AK6" s="20" t="str">
        <f>IF(IF(ISNA(VLOOKUP('SSP APD AAA Branches'!$I$6,$I$22:$AQ$127,29,FALSE))=TRUE,"",VLOOKUP('SSP APD AAA Branches'!$I$6,$I$22:$AQ$127,29,FALSE))=0,"",IF(ISNA(VLOOKUP('SSP APD AAA Branches'!$I$6,$I$22:$AQ$127,29,FALSE))=TRUE,"",VLOOKUP('SSP APD AAA Branches'!$I$6,$I$22:$AQ$127,29,FALSE)))</f>
        <v/>
      </c>
      <c r="AL6" s="20" t="str">
        <f>IF(IF(ISNA(VLOOKUP('SSP APD AAA Branches'!$I$6,$I$22:$AQ$127,30,FALSE))=TRUE,"",VLOOKUP('SSP APD AAA Branches'!$I$6,$I$22:$AQ$127,30,FALSE))=0,"",IF(ISNA(VLOOKUP('SSP APD AAA Branches'!$I$6,$I$22:$AQ$127,30,FALSE))=TRUE,"",VLOOKUP('SSP APD AAA Branches'!$I$6,$I$22:$AQ$127,30,FALSE)))</f>
        <v/>
      </c>
      <c r="AM6" s="20" t="str">
        <f>IF(IF(ISNA(VLOOKUP('SSP APD AAA Branches'!$I$6,$I$22:$AQ$127,31,FALSE))=TRUE,"",VLOOKUP('SSP APD AAA Branches'!$I$6,$I$22:$AQ$127,31,FALSE))=0,"",IF(ISNA(VLOOKUP('SSP APD AAA Branches'!$I$6,$I$22:$AQ$127,31,FALSE))=TRUE,"",VLOOKUP('SSP APD AAA Branches'!$I$6,$I$22:$AQ$127,31,FALSE)))</f>
        <v/>
      </c>
      <c r="AN6" s="20" t="str">
        <f>IF(IF(ISNA(VLOOKUP('SSP APD AAA Branches'!$I$6,$I$22:$AQ$127,32,FALSE))=TRUE,"",VLOOKUP('SSP APD AAA Branches'!$I$6,$I$22:$AQ$127,32,FALSE))=0,"",IF(ISNA(VLOOKUP('SSP APD AAA Branches'!$I$6,$I$22:$AQ$127,32,FALSE))=TRUE,"",VLOOKUP('SSP APD AAA Branches'!$I$6,$I$22:$AQ$127,32,FALSE)))</f>
        <v/>
      </c>
      <c r="AO6" s="20" t="str">
        <f>IF(IF(ISNA(VLOOKUP('SSP APD AAA Branches'!$I$6,$I$22:$AQ$127,33,FALSE))=TRUE,"",VLOOKUP('SSP APD AAA Branches'!$I$6,$I$22:$AQ$127,33,FALSE))=0,"",IF(ISNA(VLOOKUP('SSP APD AAA Branches'!$I$6,$I$22:$AQ$127,33,FALSE))=TRUE,"",VLOOKUP('SSP APD AAA Branches'!$I$6,$I$22:$AQ$127,33,FALSE)))</f>
        <v/>
      </c>
      <c r="AP6" s="20" t="str">
        <f>IF(IF(ISNA(VLOOKUP('SSP APD AAA Branches'!$I$6,$I$22:$AQ$127,34,FALSE))=TRUE,"",VLOOKUP('SSP APD AAA Branches'!$I$6,$I$22:$AQ$127,34,FALSE))=0,"",IF(ISNA(VLOOKUP('SSP APD AAA Branches'!$I$6,$I$22:$AQ$127,34,FALSE))=TRUE,"",VLOOKUP('SSP APD AAA Branches'!$I$6,$I$22:$AQ$127,34,FALSE)))</f>
        <v/>
      </c>
      <c r="AQ6" s="20" t="str">
        <f>IF(IF(ISNA(VLOOKUP('SSP APD AAA Branches'!$I$6,$I$22:$AQ$127,35,FALSE))
             =TRUE,
                "",
                VLOOKUP('SSP APD AAA Branches'!$I$6,$I$22:$AQ$127,35,FALSE))
        =0,
          "",
          IF(ISNA(VLOOKUP('SSP APD AAA Branches'!$I$6,$I$22:$AQ$127,35,FALSE))
               =TRUE,
                 "",
                 VLOOKUP('SSP APD AAA Branches'!$I$6,$I$22:$AQ$127,35,FALSE)))</f>
        <v/>
      </c>
      <c r="AR6" s="7" t="s">
        <v>672</v>
      </c>
    </row>
    <row r="7" spans="1:44" x14ac:dyDescent="0.25">
      <c r="A7" s="7">
        <v>1</v>
      </c>
      <c r="B7" s="22" t="str">
        <f>IF(AND(I6="",I7=""),
        "",
        IF('SSP APD AAA Branches'!$I$6
             ="",
               "",
               IF(I6
                    ="",
                      ""&amp;L7&amp;""&amp;J7&amp;" "&amp;K7&amp;""&amp;CHAR(10)&amp;""&amp;V7&amp;" "&amp;W7&amp;""&amp;CHAR(10)&amp;""&amp;X7&amp;", "&amp;Y7&amp;" "&amp;Z7&amp;""&amp;CHAR(10)&amp;""&amp;AA7&amp;" County"&amp;CHAR(10)&amp;"District "&amp;T7&amp;"",
                      ""&amp;L6&amp;""&amp;J6&amp;" "&amp;K6&amp;""&amp;CHAR(10)&amp;""&amp;V6&amp;" "&amp;W6&amp;""&amp;CHAR(10)&amp;""&amp;X6&amp;", "&amp;Y6&amp;" "&amp;Z6&amp;""&amp;CHAR(10)&amp;""&amp;AA6&amp;" County"&amp;CHAR(10)&amp;"District "&amp;T6&amp;"")))</f>
        <v/>
      </c>
      <c r="C7" s="15" t="str">
        <f>IF('SSP APD AAA Branches'!$I$6
        ="",
          "",
          IF(I6
               ="",
                 IF(ISNA("Phone Number: "&amp;TEXT(P7,"(000) 000-0000")&amp;""&amp;CHAR(10)&amp;"Fax Number: "&amp;TEXT(R7,"(000) 000-0000")&amp;""&amp;CHAR(10)&amp;"Case Transfer Email: "&amp;S7&amp;""&amp;CHAR(10)&amp;"Office 
                      Hours: " &amp;TEXT(M7,"H:MM AM/PM")&amp;" - "&amp;TEXT(N7,"H:MM AM/PM")&amp;" "&amp;O7&amp;""&amp;CHAR(10)&amp;"Assigned Zip Codes: "&amp;U7&amp;"")
                      =TRUE,
                         "",
                         "Phone Number: "&amp;TEXT(P7,"(000) 000-0000")&amp;""&amp;CHAR(10)&amp;"Fax Number: "&amp;TEXT(R7,"(000) 000-0000")&amp;""&amp;CHAR(10)&amp;"Case Transfer Email: "&amp;S7&amp;""&amp;CHAR(10)&amp;"Office Hours: "
                              &amp;TEXT(M7,"H:MM AM/PM")&amp;" - "&amp;TEXT(N7,"H:MM AM/PM")&amp;" "&amp;O7&amp;""&amp;CHAR(10)&amp;"Assigned Zip Codes: "&amp;U7&amp;""),
                         "Phone Number: "&amp;TEXT(P6,"(000) 000-0000")&amp;""&amp;CHAR(10)&amp;"Fax Number: "&amp;TEXT(R6,"(000) 000-0000")&amp;""&amp;CHAR(10)&amp;"Case Transfer Email: "&amp;S6&amp;""&amp;CHAR(10)&amp;"Office Hours: "
                              &amp;TEXT(M6,"H:MM AM/PM")&amp;" - "&amp;TEXT(N6,"H:MM AM/PM")&amp;" "&amp;O6&amp;""&amp;CHAR(10)&amp;""&amp;IF(U6
                                                                                                                                                                                                                          =0,
                                                                                                                                                                                                                            "",
                                                                                                                                                                                                                            "Assigned Zip Codes: "&amp;U6&amp;"")
                              &amp;""))</f>
        <v/>
      </c>
      <c r="D7" s="35" t="str">
        <f>IF('SSP APD AAA Branches'!$I$6
        ="",
          "",
          IF(I6
               ="",
                 IF(ISNA(""&amp;AB6&amp;" - "&amp;AJ6&amp;""&amp;CHAR(10)&amp;""&amp;AC6&amp;" - "&amp;AK6&amp;""&amp;CHAR(10)&amp;""&amp;AD6&amp;" - "&amp;AL6&amp;""&amp;CHAR(10)&amp;""&amp;AE6&amp;" - "&amp;AM6&amp;""&amp;CHAR(10)&amp;""&amp;AF6&amp;" - "&amp;AN6&amp;"")
                      =TRUE,
                         "",
                         ""&amp;AB7&amp;""&amp;IF(AJ7
                                                        ="",
                                                          "",
                                                          " | ")
                                  &amp;""&amp;AJ7&amp;""&amp;CHAR(10)&amp;""&amp;AC7&amp;""&amp;IF(AK7
                                                                                                                    ="",
                                                                                                                      "",
                                                                                                                      " | ")
                                  &amp;""&amp;AK7&amp;""&amp;CHAR(10)&amp;""&amp;AD7&amp;""&amp;IF(AL7
                                                                                                                      ="",
                                                                                                                        "",
                                                                                                                        " | ")
                                  &amp;""&amp;AL7&amp;""&amp;CHAR(10)&amp;""&amp;AE7&amp;""&amp;IF(AM7
                                                                                                                    ="",
                                                                                                                      "",
                                                                                                                      " | ")
                                  &amp;""&amp;AM7&amp;""&amp;CHAR(10)&amp;""&amp;AF7&amp;""&amp;IF(AN7
                                                                                                                      ="",
                                                                                                                        "",
                                                                                                                        " | ")
                                  &amp;""&amp;AN7&amp;""&amp;CHAR(10)&amp;""&amp;AG7&amp;""&amp;IF(AO7
                                                                                                                      ="",
                                                                                                                        "",
                                                                                                                        " | ")
                                   &amp;""&amp;AO7&amp;""&amp;CHAR(10)&amp;""&amp;AH7&amp;""&amp;IF(AP7
                                                                                                                       ="",
                                                                                                                         "",
                                                                                                                         " | ")
                                   &amp;""&amp;AP7&amp;""&amp;CHAR(10)&amp;""&amp;AI7&amp;""&amp;IF(AQ7
                                                                                                                     ="",
                                                                                                                       "",
                                                                                                                       " | ")
                                   &amp;""&amp;AQ7&amp;""),
                         ""&amp;AB6&amp;""&amp;IF(AJ6
                                                        ="",
                                                           "",
                                                           " | ")
                                   &amp;""&amp;AJ6&amp;""&amp;CHAR(10)&amp;""&amp;AC6&amp;""&amp;IF(AK6
                                                                                                                     ="",
                                                                                                                       "",
                                                                                                                       " | ")
                                   &amp;""&amp;AK6&amp;""&amp;CHAR(10)&amp;""&amp;AD6&amp;""&amp;IF(AL6
                                                                                                                       ="",
                                                                                                                          "",
                                                                                                                          " | ")
                                  &amp;""&amp;AL6&amp;""&amp;CHAR(10)&amp;""&amp;AE6&amp;""&amp;IF(AM6
                                                                                                                    ="",
                                                                                                                      "",
                                                                                                                      " | ")
                                 &amp;""&amp;AM6&amp;""&amp;CHAR(10)&amp;""&amp;AF6&amp;""&amp;IF(AN6
                                                                                                                     ="",
                                                                                                                       "",
                                                                                                                       " | ")
                                 &amp;""&amp;AN6&amp;""&amp;CHAR(10)&amp;""&amp;AG6&amp;""&amp;IF(AO6
                                                                                                                     ="",
                                                                                                                       "",
                                                                                                                       " | ")
                                 &amp;""&amp;AO6&amp;""&amp;CHAR(10)&amp;""&amp;AH6&amp;""&amp;IF(AP6
                                                                                                                     ="",
                                                                                                                       "",
                                                                                                                       " | ")
                                 &amp;""&amp;AP6&amp;""&amp;CHAR(10)&amp;""&amp;AI6&amp;""&amp;IF(AQ6
                                                                                                                   ="",
                                                                                                                     "",
                                                                                                                     " | ")
                                 &amp;""&amp;AQ6&amp;""))</f>
        <v/>
      </c>
      <c r="E7" s="15" t="str">
        <f>IF('SSP APD AAA Branches'!$I$6
        ="",
          "",
          IF('SSP APD AAA DB Code'!I6
               ="",
                 IF(ISNA(HYPERLINK("mailto:"&amp;'SSP APD AAA DB Code'!S7&amp;"", "Click here to email"))
                      =TRUE,
                         "",
                         HYPERLINK("mailto:"&amp;'SSP APD AAA DB Code'!S7&amp;"", "Click here to email")),
                 HYPERLINK("mailto:"&amp;'SSP APD AAA DB Code'!S6&amp;"", "Click here to email")))</f>
        <v/>
      </c>
      <c r="F7" s="7" t="str">
        <f>""</f>
        <v/>
      </c>
      <c r="G7" s="37" t="str">
        <f>IF('SSP APD AAA Branches'!$I$6
    ="",
        "",
        IF('SSP APD AAA DB Code'!I6
           ="",
               IF(ISNA(HYPERLINK("https://teams.microsoft.com/l/chat/0/0?users="&amp;'SSP APD AAA DB Code'!AJ7&amp;","&amp;'SSP APD AAA DB Code'!AK7&amp;","&amp;'SSP APD AAA DB Code'!AL7&amp;","&amp;'SSP APD AAA DB Code'!AM7&amp;",
                       "&amp;'SSP APD AAA DB Code'!AN7&amp;","&amp;'SSP APD AAA DB Code'!AO7&amp;"","Click here to send group IM"))
                  =TRUE,
                        "",
                        IF('SSP APD AAA DB Code'!AB7
                           ="",
                               "",
                               HYPERLINK("https://teams.microsoft.com/l/chat/0/0?users="&amp;'SSP APD AAA DB Code'!AJ7&amp;","&amp;'SSP APD AAA DB Code'!AK7&amp;","&amp;'SSP APD AAA DB Code'!AL7&amp;","&amp;'SSP APD AAA DB Code'!AM7&amp;","&amp;'SSP APD AAA DB Code'!AN7&amp;","&amp;'SSP APD AAA DB Code'!AO7&amp;"","Click here to send group IM"))),
               IF('SSP APD AAA DB Code'!AB6
                  ="",
                      "",
                      HYPERLINK("https://teams.microsoft.com/l/chat/0/0?users="&amp;'SSP APD AAA DB Code'!AJ6&amp;","&amp;'SSP APD AAA DB Code'!AK6&amp;","&amp;'SSP APD AAA DB Code'!AL6&amp;","&amp;'SSP APD AAA DB Code'!AM6&amp;","&amp;'SSP APD AAA DB Code'!AN6&amp;","&amp;'SSP APD AAA DB Code'!AO6&amp;"","Click here to send group IM"))))</f>
        <v/>
      </c>
      <c r="H7" s="15" t="str">
        <f>IF(LEN('SSP APD AAA Branches'!$I$6)
        &lt;=2,
             IF(ISERROR(ROW(IF(ISNA(INDEX($I$22:$I$126,MATCH('SSP APD AAA Branches'!$I$6,$T$22:$T$126,0)))
                                                       =TRUE,
                                                         "",
                                                         INDEX($I$22:$I$126,MATCH('SSP APD AAA Branches'!$I$6,$T$22:$T$126,0)))))
                   =TRUE,
                      "",
                      ROW(IF(ISNA(INDEX($I$22:$I$126,MATCH('SSP APD AAA Branches'!$I$6,$T$22:$T$126,0)))
                                       =TRUE,
                                         "",
                                         INDEX($I$22:$I$126,MATCH('SSP APD AAA Branches'!$I$6,$T$22:$T$126,0))))),
             IF($I$6
                  ="",
                    ROW(IF(ISNA(INDEX($I$22:$I$126,MATCH("*"&amp;'SSP APD AAA Branches'!$I$6&amp;"*",$U$22:$U$126,0)))
                                     =FALSE,
                                       INDEX($I$22:$I$126,MATCH("*"&amp;'SSP APD AAA Branches'!$I$6&amp;"*",$U$22:$U$126,0)),
                                       IF(ISNA(INDEX($I$22:$I$126,MATCH("*"&amp;'SSP APD AAA Branches'!$I$6&amp;"*",$AA$22:$AA$126,0)))
                                            =FALSE,
                                              INDEX($I$22:$I$126,MATCH("*"&amp;'SSP APD AAA Branches'!$I$6&amp;"*",$AA$22:$AA$126,0)),
                                              IF(ISNA(INDEX($I$22:$I$126,MATCH("*"&amp;'SSP APD AAA Branches'!$I$6&amp;"*",$X$22:$X$126,0)))
                                                    =FALSE,
                                                       INDEX($I$22:$I$126,MATCH("*"&amp;'SSP APD AAA Branches'!$I$6&amp;"*",$X$22:$X$126,0)),
                                                       IF(ISNA(INDEX($I$22:$I$126,MATCH("*"&amp;'SSP APD AAA Branches'!$I$6&amp;"*",$L$22:$L$126,0)))
                                                            =FALSE,
                                                              INDEX($I$22:$I$126,MATCH("*"&amp;'SSP APD AAA Branches'!$I$6&amp;"*",$L$22:$L$126,0)),
                                                              ""))))),
                    ""))</f>
        <v/>
      </c>
      <c r="I7" s="23" t="str">
        <f>IF(LEN('SSP APD AAA Branches'!$I$6)
        &lt;=2,
             IF($I$6
                  ="",
                    IF(ISNA(INDEX($I$22:$I$126,MATCH('SSP APD AAA Branches'!$I$6,$T$22:$T$126,0)))
                         =TRUE,
                           "",
                           INDEX($I$22:$I$126,MATCH('SSP APD AAA Branches'!$I$6,$T$22:$T$126,0))),
                    ""),
             IF($I$6
                  ="",
                    IF(ISNA(INDEX($I$22:$I$126,MATCH("*"&amp;'SSP APD AAA Branches'!$I$6&amp;"*",$U$22:$U$126,0)))
                         =FALSE,
                           INDEX($I$22:$I$126,MATCH("*"&amp;'SSP APD AAA Branches'!$I$6&amp;"*",$U$22:$U$126,0)),
                           IF(ISNA(INDEX($I$22:$I$126,MATCH("*"&amp;'SSP APD AAA Branches'!$I$6&amp;"*",$AA$22:$AA$126,0)))
                                =FALSE,
                                  INDEX($I$22:$I$126,MATCH("*"&amp;'SSP APD AAA Branches'!$I$6&amp;"*",$AA$22:$AA$126,0)),
                                  IF(ISNA(INDEX($I$22:$I$126,MATCH("*"&amp;'SSP APD AAA Branches'!$I$6&amp;"*",$X$22:$X$126,0)))
                                        =FALSE,
                                          INDEX($I$22:$I$126,MATCH("*"&amp;'SSP APD AAA Branches'!$I$6&amp;"*",$X$22:$X$126,0)),
                                          IF(ISNA(INDEX($I$22:$I$126,MATCH("*"&amp;'SSP APD AAA Branches'!$I$6&amp;"*",$L$22:$L$126,0)))
                                               =FALSE,
                                                 INDEX($I$22:$I$126,MATCH("*"&amp;'SSP APD AAA Branches'!$I$6&amp;"*",$L$22:$L$126,0)),
                                                 "")))),
                    ""))</f>
        <v/>
      </c>
      <c r="J7" s="20" t="str">
        <f>IF(ISNA(VLOOKUP($I$7,$I$22:$AA$127,2,FALSE))
       =TRUE,
         "",
         VLOOKUP($I$7,$I$22:$AA$127,2,FALSE))</f>
        <v/>
      </c>
      <c r="K7" s="20" t="str">
        <f>IF(ISNA(VLOOKUP($I$7,$I$22:$AA$127,3,FALSE))
       =TRUE,
         "",
         VLOOKUP($I$7,$I$22:$AA$127,3,FALSE))</f>
        <v/>
      </c>
      <c r="L7" s="20" t="str">
        <f>IF(ISNA(VLOOKUP($I$7,$I$22:$AA$127,4,FALSE))
       =TRUE,
         "",
         VLOOKUP($I$7,$I$22:$AA$127,4,FALSE))</f>
        <v/>
      </c>
      <c r="M7" s="17" t="str">
        <f>IF(ISNA(VLOOKUP($I$7,$I$22:$AA$127,5,FALSE))
        =TRUE,
          "",
          VLOOKUP($I$7,$I$22:$AA$127,5,FALSE))</f>
        <v/>
      </c>
      <c r="N7" s="17" t="str">
        <f>IF(ISNA(VLOOKUP($I$7,$I$22:$AA$127,6,FALSE))
        =TRUE,
          "",
          VLOOKUP($I$7,$I$22:$AA$127,6,FALSE))</f>
        <v/>
      </c>
      <c r="O7" s="20" t="str">
        <f>IF(ISNA(VLOOKUP($I$7,$I$22:$AA$127,7,FALSE))
       =TRUE,
         "",
         VLOOKUP($I$7,$I$22:$AA$127,7,FALSE))</f>
        <v/>
      </c>
      <c r="P7" s="19" t="str">
        <f>IF(ISNA(VLOOKUP($I$7,$I$22:$AA$127,8,FALSE))
       =TRUE,
         "",
         VLOOKUP($I$7,$I$22:$AA$127,8,FALSE))</f>
        <v/>
      </c>
      <c r="Q7" s="18" t="str">
        <f>IF(ISNA(VLOOKUP($I$7,$I$22:$AA$127,9,FALSE))
        =TRUE,
          "",
          VLOOKUP($I$7,$I$22:$AA$127,9,FALSE))</f>
        <v/>
      </c>
      <c r="R7" s="19" t="str">
        <f>IF(ISNA(VLOOKUP($I$7,$I$22:$AA$127,10,FALSE))
        =TRUE,
          "",
          VLOOKUP($I$7,$I$22:$AA$127,10,FALSE))</f>
        <v/>
      </c>
      <c r="S7" s="20" t="e">
        <f>IF(VLOOKUP($I$7,$I$22:$AA$127,11,FALSE)
       ="",
         "No Case Transfer Email has been Submitted.",
         IF(ISNA(VLOOKUP($I$7,$I$22:$AA$127,11,FALSE))
              =TRUE,
                "",
                VLOOKUP($I$7,$I$22:$AA$127,11,FALSE)))</f>
        <v>#N/A</v>
      </c>
      <c r="T7" s="21" t="str">
        <f>IF(ISNA(VLOOKUP($I$7,$I$22:$AA$127,12,FALSE))
       =TRUE,
         "",
         VLOOKUP($I$7,$I$22:$AA$127,12,FALSE))</f>
        <v/>
      </c>
      <c r="U7" s="20" t="str">
        <f>IF(ISNA(VLOOKUP($I$7,$I$22:$AA$127,13,FALSE))
       =TRUE,
         "",
         VLOOKUP($I$7,$I$22:$AA$127,13,FALSE))</f>
        <v/>
      </c>
      <c r="V7" s="20" t="str">
        <f>IF(ISNA(VLOOKUP($I$7,$I$22:$AA$127,14,FALSE))
       =TRUE,
         "",
         VLOOKUP($I$7,$I$22:$AA$127,14,FALSE))</f>
        <v/>
      </c>
      <c r="W7" s="20" t="str">
        <f>IF(ISNA(VLOOKUP($I$7,$I$22:$AA$127,15,FALSE))
       =TRUE,
         "",
         IF(VLOOKUP($I$7,$I$22:$AA$127,15,FALSE)
              =0,
                "",
                VLOOKUP($I$7,$I$22:$AA$127,15,FALSE)))</f>
        <v/>
      </c>
      <c r="X7" s="20" t="str">
        <f>IF(ISNA(VLOOKUP($I$7,$I$22:$AA$127,16,FALSE))
       =TRUE,
         "",
         VLOOKUP($I$7,$I$22:$AA$127,16,FALSE))</f>
        <v/>
      </c>
      <c r="Y7" s="20" t="str">
        <f>IF(ISNA(VLOOKUP($I$7,$I$22:$AA$127,17,FALSE))
        =TRUE,
          "",
          VLOOKUP($I$7,$I$22:$AA$127,17,FALSE))</f>
        <v/>
      </c>
      <c r="Z7" s="20" t="str">
        <f>IF(ISNA(VLOOKUP($I$7,$I$22:$AA$127,18,FALSE))
        =TRUE,
          "",
          VLOOKUP($I$7,$I$22:$AA$127,18,FALSE))</f>
        <v/>
      </c>
      <c r="AA7" s="20" t="str">
        <f>IF(ISNA(VLOOKUP($I$7,$I$22:$AA$127,19,FALSE))
        =TRUE,
          "",
          VLOOKUP($I$7,$I$22:$AA$127,19,FALSE))</f>
        <v/>
      </c>
      <c r="AB7" s="20" t="str">
        <f>IF(IF(ISNA(VLOOKUP($I$7,$I$22:$AQ$127,20,FALSE))
             =TRUE,
               "",
               VLOOKUP($I$7,$I$22:$AQ$127,20,FALSE))
        =0,
          "",
          IF(ISNA(VLOOKUP($I$7,$I$22:$AQ$127,20,FALSE))
               =TRUE,
                 "",
                 VLOOKUP($I$7,$I$22:$AQ$127,20,FALSE)))</f>
        <v/>
      </c>
      <c r="AC7" s="20" t="str">
        <f>IF(IF(ISNA(VLOOKUP($I$7,$I$22:$AQ$127,21,FALSE))
             =TRUE,
               "",
               VLOOKUP($I$7,$I$22:$AQ$127,21,FALSE))
        =0,
          "",
          IF(ISNA(VLOOKUP($I$7,$I$22:$AQ$127,21,FALSE))
               =TRUE,
                 "",
                 VLOOKUP($I$7,$I$22:$AQ$127,21,FALSE)))</f>
        <v/>
      </c>
      <c r="AD7" s="20" t="str">
        <f>IF(IF(ISNA(VLOOKUP($I$7,$I$22:$AQ$127,22,FALSE))
             =TRUE,
               "",
               VLOOKUP($I$7,$I$22:$AQ$127,22,FALSE))
        =0,
          "",
          IF(ISNA(VLOOKUP($I$7,$I$22:$AQ$127,22,FALSE))
               =TRUE,
                 "",
                 VLOOKUP($I$7,$I$22:$AQ$127,22,FALSE)))</f>
        <v/>
      </c>
      <c r="AE7" s="20" t="str">
        <f>IF(IF(ISNA(VLOOKUP($I$7,$I$22:$AQ$127,23,FALSE))
             =TRUE,
               "",
               VLOOKUP($I$7,$I$22:$AQ$127,23,FALSE))
        =0,
          "",
          IF(ISNA(VLOOKUP($I$7,$I$22:$AQ$127,23,FALSE))
               =TRUE,
                  "",
                  VLOOKUP($I$7,$I$22:$AQ$127,23,FALSE)))</f>
        <v/>
      </c>
      <c r="AF7" s="20" t="str">
        <f>IF(IF(ISNA(VLOOKUP($I$7,$I$22:$AQ$127,24,FALSE))
             =TRUE,
               "",
               VLOOKUP($I$7,$I$22:$AQ$127,24,FALSE))
        =0,
          "",
          IF(ISNA(VLOOKUP($I$7,$I$22:$AQ$127,24,FALSE))
               =TRUE,
                 "",
                 VLOOKUP($I$7,$I$22:$AQ$127,24,FALSE)))</f>
        <v/>
      </c>
      <c r="AG7" s="20" t="str">
        <f>IF(IF(ISNA(VLOOKUP($I$7,$I$22:$AQ$127,25,FALSE))
             =TRUE,
               "",
               VLOOKUP($I$7,$I$22:$AQ$127,25,FALSE))
        =0,
          "",
          IF(ISNA(VLOOKUP($I$7,$I$22:$AQ$127,25,FALSE))
               =TRUE,
                 "",
                 VLOOKUP($I$7,$I$22:$AQ$127,25,FALSE)))</f>
        <v/>
      </c>
      <c r="AH7" s="20" t="str">
        <f>IF(IF(ISNA(VLOOKUP($I$7,$I$22:$AQ$127,26,FALSE))
             =TRUE,
               "",
               VLOOKUP($I$7,$I$22:$AQ$127,26,FALSE))
        =0,
          "",
          IF(ISNA(VLOOKUP($I$7,$I$22:$AQ$127,26,FALSE))
               =TRUE,
                 "",
                 VLOOKUP($I$7,$I$22:$AQ$127,26,FALSE)))</f>
        <v/>
      </c>
      <c r="AI7" s="20" t="str">
        <f>IF(IF(ISNA(VLOOKUP($I$7,$I$22:$AQ$127,27,FALSE))
             =TRUE,
               "",
               VLOOKUP($I$7,$I$22:$AQ$127,27,FALSE))
        =0,
          "",
          IF(ISNA(VLOOKUP($I$7,$I$22:$AQ$127,27,FALSE))
               =TRUE,
                  "",
                  VLOOKUP($I$7,$I$22:$AQ$127,27,FALSE)))</f>
        <v/>
      </c>
      <c r="AJ7" s="20" t="str">
        <f>IF(IF(ISNA(VLOOKUP($I$7,$I$22:$AQ$127,28,FALSE))
             =TRUE,
               "",
               VLOOKUP($I$7,$I$22:$AQ$127,28,FALSE))
        =0,
          "",
          IF(ISNA(VLOOKUP($I$7,$I$22:$AQ$127,28,FALSE))
               =TRUE,
                  "",
                  VLOOKUP($I$7,$I$22:$AQ$127,28,FALSE)))</f>
        <v/>
      </c>
      <c r="AK7" s="20" t="str">
        <f>IF(IF(ISNA(VLOOKUP($I$7,$I$22:$AQ$127,29,FALSE))
             =TRUE,
               "",
               VLOOKUP($I$7,$I$22:$AQ$127,29,FALSE))
        =0,
          "",
          IF(ISNA(VLOOKUP($I$7,$I$22:$AQ$127,29,FALSE))
               =TRUE,
                 "",
                 VLOOKUP($I$7,$I$22:$AQ$127,29,FALSE)))</f>
        <v/>
      </c>
      <c r="AL7" s="20" t="str">
        <f>IF(IF(ISNA(VLOOKUP($I$7,$I$22:$AQ$127,30,FALSE))
             =TRUE,
               "",
               VLOOKUP($I$7,$I$22:$AQ$127,30,FALSE))
        =0,
          "",
          IF(ISNA(VLOOKUP($I$7,$I$22:$AQ$127,30,FALSE))
               =TRUE,
                 "",
                 VLOOKUP($I$7,$I$22:$AQ$127,30,FALSE)))</f>
        <v/>
      </c>
      <c r="AM7" s="20" t="str">
        <f>IF(IF(ISNA(VLOOKUP($I$7,$I$22:$AQ$127,31,FALSE))
             =TRUE,
               "",
               VLOOKUP($I$7,$I$22:$AQ$127,31,FALSE))
       =0,
          "",
          IF(ISNA(VLOOKUP($I$7,$I$22:$AQ$127,31,FALSE))
               =TRUE,
                 "",
                 VLOOKUP($I$7,$I$22:$AQ$127,31,FALSE)))</f>
        <v/>
      </c>
      <c r="AN7" s="20" t="str">
        <f>IF(IF(ISNA(VLOOKUP($I$7,$I$22:$AQ$127,32,FALSE))
             =TRUE,
                "",
                VLOOKUP($I$7,$I$22:$AQ$127,32,FALSE))
        =0,
          "",
          IF(ISNA(VLOOKUP($I$7,$I$22:$AQ$127,32,FALSE))
               =TRUE,
                 "",
                 VLOOKUP($I$7,$I$22:$AQ$127,32,FALSE)))</f>
        <v/>
      </c>
      <c r="AO7" s="20" t="str">
        <f>IF(IF(ISNA(VLOOKUP($I$7,$I$22:$AQ$127,33,FALSE))
             =TRUE,
               "",
               VLOOKUP($I$7,$I$22:$AQ$127,33,FALSE))
       =0,
         "",
         IF(ISNA(VLOOKUP($I$7,$I$22:$AQ$127,33,FALSE))
              =TRUE,
                "",
                VLOOKUP($I$7,$I$22:$AQ$127,33,FALSE)))</f>
        <v/>
      </c>
      <c r="AP7" s="20" t="str">
        <f>IF(IF(ISNA(VLOOKUP($I$7,$I$22:$AQ$127,34,FALSE))
             =TRUE,
               "",
               VLOOKUP($I$7,$I$22:$AQ$127,34,FALSE))
        =0,
          "",
          IF(ISNA(VLOOKUP($I$7,$I$22:$AQ$127,34,FALSE))
               =TRUE,
                 "",
                 VLOOKUP($I$7,$I$22:$AQ$127,34,FALSE)))</f>
        <v/>
      </c>
      <c r="AQ7" s="20" t="str">
        <f>IF(IF(ISNA(VLOOKUP($I$7,$I$22:$AQ$127,35,FALSE))
             =TRUE,
                "",
                VLOOKUP($I$7,$I$22:$AQ$127,35,FALSE))
        =0,
          "",
          IF(ISNA(VLOOKUP($I$7,$I$22:$AQ$127,35,FALSE))
               =TRUE,
                 "",
                 VLOOKUP($I$7,$I$22:$AQ$127,35,FALSE)))</f>
        <v/>
      </c>
    </row>
    <row r="8" spans="1:44" x14ac:dyDescent="0.25">
      <c r="A8" s="7">
        <v>2</v>
      </c>
      <c r="B8" s="15" t="str">
        <f>IF('SSP APD AAA Branches'!$I$6
        ="",
          "",
          IF(I8
               ="",
                  "",
                  ""&amp;L8&amp;""&amp;J8&amp;" "&amp;K8&amp;""&amp;CHAR(10)&amp;""&amp;V8&amp;" "&amp;W8&amp;""&amp;CHAR(10)&amp;""&amp;X8&amp;", "&amp;Y8&amp;" "&amp;Z8&amp;""&amp;CHAR(10)&amp;""&amp;AA8&amp;" County"&amp;CHAR(10)&amp;"District "&amp;T8&amp;""))</f>
        <v/>
      </c>
      <c r="C8" s="15" t="str">
        <f>IF('SSP APD AAA Branches'!$I$6
        ="",
          "",
          IF(I8
               &lt;&gt;"",
                    "Phone Number: "&amp;TEXT(P8,"(000) 000-0000")&amp;""&amp;CHAR(10)&amp;"Fax Number: "&amp;TEXT(R8,"(000) 000-0000")&amp;""&amp;CHAR(10)&amp;"Case Transfer Email: "&amp;S8&amp;""&amp;CHAR(10)&amp;"Office Hours: "
                         &amp;TEXT(M8,"H:MM AM/PM")&amp;" - "&amp;TEXT(N8,"H:MM AM/PM")&amp;" "&amp;O8&amp;""&amp;CHAR(10)&amp;""&amp;IF(U8
                                                                                                                                                                                                                     =0,
                                                                                                                                                                                                                        "",
                                                                                                                                                                                                                        "Assigned Zip Codes: "&amp;U8&amp;"")
                         &amp;"",
                    IF(I8
                         ="",
                           "",
                           "Phone Number: "&amp;TEXT(P7,"(000) 000-0000")&amp;""&amp;CHAR(10)&amp;"Fax Number: "&amp;TEXT(R7,"(000) 000-0000")&amp;""&amp;CHAR(10)&amp;"Case Transfer Email: "&amp;S7&amp;""&amp;CHAR(10)&amp;"Office Hours: "
                                &amp;TEXT(M7,"H:MM AM/PM")&amp;" - "&amp;TEXT(N7,"H:MM AM/PM")&amp;" "&amp;O7&amp;""&amp;CHAR(10)&amp;""&amp;IF(U7
                                                                                                                                                                                                                           =0,
                                                                                                                                                                                                                             "",
                                                                                                                                                                                                                             "Assigned Zip Codes: "&amp;U7&amp;"")
                                &amp;"")))</f>
        <v/>
      </c>
      <c r="D8" s="35" t="str">
        <f>IF('SSP APD AAA Branches'!$I$6
        ="",
          "",
          IF(I8
               &lt;&gt;"",
                    ""&amp;AB8&amp;""&amp;IF(AJ8
                                                   ="",
                                                     "",
                                                     " | ")
                         &amp;""&amp;AJ8&amp;""&amp;CHAR(10)&amp;""&amp;AC8&amp;""&amp;IF(AK8
                                                                                                           ="",
                                                                                                             "",
                                                                                                             " | ")
                         &amp;""&amp;AK8&amp;""&amp;CHAR(10)&amp;""&amp;AD8&amp;""&amp;IF(AL8
                                                                                                            ="",
                                                                                                              "",
                                                                                                              " | ")
                         &amp;""&amp;AL8&amp;""&amp;CHAR(10)&amp;""&amp;AE8&amp;""&amp;IF(AM8
                                                                                                            ="",
                                                                                                              "",
                                                                                                              " | ")
                         &amp;""&amp;AM8&amp;""&amp;CHAR(10)&amp;""&amp;AF8&amp;""&amp;IF(AN8
                                                                                                             ="",
                                                                                                               "",
                                                                                                               " | ")
                         &amp;""&amp;AN8&amp;""&amp;CHAR(10)&amp;""&amp;AG8&amp;""&amp;IF(AO8
                                                                                                             ="",
                                                                                                               "",
                                                                                                               " | ")
                         &amp;""&amp;AO8&amp;""&amp;CHAR(10)&amp;""&amp;AH8&amp;""&amp;IF(AP8
                                                                                                             ="",
                                                                                                               "",
                                                                                                               " | ")
                         &amp;""&amp;AP8&amp;""&amp;CHAR(10)&amp;""&amp;AI8&amp;""&amp;IF(AQ8
                                                                                                           ="",
                                                                                                             "",
                                                                                                             " | ")
                         &amp;""&amp;AQ8&amp;"",
                    IF(I8
                         ="",
                           "",
                           ""&amp;AB7&amp;""&amp;IF(AJ7
                                                          ="",
                                                            "",
                                                            " | ")
                                 &amp;""&amp;AJ7&amp;""&amp;CHAR(10)&amp;""&amp;AC7&amp;""&amp;IF(AK7
                                                                                                                   ="",
                                                                                                                     "",
                                                                                                                     " | ")
                                 &amp;""&amp;AK7&amp;""&amp;CHAR(10)&amp;""&amp;AD7&amp;""&amp;IF(AL7
                                                                                                                    ="",
                                                                                                                      "",
                                                                                                                      " | ")
                                 &amp;""&amp;AL7&amp;""&amp;CHAR(10)&amp;""&amp;AE7&amp;""&amp;IF(AM7
                                                                                                                   ="",
                                                                                                                     "",
                                                                                                                     " | ")
                                 &amp;""&amp;AM7&amp;""&amp;CHAR(10)&amp;""&amp;AF7&amp;""&amp;IF(AN7
                                                                                                                     ="",
                                                                                                                       "",
                                                                                                                       " | ")
                                 &amp;""&amp;AN7&amp;""&amp;CHAR(10)&amp;""&amp;AG7&amp;""&amp;IF(AO7
                                                                                                                     ="",
                                                                                                                       "",
                                                                                                                       " | ")
                                 &amp;""&amp;AO7&amp;""&amp;CHAR(10)&amp;""&amp;AH7&amp;""&amp;IF(AP7
                                                                                                                     ="",
                                                                                                                       "",
                                                                                                                       " | ")
                                 &amp;""&amp;AP7&amp;""&amp;CHAR(10)&amp;""&amp;AI7&amp;""&amp;IF(AQ7
                                                                                                                   ="",
                                                                                                                     "",
                                                                                                                     " | ")
                                  &amp;""&amp;AQ7&amp;"")))</f>
        <v/>
      </c>
      <c r="E8" s="15" t="str">
        <f>IF('SSP APD AAA Branches'!$I$6
        ="",
          "",
          IF('SSP APD AAA DB Code'!I8
               &lt;&gt;"",
                    HYPERLINK("mailto:"&amp;'SSP APD AAA DB Code'!S8&amp;"", "Click here to email"),
                    IF(I8
                         ="",
                           "",
                           HYPERLINK("mailto:"&amp;'SSP APD AAA DB Code'!S7&amp;"", "Click here to email"))))</f>
        <v/>
      </c>
      <c r="F8" s="7" t="str">
        <f>""</f>
        <v/>
      </c>
      <c r="G8" s="7" t="str">
        <f>IF('SSP APD AAA Branches'!$I$6
        ="",
            "",
            IF('SSP APD AAA DB Code'!I8
               &lt;&gt;"",
                    IF('SSP APD AAA DB Code'!AB8
                          ="",
                              "",
                              HYPERLINK("https://teams.microsoft.com/l/chat/0/0?users="&amp;'SSP APD AAA DB Code'!AJ8&amp;","&amp;'SSP APD AAA DB Code'!AK8&amp;","&amp;'SSP APD AAA DB Code'!AL8&amp;","&amp;'SSP APD AAA DB Code'!AM8&amp;",
                                        "&amp;'SSP APD AAA DB Code'!AN8&amp;","&amp;'SSP APD AAA DB Code'!AO8&amp;"","Click here to send group IM")),
                    IF('SSP APD AAA DB Code'!I8
                         ="",
                             "",
                             HYPERLINK("https://teams.microsoft.com/l/chat/0/0?users="&amp;'SSP APD AAA DB Code'!AJ7&amp;","&amp;'SSP APD AAA DB Code'!AK7&amp;","&amp;'SSP APD AAA DB Code'!AL7&amp;","&amp;'SSP APD AAA DB Code'!AM7&amp;",
                                       "&amp;'SSP APD AAA DB Code'!AN7&amp;","&amp;'SSP APD AAA DB Code'!AO7&amp;"","Click here to send group IM"))))</f>
        <v/>
      </c>
      <c r="H8" s="15" t="str">
        <f ca="1">IF(LEN('SSP APD AAA Branches'!$I$6)
       &lt;=2,
           IF(ISERROR(ROW(IF(ISNA(INDEX(INDIRECT("I"&amp;H7+1):$I$127,MATCH('SSP APD AAA Branches'!$I$6,INDIRECT("T"&amp;H7+1):$T$127,0)))
                                                     =TRUE,
                                                        "",
                                                        INDEX(INDIRECT("I"&amp;H7+1):$I$127,MATCH('SSP APD AAA Branches'!$I$6,INDIRECT("T"&amp;H7+1):$T$127,0)))))
                =TRUE,
                   "",
                   ROW(IF(ISNA(INDEX(INDIRECT("I"&amp;H7+1):$I$127,MATCH('SSP APD AAA Branches'!$I$6,INDIRECT("T"&amp;H7+1):$T$127,0)))
                                    =TRUE,
                                       "",
                                      INDEX(INDIRECT("I"&amp;H7+1):$I$127,MATCH('SSP APD AAA Branches'!$I$6,INDIRECT("T"&amp;H7+1):$T$127,0))))),
           IF(ISERROR(ROW(IF(ISNA(INDEX(INDIRECT("I"&amp;H7+1):$I$127,MATCH("*"&amp;'SSP APD AAA Branches'!$I$6&amp;"*",INDIRECT("U"&amp;H7+1):$U$127,0)))
                                                     =FALSE,
                                                       INDEX(INDIRECT("I"&amp;H7+1):$I$127,MATCH("*"&amp;'SSP APD AAA Branches'!$I$6&amp;"*",INDIRECT("U"&amp;H7+1):$U$127,0)),
                                                       IF(ISNA(INDEX(INDIRECT("I"&amp;H7+1):$I$127,MATCH("*"&amp;'SSP APD AAA Branches'!$I$6&amp;"*",INDIRECT("X"&amp;H7+1):$X$127,0)))
                                                             =FALSE,
                                                                INDEX(INDIRECT("I"&amp;H7+1):$I$127,MATCH("*"&amp;'SSP APD AAA Branches'!$I$6&amp;"*",INDIRECT("X"&amp;H7+1):$X$127,0)),
                                                                IF(ISNA(INDEX(INDIRECT("I"&amp;H7+1):$I$127,MATCH("*"&amp;'SSP APD AAA Branches'!$I$6&amp;"*",INDIRECT("L"&amp;H7+1):$L$127,0)))
                                                                      =FALSE,
                                                                         INDEX(INDIRECT("I"&amp;H7+1):$I$127,MATCH("*"&amp;'SSP APD AAA Branches'!$I$6&amp;"*",INDIRECT("L"&amp;H7+1):$L$127,0)),
                                                                         IF(ISNA(INDEX(INDIRECT("I"&amp;H7+1):$I$127,MATCH("*"&amp;'SSP APD AAA Branches'!$I$6&amp;"*",INDIRECT("AA"&amp;H7+1):$AA$127,0)))
                                                                              =FALSE,
                                                                                INDEX(INDIRECT("I"&amp;H7+1):$I$127,MATCH("*"&amp;'SSP APD AAA Branches'!$I$6&amp;"*",INDIRECT("AA"&amp;H7+1):$AA$127,0)),""))))))
                =TRUE,
                  "",
                  ROW(IF(ISNA(INDEX(INDIRECT("I"&amp;H7+1):$I$127,MATCH("*"&amp;'SSP APD AAA Branches'!$I$6&amp;"*",INDIRECT("U"&amp;H7+1):$U$127,0)))
                                    =FALSE,
                                      INDEX(INDIRECT("I"&amp;H7+1):$I$127,MATCH("*"&amp;'SSP APD AAA Branches'!$I$6&amp;"*",INDIRECT("U"&amp;H7+1):$U$127,0)),
                                      IF(ISNA(INDEX(INDIRECT("I"&amp;H7+1):$I$127,MATCH("*"&amp;'SSP APD AAA Branches'!$I$6&amp;"*",INDIRECT("AA"&amp;H7+1):$AA$127,0)))
                                           =FALSE,
                                              INDEX(INDIRECT("I"&amp;H7+1):$I$127,MATCH("*"&amp;'SSP APD AAA Branches'!$I$6&amp;"*",INDIRECT("AA"&amp;H7+1):$AA$127,0)),
                                              IF(ISNA(INDEX(INDIRECT("I"&amp;H7+1):$I$127,MATCH("*"&amp;'SSP APD AAA Branches'!$I$6&amp;"*",INDIRECT("L"&amp;H7+1):$L$127,0)))
                                                   =FALSE,
                                                     INDEX(INDIRECT("I"&amp;H7+1):$I$127,MATCH("*"&amp;'SSP APD AAA Branches'!$I$6&amp;"*",INDIRECT("L"&amp;H7+1):$L$127,0)),
                                                     IF(ISNA(INDEX(INDIRECT("I"&amp;H7+1):$I$127,MATCH("*"&amp;'SSP APD AAA Branches'!$I$6&amp;"*",INDIRECT("X"&amp;H7+1):$X$127,0)))
                                                           =FALSE,
                                                             INDEX(INDIRECT("I"&amp;H7+1):$I$127,MATCH("*"&amp;'SSP APD AAA Branches'!$I$6&amp;"*",INDIRECT("X"&amp;H7+1):$X$127,0)),
                                                              "")))))))</f>
        <v/>
      </c>
      <c r="I8" s="23" t="str">
        <f ca="1">IF(LEN('SSP APD AAA Branches'!$I$6)
        &lt;=2,
             IF($I$6
                   ="",
                     IF(ISERROR(IF(ISNA(INDEX(INDIRECT("I"&amp;H7+1):$I$127,MATCH('SSP APD AAA Branches'!$I$6,INDIRECT("T"&amp;H7+1):$T$127,0)))
                                                   =FALSE,
                                                      INDEX(INDIRECT("I"&amp;H7+1):$I$127,MATCH('SSP APD AAA Branches'!$I$6,INDIRECT("T"&amp;H7+1):$T$127,0)),
                                                      ""))
                           =TRUE,
                              "",
                              IF(ISNA(INDEX(INDIRECT("I"&amp;H7+1):$I$127,MATCH('SSP APD AAA Branches'!$I$6,INDIRECT("T"&amp;H7+1):$T$127,0)))
                                    =FALSE,
                                      INDEX(INDIRECT("I"&amp;H7+1):$I$127,MATCH('SSP APD AAA Branches'!$I$6,INDIRECT("T"&amp;H7+1):$T$127,0)),
                                      "")),
                      ""),
              IF($I$6
                    ="",
                      IF(ISERROR(IF(ISNA(INDEX(INDIRECT("I"&amp;H7+1):$I$127,MATCH("*"&amp;'SSP APD AAA Branches'!$I$6&amp;"*",INDIRECT("U"&amp;H7+1):$U$127,0)))
                                                   =FALSE,
                                                     INDEX(INDIRECT("I"&amp;H7+1):$I$127,MATCH("*"&amp;'SSP APD AAA Branches'!$I$6&amp;"*",INDIRECT("U"&amp;H7+1):$U$127,0)),
                                                     IF(ISNA(INDEX(INDIRECT("I"&amp;H7+1):$I$127,MATCH("*"&amp;'SSP APD AAA Branches'!$I$6&amp;"*",INDIRECT("X"&amp;H7+1):$X$127,0)))
                                                          =FALSE,
                                                            INDEX(INDIRECT("I"&amp;H7+1):$I$127,MATCH("*"&amp;'SSP APD AAA Branches'!$I$6&amp;"*",INDIRECT("X"&amp;H7+1):$X$127,0)),
                                                            IF(ISNA(INDEX(INDIRECT("I"&amp;H7+1):$I$127,MATCH("*"&amp;'SSP APD AAA Branches'!$I$6&amp;"*",INDIRECT("AA"&amp;H7+1):$AA$127,0)))
                                                                 =FALSE,
                                                                   INDEX(INDIRECT("I"&amp;H7+1):$I$127,MATCH("*"&amp;'SSP APD AAA Branches'!$I$6&amp;"*",INDIRECT("AA"&amp;H7+1):$AA$127,0)),
                                                                   ""))))
                             =TRUE,
                               "",
                               IF(ISNA(INDEX(INDIRECT("I"&amp;H7+1):$I$127,MATCH("*"&amp;'SSP APD AAA Branches'!$I$6&amp;"*",INDIRECT("U"&amp;H7+1):$U$127,0)))
                                     =FALSE,
                                        INDEX(INDIRECT("I"&amp;H7+1):$I$127,MATCH("*"&amp;'SSP APD AAA Branches'!$I$6&amp;"*",INDIRECT("U"&amp;H7+1):$U$127,0)),
                                          IF(ISNA(INDEX(INDIRECT("I"&amp;H7+1):$I$127,MATCH("*"&amp;'SSP APD AAA Branches'!$I$6&amp;"*",INDIRECT("AA"&amp;H7+1):$AA$127,0)))
                                               =FALSE,
                                                 INDEX(INDIRECT("I"&amp;H7+1):$I$127,MATCH("*"&amp;'SSP APD AAA Branches'!$I$6&amp;"*",INDIRECT("AA"&amp;H7+1):$AA$127,0)),
                                                 IF(ISNA(INDEX(INDIRECT("I"&amp;H7+1):$I$127,MATCH("*"&amp;'SSP APD AAA Branches'!$I$6&amp;"*",INDIRECT("L"&amp;H7+1):$L$127,0)))
                                                      =FALSE,
                                                        INDEX(INDIRECT("I"&amp;H7+1):$I$127,MATCH("*"&amp;'SSP APD AAA Branches'!$I$6&amp;"*",INDIRECT("L"&amp;H7+1):$L$127,0)),
                                                        IF(ISNA(INDEX(INDIRECT("I"&amp;H7+1):$I$127,MATCH("*"&amp;'SSP APD AAA Branches'!$I$6&amp;"*",INDIRECT("X"&amp;H7+1):$X$127,0)))
                                                             =FALSE,
                                                                INDEX(INDIRECT("I"&amp;H7+1):$I$127,MATCH("*"&amp;'SSP APD AAA Branches'!$I$6&amp;"*",INDIRECT("X"&amp;H7+1):$X$127,0)),
                                                                ""))))),
                      ""))</f>
        <v/>
      </c>
      <c r="J8" s="20" t="str">
        <f ca="1">IF(ISNA(VLOOKUP($I$8,$I$22:$AA$127,2,FALSE))
       =TRUE,
         "",
         VLOOKUP($I$8,$I$22:$AA$127,2,FALSE))</f>
        <v/>
      </c>
      <c r="K8" s="20" t="str">
        <f ca="1">IF(ISNA(VLOOKUP($I$8,$I$22:$AA$127,3,FALSE))
       =TRUE,
         "",
         VLOOKUP($I$8,$I$22:$AA$127,3,FALSE))</f>
        <v/>
      </c>
      <c r="L8" s="20" t="str">
        <f ca="1">IF(ISNA(VLOOKUP($I$8,$I$22:$AA$127,4,FALSE))
       =TRUE,
         "",
         VLOOKUP($I$8,$I$22:$AA$127,4,FALSE))</f>
        <v/>
      </c>
      <c r="M8" s="17" t="str">
        <f ca="1">IF(ISNA(VLOOKUP($I$8,$I$22:$AA$127,5,FALSE))
        =TRUE,
          "",
          VLOOKUP($I$8,$I$22:$AA$127,5,FALSE))</f>
        <v/>
      </c>
      <c r="N8" s="17" t="str">
        <f ca="1">IF(ISNA(VLOOKUP($I$8,$I$22:$AA$127,6,FALSE))
        =TRUE,
          "",
          VLOOKUP($I$8,$I$22:$AA$127,6,FALSE))</f>
        <v/>
      </c>
      <c r="O8" s="20" t="str">
        <f ca="1">IF(ISNA(VLOOKUP($I$8,$I$22:$AA$127,7,FALSE))
       =TRUE,
         "",
         VLOOKUP($I$8,$I$22:$AA$127,7,FALSE))</f>
        <v/>
      </c>
      <c r="P8" s="19" t="str">
        <f ca="1">IF(ISNA(VLOOKUP($I$8,$I$22:$AA$127,8,FALSE))
       =TRUE,
         "",
         VLOOKUP($I$8,$I$22:$AA$127,8,FALSE))</f>
        <v/>
      </c>
      <c r="Q8" s="18" t="str">
        <f ca="1">IF(ISNA(VLOOKUP($I$8,$I$22:$AA$127,9,FALSE))
        =TRUE,
          "",
          VLOOKUP($I$8,$I$22:$AA$127,9,FALSE))</f>
        <v/>
      </c>
      <c r="R8" s="19" t="str">
        <f ca="1">IF(ISNA(VLOOKUP($I$8,$I$22:$AA$127,10,FALSE))
        =TRUE,
          "",
          VLOOKUP($I$8,$I$22:$AA$127,10,FALSE))</f>
        <v/>
      </c>
      <c r="S8" s="20" t="e">
        <f ca="1">IF(VLOOKUP($I$8,$I$22:$AA$127,11,FALSE)
       ="",
         "No Case Transfer Email has been Submitted.",
         IF(ISNA(VLOOKUP($I$8,$I$22:$AA$127,11,FALSE))
              =TRUE,
                "",
                VLOOKUP($I$8,$I$22:$AA$127,11,FALSE)))</f>
        <v>#N/A</v>
      </c>
      <c r="T8" s="21" t="str">
        <f ca="1">IF(ISNA(VLOOKUP($I$8,$I$22:$AA$127,12,FALSE))
       =TRUE,
         "",
         VLOOKUP($I$8,$I$22:$AA$127,12,FALSE))</f>
        <v/>
      </c>
      <c r="U8" s="20" t="str">
        <f ca="1">IF(ISNA(VLOOKUP($I$8,$I$22:$AA$127,13,FALSE))
       =TRUE,
         "",
         VLOOKUP($I$8,$I$22:$AA$127,13,FALSE))</f>
        <v/>
      </c>
      <c r="V8" s="20" t="str">
        <f ca="1">IF(ISNA(VLOOKUP($I$8,$I$22:$AA$127,14,FALSE))
       =TRUE,
         "",
         VLOOKUP($I$8,$I$22:$AA$127,14,FALSE))</f>
        <v/>
      </c>
      <c r="W8" s="20" t="str">
        <f ca="1">IF(ISNA(VLOOKUP($I$8,$I$22:$AA$127,15,FALSE))
       =TRUE,
         "",
         IF(VLOOKUP($I$8,$I$22:$AA$127,15,FALSE)
              =0,
                "",
                VLOOKUP($I$8,$I$22:$AA$127,15,FALSE)))</f>
        <v/>
      </c>
      <c r="X8" s="20" t="str">
        <f ca="1">IF(ISNA(VLOOKUP($I$8,$I$22:$AA$127,16,FALSE))
       =TRUE,
         "",
         VLOOKUP($I$8,$I$22:$AA$127,16,FALSE))</f>
        <v/>
      </c>
      <c r="Y8" s="20" t="str">
        <f ca="1">IF(ISNA(VLOOKUP($I$8,$I$22:$AA$127,17,FALSE))
        =TRUE,
          "",
          VLOOKUP($I$8,$I$22:$AA$127,17,FALSE))</f>
        <v/>
      </c>
      <c r="Z8" s="20" t="str">
        <f ca="1">IF(ISNA(VLOOKUP($I$8,$I$22:$AA$127,18,FALSE))
        =TRUE,
          "",
          VLOOKUP($I$8,$I$22:$AA$127,18,FALSE))</f>
        <v/>
      </c>
      <c r="AA8" s="20" t="str">
        <f ca="1">IF(ISNA(VLOOKUP($I$8,$I$22:$AA$127,19,FALSE))
        =TRUE,
          "",
          VLOOKUP($I$8,$I$22:$AA$127,19,FALSE))</f>
        <v/>
      </c>
      <c r="AB8" s="20" t="str">
        <f ca="1">IF(IF(ISNA(VLOOKUP($I$8,$I$22:$AQ$127,20,FALSE))
             =TRUE,
               "",
               VLOOKUP($I$8,$I$22:$AQ$127,20,FALSE))
        =0,
          "",
          IF(ISNA(VLOOKUP($I$8,$I$22:$AQ$127,20,FALSE))
               =TRUE,
                 "",
                 VLOOKUP($I$8,$I$22:$AQ$127,20,FALSE)))</f>
        <v/>
      </c>
      <c r="AC8" s="20" t="str">
        <f ca="1">IF(IF(ISNA(VLOOKUP($I$8,$I$22:$AQ$127,21,FALSE))
             =TRUE,
               "",
               VLOOKUP($I$8,$I$22:$AQ$127,21,FALSE))
        =0,
          "",
          IF(ISNA(VLOOKUP($I$8,$I$22:$AQ$127,21,FALSE))
               =TRUE,
                 "",
                 VLOOKUP($I$8,$I$22:$AQ$127,21,FALSE)))</f>
        <v/>
      </c>
      <c r="AD8" s="20" t="str">
        <f ca="1">IF(IF(ISNA(VLOOKUP($I$8,$I$22:$AQ$127,22,FALSE))
             =TRUE,
               "",
               VLOOKUP($I$8,$I$22:$AQ$127,22,FALSE))
        =0,
          "",
          IF(ISNA(VLOOKUP($I$8,$I$22:$AQ$127,22,FALSE))
               =TRUE,
                 "",
                 VLOOKUP($I$8,$I$22:$AQ$127,22,FALSE)))</f>
        <v/>
      </c>
      <c r="AE8" s="20" t="str">
        <f ca="1">IF(IF(ISNA(VLOOKUP($I$8,$I$22:$AQ$127,23,FALSE))
             =TRUE,
               "",
               VLOOKUP($I$8,$I$22:$AQ$127,23,FALSE))
        =0,
          "",
          IF(ISNA(VLOOKUP($I$8,$I$22:$AQ$127,23,FALSE))
               =TRUE,
                  "",
                  VLOOKUP($I$8,$I$22:$AQ$127,23,FALSE)))</f>
        <v/>
      </c>
      <c r="AF8" s="20" t="str">
        <f ca="1">IF(IF(ISNA(VLOOKUP($I$8,$I$22:$AQ$127,24,FALSE))
             =TRUE,
               "",
               VLOOKUP($I$8,$I$22:$AQ$127,24,FALSE))
        =0,
          "",
          IF(ISNA(VLOOKUP($I$8,$I$22:$AQ$127,24,FALSE))
               =TRUE,
                 "",
                 VLOOKUP($I$8,$I$22:$AQ$127,24,FALSE)))</f>
        <v/>
      </c>
      <c r="AG8" s="20" t="str">
        <f ca="1">IF(IF(ISNA(VLOOKUP($I$8,$I$22:$AQ$127,25,FALSE))
             =TRUE,
               "",
               VLOOKUP($I$8,$I$22:$AQ$127,25,FALSE))
        =0,
          "",
          IF(ISNA(VLOOKUP($I$8,$I$22:$AQ$127,25,FALSE))
               =TRUE,
                 "",
                 VLOOKUP($I$8,$I$22:$AQ$127,25,FALSE)))</f>
        <v/>
      </c>
      <c r="AH8" s="20" t="str">
        <f ca="1">IF(IF(ISNA(VLOOKUP($I$8,$I$22:$AQ$127,26,FALSE))
             =TRUE,
               "",
               VLOOKUP($I$8,$I$22:$AQ$127,26,FALSE))
        =0,
          "",
          IF(ISNA(VLOOKUP($I$8,$I$22:$AQ$127,26,FALSE))
               =TRUE,
                 "",
                 VLOOKUP($I$8,$I$22:$AQ$127,26,FALSE)))</f>
        <v/>
      </c>
      <c r="AI8" s="20" t="str">
        <f ca="1">IF(IF(ISNA(VLOOKUP($I$8,$I$22:$AQ$127,27,FALSE))
             =TRUE,
               "",
               VLOOKUP($I$8,$I$22:$AQ$127,27,FALSE))
        =0,
          "",
          IF(ISNA(VLOOKUP($I$8,$I$22:$AQ$127,27,FALSE))
               =TRUE,
                  "",
                  VLOOKUP($I$8,$I$22:$AQ$127,27,FALSE)))</f>
        <v/>
      </c>
      <c r="AJ8" s="20" t="str">
        <f ca="1">IF(IF(ISNA(VLOOKUP($I$8,$I$22:$AQ$127,28,FALSE))
             =TRUE,
               "",
               VLOOKUP($I$8,$I$22:$AQ$127,28,FALSE))
        =0,
          "",
          IF(ISNA(VLOOKUP($I$8,$I$22:$AQ$127,28,FALSE))
               =TRUE,
                  "",
                  VLOOKUP($I$8,$I$22:$AQ$127,28,FALSE)))</f>
        <v/>
      </c>
      <c r="AK8" s="20" t="str">
        <f ca="1">IF(IF(ISNA(VLOOKUP($I$8,$I$22:$AQ$127,29,FALSE))
             =TRUE,
               "",
               VLOOKUP($I$8,$I$22:$AQ$127,29,FALSE))
        =0,
          "",
          IF(ISNA(VLOOKUP($I$8,$I$22:$AQ$127,29,FALSE))
               =TRUE,
                 "",
                 VLOOKUP($I$8,$I$22:$AQ$127,29,FALSE)))</f>
        <v/>
      </c>
      <c r="AL8" s="20" t="str">
        <f ca="1">IF(IF(ISNA(VLOOKUP($I$8,$I$22:$AQ$127,30,FALSE))
             =TRUE,
               "",
               VLOOKUP($I$8,$I$22:$AQ$127,30,FALSE))
        =0,
          "",
          IF(ISNA(VLOOKUP($I$8,$I$22:$AQ$127,30,FALSE))
               =TRUE,
                 "",
                 VLOOKUP($I$8,$I$22:$AQ$127,30,FALSE)))</f>
        <v/>
      </c>
      <c r="AM8" s="20" t="str">
        <f ca="1">IF(IF(ISNA(VLOOKUP($I$8,$I$22:$AQ$127,31,FALSE))
             =TRUE,
               "",
               VLOOKUP($I$8,$I$22:$AQ$127,31,FALSE))
       =0,
          "",
          IF(ISNA(VLOOKUP($I$8,$I$22:$AQ$127,31,FALSE))
               =TRUE,
                 "",
                 VLOOKUP($I$8,$I$22:$AQ$127,31,FALSE)))</f>
        <v/>
      </c>
      <c r="AN8" s="20" t="str">
        <f ca="1">IF(IF(ISNA(VLOOKUP($I$8,$I$22:$AQ$127,32,FALSE))
             =TRUE,
                "",
                VLOOKUP($I$8,$I$22:$AQ$127,32,FALSE))
        =0,
          "",
          IF(ISNA(VLOOKUP($I$8,$I$22:$AQ$127,32,FALSE))
               =TRUE,
                 "",
                 VLOOKUP($I$8,$I$22:$AQ$127,32,FALSE)))</f>
        <v/>
      </c>
      <c r="AO8" s="20" t="str">
        <f ca="1">IF(IF(ISNA(VLOOKUP($I$8,$I$22:$AQ$127,33,FALSE))
             =TRUE,
               "",
               VLOOKUP($I$8,$I$22:$AQ$127,33,FALSE))
       =0,
         "",
         IF(ISNA(VLOOKUP($I$8,$I$22:$AQ$127,33,FALSE))
              =TRUE,
                "",
                VLOOKUP($I$8,$I$22:$AQ$127,33,FALSE)))</f>
        <v/>
      </c>
      <c r="AP8" s="20" t="str">
        <f ca="1">IF(IF(ISNA(VLOOKUP($I$8,$I$22:$AQ$127,34,FALSE))
             =TRUE,
               "",
               VLOOKUP($I$8,$I$22:$AQ$127,34,FALSE))
        =0,
          "",
          IF(ISNA(VLOOKUP($I$8,$I$22:$AQ$127,34,FALSE))
               =TRUE,
                 "",
                 VLOOKUP($I$8,$I$22:$AQ$127,34,FALSE)))</f>
        <v/>
      </c>
      <c r="AQ8" s="20" t="str">
        <f ca="1">IF(IF(ISNA(VLOOKUP($I$8,$I$22:$AQ$127,35,FALSE))
             =TRUE,
                "",
                VLOOKUP($I$8,$I$22:$AQ$127,35,FALSE))
        =0,
          "",
          IF(ISNA(VLOOKUP($I$8,$I$22:$AQ$127,35,FALSE))
               =TRUE,
                 "",
                 VLOOKUP($I$8,$I$22:$AQ$127,35,FALSE)))</f>
        <v/>
      </c>
    </row>
    <row r="9" spans="1:44" x14ac:dyDescent="0.25">
      <c r="A9" s="7">
        <v>3</v>
      </c>
      <c r="B9" s="15" t="str">
        <f>IF('SSP APD AAA Branches'!$I$6
        ="",
          "",
          IF(I9
               ="",
                  "",
                  ""&amp;L9&amp;""&amp;J9&amp;" "&amp;K9&amp;""&amp;CHAR(10)&amp;""&amp;V9&amp;" "&amp;W9&amp;""&amp;CHAR(10)&amp;""&amp;X9&amp;", "&amp;Y9&amp;" "&amp;Z9&amp;""&amp;CHAR(10)&amp;""&amp;AA9&amp;" County"&amp;CHAR(10)&amp;"District "&amp;T9&amp;""))</f>
        <v/>
      </c>
      <c r="C9" s="15" t="str">
        <f>IF('SSP APD AAA Branches'!$I$6
        ="",
          "",
          IF(I9
               &lt;&gt;"",
                    "Phone Number: "&amp;TEXT(P9,"(000) 000-0000")&amp;""&amp;CHAR(10)&amp;"Fax Number: "&amp;TEXT(R9,"(000) 000-0000")&amp;""&amp;CHAR(10)&amp;"Case Transfer Email: "&amp;S9&amp;""&amp;CHAR(10)&amp;"Office Hours: "
                         &amp;TEXT(M9,"H:MM AM/PM")&amp;" - "&amp;TEXT(N9,"H:MM AM/PM")&amp;" "&amp;O9&amp;""&amp;CHAR(10)&amp;""&amp;IF(U9
                                                                                                                                                                                                                     =0,
                                                                                                                                                                                                                        "",
                                                                                                                                                                                                                        "Assigned Zip Codes: "&amp;U9&amp;"")
                         &amp;"",
                    IF(I9
                         ="",
                           "",
                           "Phone Number: "&amp;TEXT(P8,"(000) 000-0000")&amp;""&amp;CHAR(10)&amp;"Fax Number: "&amp;TEXT(R8,"(000) 000-0000")&amp;""&amp;CHAR(10)&amp;"Case Transfer Email: "&amp;S8&amp;""&amp;CHAR(10)&amp;"Office Hours: "
                                &amp;TEXT(M8,"H:MM AM/PM")&amp;" - "&amp;TEXT(N8,"H:MM AM/PM")&amp;" "&amp;O8&amp;""&amp;CHAR(10)&amp;""&amp;IF(U8
                                                                                                                                                                                                                           =0,
                                                                                                                                                                                                                             "",
                                                                                                                                                                                                                             "Assigned Zip Codes: "&amp;U8&amp;"")
                                &amp;"")))</f>
        <v/>
      </c>
      <c r="D9" s="35" t="str">
        <f>IF('SSP APD AAA Branches'!$I$6
        ="",
          "",
          IF(I9
               &lt;&gt;"",
                    ""&amp;AB9&amp;""&amp;IF(AJ9
                                                   ="",
                                                     "",
                                                     " | ")
                         &amp;""&amp;AJ9&amp;""&amp;CHAR(10)&amp;""&amp;AC9&amp;""&amp;IF(AK9
                                                                                                           ="",
                                                                                                             "",
                                                                                                             " | ")
                         &amp;""&amp;AK9&amp;""&amp;CHAR(10)&amp;""&amp;AD9&amp;""&amp;IF(AL9
                                                                                                            ="",
                                                                                                              "",
                                                                                                              " | ")
                         &amp;""&amp;AL9&amp;""&amp;CHAR(10)&amp;""&amp;AE9&amp;""&amp;IF(AM9
                                                                                                            ="",
                                                                                                              "",
                                                                                                              " | ")
                         &amp;""&amp;AM9&amp;""&amp;CHAR(10)&amp;""&amp;AF9&amp;""&amp;IF(AN9
                                                                                                             ="",
                                                                                                               "",
                                                                                                               " | ")
                         &amp;""&amp;AN9&amp;""&amp;CHAR(10)&amp;""&amp;AG9&amp;""&amp;IF(AO9
                                                                                                             ="",
                                                                                                               "",
                                                                                                               " | ")
                         &amp;""&amp;AO9&amp;""&amp;CHAR(10)&amp;""&amp;AH9&amp;""&amp;IF(AP9
                                                                                                             ="",
                                                                                                               "",
                                                                                                               " | ")
                         &amp;""&amp;AP9&amp;""&amp;CHAR(10)&amp;""&amp;AI9&amp;""&amp;IF(AQ9
                                                                                                           ="",
                                                                                                             "",
                                                                                                             " | ")
                         &amp;""&amp;AQ9&amp;"",
                    IF(I9
                         ="",
                           "",
                           ""&amp;AB8&amp;""&amp;IF(AJ8
                                                          ="",
                                                            "",
                                                            " | ")
                                 &amp;""&amp;AJ8&amp;""&amp;CHAR(10)&amp;""&amp;AC8&amp;""&amp;IF(AK8
                                                                                                                   ="",
                                                                                                                     "",
                                                                                                                     " | ")
                                 &amp;""&amp;AK8&amp;""&amp;CHAR(10)&amp;""&amp;AD8&amp;""&amp;IF(AL8
                                                                                                                    ="",
                                                                                                                      "",
                                                                                                                      " | ")
                                 &amp;""&amp;AL8&amp;""&amp;CHAR(10)&amp;""&amp;AE8&amp;""&amp;IF(AM8
                                                                                                                   ="",
                                                                                                                     "",
                                                                                                                     " | ")
                                 &amp;""&amp;AM8&amp;""&amp;CHAR(10)&amp;""&amp;AF8&amp;""&amp;IF(AN8
                                                                                                                     ="",
                                                                                                                       "",
                                                                                                                       " | ")
                                 &amp;""&amp;AN8&amp;""&amp;CHAR(10)&amp;""&amp;AG8&amp;""&amp;IF(AO8
                                                                                                                     ="",
                                                                                                                       "",
                                                                                                                       " | ")
                                 &amp;""&amp;AO8&amp;""&amp;CHAR(10)&amp;""&amp;AH8&amp;""&amp;IF(AP8
                                                                                                                     ="",
                                                                                                                       "",
                                                                                                                       " | ")
                                 &amp;""&amp;AP8&amp;""&amp;CHAR(10)&amp;""&amp;AI8&amp;""&amp;IF(AQ8
                                                                                                                   ="",
                                                                                                                     "",
                                                                                                                     " | ")
                                  &amp;""&amp;AQ8&amp;"")))</f>
        <v/>
      </c>
      <c r="E9" s="15" t="str">
        <f>IF('SSP APD AAA Branches'!$I$6
        ="",
          "",
          IF('SSP APD AAA DB Code'!I9
               &lt;&gt;"",
                    HYPERLINK("mailto:"&amp;'SSP APD AAA DB Code'!S9&amp;"", "Click here to email"),
                    IF(I9
                         ="",
                           "",
                           HYPERLINK("mailto:"&amp;'SSP APD AAA DB Code'!S8&amp;"", "Click here to email"))))</f>
        <v/>
      </c>
      <c r="F9" s="7" t="str">
        <f>""</f>
        <v/>
      </c>
      <c r="G9" s="7" t="str">
        <f>IF('SSP APD AAA Branches'!$I$6
        ="",
            "",
            IF('SSP APD AAA DB Code'!I9
               &lt;&gt;"",
                    IF('SSP APD AAA DB Code'!AB9
                          ="",
                              "",
                              HYPERLINK("https://teams.microsoft.com/l/chat/0/0?users="&amp;'SSP APD AAA DB Code'!AJ9&amp;","&amp;'SSP APD AAA DB Code'!AK9&amp;","&amp;'SSP APD AAA DB Code'!AL9&amp;","&amp;'SSP APD AAA DB Code'!AM9&amp;",
                                        "&amp;'SSP APD AAA DB Code'!AN9&amp;","&amp;'SSP APD AAA DB Code'!AO9&amp;"","Click here to send group IM")),
                    IF('SSP APD AAA DB Code'!I9
                         ="",
                             "",
                             HYPERLINK("https://teams.microsoft.com/l/chat/0/0?users="&amp;'SSP APD AAA DB Code'!AJ8&amp;","&amp;'SSP APD AAA DB Code'!AK8&amp;","&amp;'SSP APD AAA DB Code'!AL8&amp;","&amp;'SSP APD AAA DB Code'!AM8&amp;",
                                       "&amp;'SSP APD AAA DB Code'!AN8&amp;","&amp;'SSP APD AAA DB Code'!AO8&amp;"","Click here to send group IM"))))</f>
        <v/>
      </c>
      <c r="H9" s="15" t="str">
        <f ca="1">IF(LEN('SSP APD AAA Branches'!$I$6)
       &lt;=2,
           IF(ISERROR(ROW(IF(ISNA(INDEX(INDIRECT("I"&amp;H8+1):$I$127,MATCH('SSP APD AAA Branches'!$I$6,INDIRECT("T"&amp;H8+1):$T$127,0)))
                                                     =TRUE,
                                                        "",
                                                        INDEX(INDIRECT("I"&amp;H8+1):$I$127,MATCH('SSP APD AAA Branches'!$I$6,INDIRECT("T"&amp;H8+1):$T$127,0)))))
                =TRUE,
                   "",
                   ROW(IF(ISNA(INDEX(INDIRECT("I"&amp;H8+1):$I$127,MATCH('SSP APD AAA Branches'!$I$6,INDIRECT("T"&amp;H8+1):$T$127,0)))
                                    =TRUE,
                                       "",
                                      INDEX(INDIRECT("I"&amp;H8+1):$I$127,MATCH('SSP APD AAA Branches'!$I$6,INDIRECT("T"&amp;H8+1):$T$127,0))))),
           IF(ISERROR(ROW(IF(ISNA(INDEX(INDIRECT("I"&amp;H8+1):$I$127,MATCH("*"&amp;'SSP APD AAA Branches'!$I$6&amp;"*",INDIRECT("U"&amp;H8+1):$U$127,0)))
                                                     =FALSE,
                                                       INDEX(INDIRECT("I"&amp;H8+1):$I$127,MATCH("*"&amp;'SSP APD AAA Branches'!$I$6&amp;"*",INDIRECT("U"&amp;H8+1):$U$127,0)),
                                                       IF(ISNA(INDEX(INDIRECT("I"&amp;H8+1):$I$127,MATCH("*"&amp;'SSP APD AAA Branches'!$I$6&amp;"*",INDIRECT("X"&amp;H8+1):$X$127,0)))
                                                             =FALSE,
                                                                INDEX(INDIRECT("I"&amp;H8+1):$I$127,MATCH("*"&amp;'SSP APD AAA Branches'!$I$6&amp;"*",INDIRECT("X"&amp;H8+1):$X$127,0)),
                                                                IF(ISNA(INDEX(INDIRECT("I"&amp;H8+1):$I$127,MATCH("*"&amp;'SSP APD AAA Branches'!$I$6&amp;"*",INDIRECT("L"&amp;H8+1):$L$127,0)))
                                                                      =FALSE,
                                                                         INDEX(INDIRECT("I"&amp;H8+1):$I$127,MATCH("*"&amp;'SSP APD AAA Branches'!$I$6&amp;"*",INDIRECT("L"&amp;H8+1):$L$127,0)),
                                                                         IF(ISNA(INDEX(INDIRECT("I"&amp;H8+1):$I$127,MATCH("*"&amp;'SSP APD AAA Branches'!$I$6&amp;"*",INDIRECT("AA"&amp;H8+1):$AA$127,0)))
                                                                              =FALSE,
                                                                                INDEX(INDIRECT("I"&amp;H8+1):$I$127,MATCH("*"&amp;'SSP APD AAA Branches'!$I$6&amp;"*",INDIRECT("AA"&amp;H8+1):$AA$127,0)),""))))))
                =TRUE,
                  "",
                  ROW(IF(ISNA(INDEX(INDIRECT("I"&amp;H8+1):$I$127,MATCH("*"&amp;'SSP APD AAA Branches'!$I$6&amp;"*",INDIRECT("U"&amp;H8+1):$U$127,0)))
                                    =FALSE,
                                      INDEX(INDIRECT("I"&amp;H8+1):$I$127,MATCH("*"&amp;'SSP APD AAA Branches'!$I$6&amp;"*",INDIRECT("U"&amp;H8+1):$U$127,0)),
                                      IF(ISNA(INDEX(INDIRECT("I"&amp;H8+1):$I$127,MATCH("*"&amp;'SSP APD AAA Branches'!$I$6&amp;"*",INDIRECT("AA"&amp;H8+1):$AA$127,0)))
                                           =FALSE,
                                              INDEX(INDIRECT("I"&amp;H8+1):$I$127,MATCH("*"&amp;'SSP APD AAA Branches'!$I$6&amp;"*",INDIRECT("AA"&amp;H8+1):$AA$127,0)),
                                              IF(ISNA(INDEX(INDIRECT("I"&amp;H8+1):$I$127,MATCH("*"&amp;'SSP APD AAA Branches'!$I$6&amp;"*",INDIRECT("L"&amp;H8+1):$L$127,0)))
                                                   =FALSE,
                                                     INDEX(INDIRECT("I"&amp;H8+1):$I$127,MATCH("*"&amp;'SSP APD AAA Branches'!$I$6&amp;"*",INDIRECT("L"&amp;H8+1):$L$127,0)),
                                                     IF(ISNA(INDEX(INDIRECT("I"&amp;H8+1):$I$127,MATCH("*"&amp;'SSP APD AAA Branches'!$I$6&amp;"*",INDIRECT("X"&amp;H8+1):$X$127,0)))
                                                           =FALSE,
                                                             INDEX(INDIRECT("I"&amp;H8+1):$I$127,MATCH("*"&amp;'SSP APD AAA Branches'!$I$6&amp;"*",INDIRECT("X"&amp;H8+1):$X$127,0)),
                                                              "")))))))</f>
        <v/>
      </c>
      <c r="I9" s="23" t="str">
        <f ca="1">IF(LEN('SSP APD AAA Branches'!$I$6)
        &lt;=2,
             IF($I$6
                   ="",
                     IF(ISERROR(IF(ISNA(INDEX(INDIRECT("I"&amp;H8+1):$I$127,MATCH('SSP APD AAA Branches'!$I$6,INDIRECT("T"&amp;H8+1):$T$127,0)))
                                                   =FALSE,
                                                      INDEX(INDIRECT("I"&amp;H8+1):$I$127,MATCH('SSP APD AAA Branches'!$I$6,INDIRECT("T"&amp;H8+1):$T$127,0)),
                                                      ""))
                           =TRUE,
                              "",
                              IF(ISNA(INDEX(INDIRECT("I"&amp;H8+1):$I$127,MATCH('SSP APD AAA Branches'!$I$6,INDIRECT("T"&amp;H8+1):$T$127,0)))
                                    =FALSE,
                                      INDEX(INDIRECT("I"&amp;H8+1):$I$127,MATCH('SSP APD AAA Branches'!$I$6,INDIRECT("T"&amp;H8+1):$T$127,0)),
                                      "")),
                      ""),
              IF($I$6
                    ="",
                      IF(ISERROR(IF(ISNA(INDEX(INDIRECT("I"&amp;H8+1):$I$127,MATCH("*"&amp;'SSP APD AAA Branches'!$I$6&amp;"*",INDIRECT("U"&amp;H8+1):$U$127,0)))
                                                   =FALSE,
                                                     INDEX(INDIRECT("I"&amp;H8+1):$I$127,MATCH("*"&amp;'SSP APD AAA Branches'!$I$6&amp;"*",INDIRECT("U"&amp;H8+1):$U$127,0)),
                                                     IF(ISNA(INDEX(INDIRECT("I"&amp;H8+1):$I$127,MATCH("*"&amp;'SSP APD AAA Branches'!$I$6&amp;"*",INDIRECT("X"&amp;H8+1):$X$127,0)))
                                                          =FALSE,
                                                            INDEX(INDIRECT("I"&amp;H8+1):$I$127,MATCH("*"&amp;'SSP APD AAA Branches'!$I$6&amp;"*",INDIRECT("X"&amp;H8+1):$X$127,0)),
                                                            IF(ISNA(INDEX(INDIRECT("I"&amp;H8+1):$I$127,MATCH("*"&amp;'SSP APD AAA Branches'!$I$6&amp;"*",INDIRECT("AA"&amp;H8+1):$AA$127,0)))
                                                                 =FALSE,
                                                                   INDEX(INDIRECT("I"&amp;H8+1):$I$127,MATCH("*"&amp;'SSP APD AAA Branches'!$I$6&amp;"*",INDIRECT("AA"&amp;H8+1):$AA$127,0)),
                                                                   ""))))
                             =TRUE,
                               "",
                               IF(ISNA(INDEX(INDIRECT("I"&amp;H8+1):$I$127,MATCH("*"&amp;'SSP APD AAA Branches'!$I$6&amp;"*",INDIRECT("U"&amp;H8+1):$U$127,0)))
                                     =FALSE,
                                        INDEX(INDIRECT("I"&amp;H8+1):$I$127,MATCH("*"&amp;'SSP APD AAA Branches'!$I$6&amp;"*",INDIRECT("U"&amp;H8+1):$U$127,0)),
                                          IF(ISNA(INDEX(INDIRECT("I"&amp;H8+1):$I$127,MATCH("*"&amp;'SSP APD AAA Branches'!$I$6&amp;"*",INDIRECT("AA"&amp;H8+1):$AA$127,0)))
                                               =FALSE,
                                                 INDEX(INDIRECT("I"&amp;H8+1):$I$127,MATCH("*"&amp;'SSP APD AAA Branches'!$I$6&amp;"*",INDIRECT("AA"&amp;H8+1):$AA$127,0)),
                                                 IF(ISNA(INDEX(INDIRECT("I"&amp;H8+1):$I$127,MATCH("*"&amp;'SSP APD AAA Branches'!$I$6&amp;"*",INDIRECT("L"&amp;H8+1):$L$127,0)))
                                                      =FALSE,
                                                        INDEX(INDIRECT("I"&amp;H8+1):$I$127,MATCH("*"&amp;'SSP APD AAA Branches'!$I$6&amp;"*",INDIRECT("L"&amp;H8+1):$L$127,0)),
                                                        IF(ISNA(INDEX(INDIRECT("I"&amp;H8+1):$I$127,MATCH("*"&amp;'SSP APD AAA Branches'!$I$6&amp;"*",INDIRECT("X"&amp;H8+1):$X$127,0)))
                                                             =FALSE,
                                                                INDEX(INDIRECT("I"&amp;H8+1):$I$127,MATCH("*"&amp;'SSP APD AAA Branches'!$I$6&amp;"*",INDIRECT("X"&amp;H8+1):$X$127,0)),
                                                                ""))))),
                      ""))</f>
        <v/>
      </c>
      <c r="J9" s="20" t="str">
        <f ca="1">IF(ISNA(VLOOKUP($I$9,$I$22:$AA$127,2,FALSE))
       =TRUE,
         "",
         VLOOKUP($I$9,$I$22:$AA$127,2,FALSE))</f>
        <v/>
      </c>
      <c r="K9" s="20" t="str">
        <f ca="1">IF(ISNA(VLOOKUP($I$9,$I$22:$AA$127,3,FALSE))
       =TRUE,
         "",
         VLOOKUP($I$9,$I$22:$AA$127,3,FALSE))</f>
        <v/>
      </c>
      <c r="L9" s="20" t="str">
        <f ca="1">IF(ISNA(VLOOKUP($I$9,$I$22:$AA$127,4,FALSE))
       =TRUE,
         "",
         VLOOKUP($I$9,$I$22:$AA$127,4,FALSE))</f>
        <v/>
      </c>
      <c r="M9" s="17" t="str">
        <f ca="1">IF(ISNA(VLOOKUP($I$9,$I$22:$AA$127,5,FALSE))
        =TRUE,
          "",
          VLOOKUP($I$9,$I$22:$AA$127,5,FALSE))</f>
        <v/>
      </c>
      <c r="N9" s="17" t="str">
        <f ca="1">IF(ISNA(VLOOKUP($I$9,$I$22:$AA$127,6,FALSE))
        =TRUE,
          "",
          VLOOKUP($I$9,$I$22:$AA$127,6,FALSE))</f>
        <v/>
      </c>
      <c r="O9" s="20" t="str">
        <f ca="1">IF(ISNA(VLOOKUP($I$9,$I$22:$AA$127,7,FALSE))
       =TRUE,
         "",
         VLOOKUP($I$9,$I$22:$AA$127,7,FALSE))</f>
        <v/>
      </c>
      <c r="P9" s="19" t="str">
        <f ca="1">IF(ISNA(VLOOKUP($I$9,$I$22:$AA$127,8,FALSE))
       =TRUE,
         "",
         VLOOKUP($I$9,$I$22:$AA$127,8,FALSE))</f>
        <v/>
      </c>
      <c r="Q9" s="18" t="str">
        <f ca="1">IF(ISNA(VLOOKUP($I$9,$I$22:$AA$127,9,FALSE))
        =TRUE,
          "",
          VLOOKUP($I$9,$I$22:$AA$127,9,FALSE))</f>
        <v/>
      </c>
      <c r="R9" s="19" t="str">
        <f ca="1">IF(ISNA(VLOOKUP($I$9,$I$22:$AA$127,10,FALSE))
        =TRUE,
          "",
          VLOOKUP($I$9,$I$22:$AA$127,10,FALSE))</f>
        <v/>
      </c>
      <c r="S9" s="20" t="e">
        <f ca="1">IF(VLOOKUP($I$9,$I$22:$AA$127,11,FALSE)
       ="",
         "No Case Transfer Email has been Submitted.",
         IF(ISNA(VLOOKUP($I$9,$I$22:$AA$127,11,FALSE))
              =TRUE,
                "",
                VLOOKUP($I$9,$I$22:$AA$127,11,FALSE)))</f>
        <v>#N/A</v>
      </c>
      <c r="T9" s="21" t="str">
        <f ca="1">IF(ISNA(VLOOKUP($I$9,$I$22:$AA$127,12,FALSE))
       =TRUE,
         "",
         VLOOKUP($I$9,$I$22:$AA$127,12,FALSE))</f>
        <v/>
      </c>
      <c r="U9" s="20" t="str">
        <f ca="1">IF(ISNA(VLOOKUP($I$9,$I$22:$AA$127,13,FALSE))
       =TRUE,
         "",
         VLOOKUP($I$9,$I$22:$AA$127,13,FALSE))</f>
        <v/>
      </c>
      <c r="V9" s="20" t="str">
        <f ca="1">IF(ISNA(VLOOKUP($I$9,$I$22:$AA$127,14,FALSE))
       =TRUE,
         "",
         VLOOKUP($I$9,$I$22:$AA$127,14,FALSE))</f>
        <v/>
      </c>
      <c r="W9" s="20" t="str">
        <f ca="1">IF(ISNA(VLOOKUP($I$9,$I$22:$AA$127,15,FALSE))
       =TRUE,
         "",
         IF(VLOOKUP($I$9,$I$22:$AA$127,15,FALSE)
              =0,
                "",
                VLOOKUP($I$9,$I$22:$AA$127,15,FALSE)))</f>
        <v/>
      </c>
      <c r="X9" s="20" t="str">
        <f ca="1">IF(ISNA(VLOOKUP($I$9,$I$22:$AA$127,16,FALSE))
       =TRUE,
         "",
         VLOOKUP($I$9,$I$22:$AA$127,16,FALSE))</f>
        <v/>
      </c>
      <c r="Y9" s="20" t="str">
        <f ca="1">IF(ISNA(VLOOKUP($I$9,$I$22:$AA$127,17,FALSE))
        =TRUE,
          "",
          VLOOKUP($I$9,$I$22:$AA$127,17,FALSE))</f>
        <v/>
      </c>
      <c r="Z9" s="20" t="str">
        <f ca="1">IF(ISNA(VLOOKUP($I$9,$I$22:$AA$127,18,FALSE))
        =TRUE,
          "",
          VLOOKUP($I$9,$I$22:$AA$127,18,FALSE))</f>
        <v/>
      </c>
      <c r="AA9" s="20" t="str">
        <f ca="1">IF(ISNA(VLOOKUP($I$9,$I$22:$AA$127,19,FALSE))
        =TRUE,
          "",
          VLOOKUP($I$9,$I$22:$AA$127,19,FALSE))</f>
        <v/>
      </c>
      <c r="AB9" s="20" t="str">
        <f ca="1">IF(IF(ISNA(VLOOKUP($I$9,$I$22:$AQ$127,20,FALSE))
             =TRUE,
               "",
               VLOOKUP($I$9,$I$22:$AQ$127,20,FALSE))
        =0,
          "",
          IF(ISNA(VLOOKUP($I$9,$I$22:$AQ$127,20,FALSE))
               =TRUE,
                 "",
                 VLOOKUP($I$9,$I$22:$AQ$127,20,FALSE)))</f>
        <v/>
      </c>
      <c r="AC9" s="20" t="str">
        <f ca="1">IF(IF(ISNA(VLOOKUP($I$9,$I$22:$AQ$127,21,FALSE))
             =TRUE,
               "",
               VLOOKUP($I$9,$I$22:$AQ$127,21,FALSE))
        =0,
          "",
          IF(ISNA(VLOOKUP($I$9,$I$22:$AQ$127,21,FALSE))
               =TRUE,
                 "",
                 VLOOKUP($I$9,$I$22:$AQ$127,21,FALSE)))</f>
        <v/>
      </c>
      <c r="AD9" s="20" t="str">
        <f ca="1">IF(IF(ISNA(VLOOKUP($I$9,$I$22:$AQ$127,22,FALSE))
             =TRUE,
               "",
               VLOOKUP($I$9,$I$22:$AQ$127,22,FALSE))
        =0,
          "",
          IF(ISNA(VLOOKUP($I$9,$I$22:$AQ$127,22,FALSE))
               =TRUE,
                 "",
                 VLOOKUP($I$9,$I$22:$AQ$127,22,FALSE)))</f>
        <v/>
      </c>
      <c r="AE9" s="20" t="str">
        <f ca="1">IF(IF(ISNA(VLOOKUP($I$9,$I$22:$AQ$127,23,FALSE))
             =TRUE,
               "",
               VLOOKUP($I$9,$I$22:$AQ$127,23,FALSE))
        =0,
          "",
          IF(ISNA(VLOOKUP($I$9,$I$22:$AQ$127,23,FALSE))
               =TRUE,
                  "",
                  VLOOKUP($I$9,$I$22:$AQ$127,23,FALSE)))</f>
        <v/>
      </c>
      <c r="AF9" s="20" t="str">
        <f ca="1">IF(IF(ISNA(VLOOKUP($I$9,$I$22:$AQ$127,24,FALSE))
             =TRUE,
               "",
               VLOOKUP($I$9,$I$22:$AQ$127,24,FALSE))
        =0,
          "",
          IF(ISNA(VLOOKUP($I$9,$I$22:$AQ$127,24,FALSE))
               =TRUE,
                 "",
                 VLOOKUP($I$9,$I$22:$AQ$127,24,FALSE)))</f>
        <v/>
      </c>
      <c r="AG9" s="20" t="str">
        <f ca="1">IF(IF(ISNA(VLOOKUP($I$9,$I$22:$AQ$127,25,FALSE))
             =TRUE,
               "",
               VLOOKUP($I$9,$I$22:$AQ$127,25,FALSE))
        =0,
          "",
          IF(ISNA(VLOOKUP($I$9,$I$22:$AQ$127,25,FALSE))
               =TRUE,
                 "",
                 VLOOKUP($I$9,$I$22:$AQ$127,25,FALSE)))</f>
        <v/>
      </c>
      <c r="AH9" s="20" t="str">
        <f ca="1">IF(IF(ISNA(VLOOKUP($I$9,$I$22:$AQ$127,26,FALSE))
             =TRUE,
               "",
               VLOOKUP($I$9,$I$22:$AQ$127,26,FALSE))
        =0,
          "",
          IF(ISNA(VLOOKUP($I$9,$I$22:$AQ$127,26,FALSE))
               =TRUE,
                 "",
                 VLOOKUP($I$9,$I$22:$AQ$127,26,FALSE)))</f>
        <v/>
      </c>
      <c r="AI9" s="20" t="str">
        <f ca="1">IF(IF(ISNA(VLOOKUP($I$9,$I$22:$AQ$127,27,FALSE))
             =TRUE,
               "",
               VLOOKUP($I$9,$I$22:$AQ$127,27,FALSE))
        =0,
          "",
          IF(ISNA(VLOOKUP($I$9,$I$22:$AQ$127,27,FALSE))
               =TRUE,
                  "",
                  VLOOKUP($I$9,$I$22:$AQ$127,27,FALSE)))</f>
        <v/>
      </c>
      <c r="AJ9" s="20" t="str">
        <f ca="1">IF(IF(ISNA(VLOOKUP($I$9,$I$22:$AQ$127,28,FALSE))
             =TRUE,
               "",
               VLOOKUP($I$9,$I$22:$AQ$127,28,FALSE))
        =0,
          "",
          IF(ISNA(VLOOKUP($I$9,$I$22:$AQ$127,28,FALSE))
               =TRUE,
                  "",
                  VLOOKUP($I$9,$I$22:$AQ$127,28,FALSE)))</f>
        <v/>
      </c>
      <c r="AK9" s="20" t="str">
        <f ca="1">IF(IF(ISNA(VLOOKUP($I$9,$I$22:$AQ$127,29,FALSE))
             =TRUE,
               "",
               VLOOKUP($I$9,$I$22:$AQ$127,29,FALSE))
        =0,
          "",
          IF(ISNA(VLOOKUP($I$9,$I$22:$AQ$127,29,FALSE))
               =TRUE,
                 "",
                 VLOOKUP($I$9,$I$22:$AQ$127,29,FALSE)))</f>
        <v/>
      </c>
      <c r="AL9" s="20" t="str">
        <f ca="1">IF(IF(ISNA(VLOOKUP($I$9,$I$22:$AQ$127,30,FALSE))
             =TRUE,
               "",
               VLOOKUP($I$9,$I$22:$AQ$127,30,FALSE))
        =0,
          "",
          IF(ISNA(VLOOKUP($I$9,$I$22:$AQ$127,30,FALSE))
               =TRUE,
                 "",
                 VLOOKUP($I$9,$I$22:$AQ$127,30,FALSE)))</f>
        <v/>
      </c>
      <c r="AM9" s="20" t="str">
        <f ca="1">IF(IF(ISNA(VLOOKUP($I$9,$I$22:$AQ$127,31,FALSE))
             =TRUE,
               "",
               VLOOKUP($I$9,$I$22:$AQ$127,31,FALSE))
       =0,
          "",
          IF(ISNA(VLOOKUP($I$9,$I$22:$AQ$127,31,FALSE))
               =TRUE,
                 "",
                 VLOOKUP($I$9,$I$22:$AQ$127,31,FALSE)))</f>
        <v/>
      </c>
      <c r="AN9" s="20" t="str">
        <f ca="1">IF(IF(ISNA(VLOOKUP($I$9,$I$22:$AQ$127,32,FALSE))
             =TRUE,
                "",
                VLOOKUP($I$9,$I$22:$AQ$127,32,FALSE))
        =0,
          "",
          IF(ISNA(VLOOKUP($I$9,$I$22:$AQ$127,32,FALSE))
               =TRUE,
                 "",
                 VLOOKUP($I$9,$I$22:$AQ$127,32,FALSE)))</f>
        <v/>
      </c>
      <c r="AO9" s="20" t="str">
        <f ca="1">IF(IF(ISNA(VLOOKUP($I$9,$I$22:$AQ$127,33,FALSE))
             =TRUE,
               "",
               VLOOKUP($I$9,$I$22:$AQ$127,33,FALSE))
       =0,
         "",
         IF(ISNA(VLOOKUP($I$9,$I$22:$AQ$127,33,FALSE))
              =TRUE,
                "",
                VLOOKUP($I$9,$I$22:$AQ$127,33,FALSE)))</f>
        <v/>
      </c>
      <c r="AP9" s="20" t="str">
        <f ca="1">IF(IF(ISNA(VLOOKUP($I$9,$I$22:$AQ$127,34,FALSE))
             =TRUE,
               "",
               VLOOKUP($I$9,$I$22:$AQ$127,34,FALSE))
        =0,
          "",
          IF(ISNA(VLOOKUP($I$9,$I$22:$AQ$127,34,FALSE))
               =TRUE,
                 "",
                 VLOOKUP($I$9,$I$22:$AQ$127,34,FALSE)))</f>
        <v/>
      </c>
      <c r="AQ9" s="20" t="str">
        <f ca="1">IF(IF(ISNA(VLOOKUP($I$9,$I$22:$AQ$127,35,FALSE))
             =TRUE,
                "",
                VLOOKUP($I$9,$I$22:$AQ$127,35,FALSE))
        =0,
          "",
          IF(ISNA(VLOOKUP($I$9,$I$22:$AQ$127,35,FALSE))
               =TRUE,
                 "",
                 VLOOKUP($I$9,$I$22:$AQ$127,35,FALSE)))</f>
        <v/>
      </c>
    </row>
    <row r="10" spans="1:44" x14ac:dyDescent="0.25">
      <c r="A10" s="7">
        <v>4</v>
      </c>
      <c r="B10" s="15" t="str">
        <f>IF('SSP APD AAA Branches'!$I$6
        ="",
          "",
          IF(I10
               ="",
                  "",
                  ""&amp;L10&amp;""&amp;J10&amp;" "&amp;K10&amp;""&amp;CHAR(10)&amp;""&amp;V10&amp;" "&amp;W10&amp;""&amp;CHAR(10)&amp;""&amp;X10&amp;", "&amp;Y10&amp;" "&amp;Z10&amp;""&amp;CHAR(10)&amp;""&amp;AA10&amp;" County"&amp;CHAR(10)&amp;"District "&amp;T10&amp;""))</f>
        <v/>
      </c>
      <c r="C10" s="15" t="str">
        <f>IF('SSP APD AAA Branches'!$I$6
        ="",
          "",
          IF(I10
               &lt;&gt;"",
                    "Phone Number: "&amp;TEXT(P10,"(000) 000-0000")&amp;""&amp;CHAR(10)&amp;"Fax Number: "&amp;TEXT(R10,"(000) 000-0000")&amp;""&amp;CHAR(10)&amp;"Case Transfer Email: "&amp;S10&amp;""&amp;CHAR(10)&amp;"Office Hours: "
                         &amp;TEXT(M10,"H:MM AM/PM")&amp;" - "&amp;TEXT(N10,"H:MM AM/PM")&amp;" "&amp;O10&amp;""&amp;CHAR(10)&amp;""&amp;IF(U10
                                                                                                                                                                                                                     =0,
                                                                                                                                                                                                                        "",
                                                                                                                                                                                                                        "Assigned Zip Codes: "&amp;U10&amp;"")
                         &amp;"",
                    IF(I10
                         ="",
                           "",
                           "Phone Number: "&amp;TEXT(P9,"(000) 000-0000")&amp;""&amp;CHAR(10)&amp;"Fax Number: "&amp;TEXT(R9,"(000) 000-0000")&amp;""&amp;CHAR(10)&amp;"Case Transfer Email: "&amp;S9&amp;""&amp;CHAR(10)&amp;"Office Hours: "
                                &amp;TEXT(M9,"H:MM AM/PM")&amp;" - "&amp;TEXT(N9,"H:MM AM/PM")&amp;" "&amp;O9&amp;""&amp;CHAR(10)&amp;""&amp;IF(U9
                                                                                                                                                                                                                           =0,
                                                                                                                                                                                                                             "",
                                                                                                                                                                                                                             "Assigned Zip Codes: "&amp;U9&amp;"")
                                &amp;"")))</f>
        <v/>
      </c>
      <c r="D10" s="35" t="str">
        <f>IF('SSP APD AAA Branches'!$I$6
        ="",
          "",
          IF(I10
               &lt;&gt;"",
                    ""&amp;AB10&amp;""&amp;IF(AJ10
                                                   ="",
                                                     "",
                                                     " | ")
                         &amp;""&amp;AJ10&amp;""&amp;CHAR(10)&amp;""&amp;AC10&amp;""&amp;IF(AK10
                                                                                                           ="",
                                                                                                             "",
                                                                                                             " | ")
                         &amp;""&amp;AK10&amp;""&amp;CHAR(10)&amp;""&amp;AD10&amp;""&amp;IF(AL10
                                                                                                            ="",
                                                                                                              "",
                                                                                                              " | ")
                         &amp;""&amp;AL10&amp;""&amp;CHAR(10)&amp;""&amp;AE10&amp;""&amp;IF(AM10
                                                                                                            ="",
                                                                                                              "",
                                                                                                              " | ")
                         &amp;""&amp;AM10&amp;""&amp;CHAR(10)&amp;""&amp;AF10&amp;""&amp;IF(AN10
                                                                                                             ="",
                                                                                                               "",
                                                                                                               " | ")
                         &amp;""&amp;AN10&amp;""&amp;CHAR(10)&amp;""&amp;AG10&amp;""&amp;IF(AO10
                                                                                                             ="",
                                                                                                               "",
                                                                                                               " | ")
                         &amp;""&amp;AO10&amp;""&amp;CHAR(10)&amp;""&amp;AH10&amp;""&amp;IF(AP10
                                                                                                             ="",
                                                                                                               "",
                                                                                                               " | ")
                         &amp;""&amp;AP10&amp;""&amp;CHAR(10)&amp;""&amp;AI10&amp;""&amp;IF(AQ10
                                                                                                           ="",
                                                                                                             "",
                                                                                                             " | ")
                         &amp;""&amp;AQ10&amp;"",
                    IF(I10
                         ="",
                           "",
                           ""&amp;AB9&amp;""&amp;IF(AJ9
                                                          ="",
                                                            "",
                                                            " | ")
                                 &amp;""&amp;AJ9&amp;""&amp;CHAR(10)&amp;""&amp;AC9&amp;""&amp;IF(AK9
                                                                                                                   ="",
                                                                                                                     "",
                                                                                                                     " | ")
                                 &amp;""&amp;AK9&amp;""&amp;CHAR(10)&amp;""&amp;AD9&amp;""&amp;IF(AL9
                                                                                                                    ="",
                                                                                                                      "",
                                                                                                                      " | ")
                                 &amp;""&amp;AL9&amp;""&amp;CHAR(10)&amp;""&amp;AE9&amp;""&amp;IF(AM9
                                                                                                                   ="",
                                                                                                                     "",
                                                                                                                     " | ")
                                 &amp;""&amp;AM9&amp;""&amp;CHAR(10)&amp;""&amp;AF9&amp;""&amp;IF(AN9
                                                                                                                     ="",
                                                                                                                       "",
                                                                                                                       " | ")
                                 &amp;""&amp;AN9&amp;""&amp;CHAR(10)&amp;""&amp;AG9&amp;""&amp;IF(AO9
                                                                                                                     ="",
                                                                                                                       "",
                                                                                                                       " | ")
                                 &amp;""&amp;AO9&amp;""&amp;CHAR(10)&amp;""&amp;AH9&amp;""&amp;IF(AP9
                                                                                                                     ="",
                                                                                                                       "",
                                                                                                                       " | ")
                                 &amp;""&amp;AP9&amp;""&amp;CHAR(10)&amp;""&amp;AI9&amp;""&amp;IF(AQ9
                                                                                                                   ="",
                                                                                                                     "",
                                                                                                                     " | ")
                                  &amp;""&amp;AQ9&amp;"")))</f>
        <v/>
      </c>
      <c r="E10" s="15" t="str">
        <f>IF('SSP APD AAA Branches'!$I$6
        ="",
          "",
          IF(I10
               &lt;&gt;"",
                    HYPERLINK("mailto:"&amp;'SSP APD AAA DB Code'!S10&amp;"", "Click here to email"),
                    IF(I10
                         ="",
                           "",
                           HYPERLINK("mailto:"&amp;'SSP APD AAA DB Code'!S9&amp;"", "Click here to email"))))</f>
        <v/>
      </c>
      <c r="F10" s="7" t="str">
        <f>""</f>
        <v/>
      </c>
      <c r="G10" s="7" t="str">
        <f>IF('SSP APD AAA Branches'!$I$6
        ="",
            "",
            IF('SSP APD AAA DB Code'!I10
               &lt;&gt;"",
                    IF('SSP APD AAA DB Code'!AB10
                          ="",
                              "",
                              HYPERLINK("https://teams.microsoft.com/l/chat/0/0?users="&amp;'SSP APD AAA DB Code'!AJ10&amp;","&amp;'SSP APD AAA DB Code'!AK10&amp;","&amp;'SSP APD AAA DB Code'!AL10&amp;","&amp;'SSP APD AAA DB Code'!AM10&amp;",
                                        "&amp;'SSP APD AAA DB Code'!AN10&amp;","&amp;'SSP APD AAA DB Code'!AO10&amp;"","Click here to send group IM")),
                    IF('SSP APD AAA DB Code'!I10
                         ="",
                             "",
                             HYPERLINK("https://teams.microsoft.com/l/chat/0/0?users="&amp;'SSP APD AAA DB Code'!AJ9&amp;","&amp;'SSP APD AAA DB Code'!AK9&amp;","&amp;'SSP APD AAA DB Code'!AL9&amp;","&amp;'SSP APD AAA DB Code'!AM9&amp;",
                                       "&amp;'SSP APD AAA DB Code'!AN9&amp;","&amp;'SSP APD AAA DB Code'!AO9&amp;"","Click here to send group IM"))))</f>
        <v/>
      </c>
      <c r="H10" s="15" t="str">
        <f ca="1">IF(LEN('SSP APD AAA Branches'!$I$6)
       &lt;=2,
           IF(ISERROR(ROW(IF(ISNA(INDEX(INDIRECT("I"&amp;H9+1):$I$127,MATCH('SSP APD AAA Branches'!$I$6,INDIRECT("T"&amp;H9+1):$T$127,0)))
                                                     =TRUE,
                                                        "",
                                                        INDEX(INDIRECT("I"&amp;H9+1):$I$127,MATCH('SSP APD AAA Branches'!$I$6,INDIRECT("T"&amp;H9+1):$T$127,0)))))
                =TRUE,
                   "",
                   ROW(IF(ISNA(INDEX(INDIRECT("I"&amp;H9+1):$I$127,MATCH('SSP APD AAA Branches'!$I$6,INDIRECT("T"&amp;H9+1):$T$127,0)))
                                    =TRUE,
                                       "",
                                      INDEX(INDIRECT("I"&amp;H9+1):$I$127,MATCH('SSP APD AAA Branches'!$I$6,INDIRECT("T"&amp;H9+1):$T$127,0))))),
           IF(ISERROR(ROW(IF(ISNA(INDEX(INDIRECT("I"&amp;H9+1):$I$127,MATCH("*"&amp;'SSP APD AAA Branches'!$I$6&amp;"*",INDIRECT("U"&amp;H9+1):$U$127,0)))
                                                     =FALSE,
                                                       INDEX(INDIRECT("I"&amp;H9+1):$I$127,MATCH("*"&amp;'SSP APD AAA Branches'!$I$6&amp;"*",INDIRECT("U"&amp;H9+1):$U$127,0)),
                                                       IF(ISNA(INDEX(INDIRECT("I"&amp;H9+1):$I$127,MATCH("*"&amp;'SSP APD AAA Branches'!$I$6&amp;"*",INDIRECT("X"&amp;H9+1):$X$127,0)))
                                                             =FALSE,
                                                                INDEX(INDIRECT("I"&amp;H9+1):$I$127,MATCH("*"&amp;'SSP APD AAA Branches'!$I$6&amp;"*",INDIRECT("X"&amp;H9+1):$X$127,0)),
                                                                IF(ISNA(INDEX(INDIRECT("I"&amp;H9+1):$I$127,MATCH("*"&amp;'SSP APD AAA Branches'!$I$6&amp;"*",INDIRECT("L"&amp;H9+1):$L$127,0)))
                                                                      =FALSE,
                                                                         INDEX(INDIRECT("I"&amp;H9+1):$I$127,MATCH("*"&amp;'SSP APD AAA Branches'!$I$6&amp;"*",INDIRECT("L"&amp;H9+1):$L$127,0)),
                                                                         IF(ISNA(INDEX(INDIRECT("I"&amp;H9+1):$I$127,MATCH("*"&amp;'SSP APD AAA Branches'!$I$6&amp;"*",INDIRECT("AA"&amp;H9+1):$AA$127,0)))
                                                                              =FALSE,
                                                                                INDEX(INDIRECT("I"&amp;H9+1):$I$127,MATCH("*"&amp;'SSP APD AAA Branches'!$I$6&amp;"*",INDIRECT("AA"&amp;H9+1):$AA$127,0)),""))))))
                =TRUE,
                  "",
                  ROW(IF(ISNA(INDEX(INDIRECT("I"&amp;H9+1):$I$127,MATCH("*"&amp;'SSP APD AAA Branches'!$I$6&amp;"*",INDIRECT("U"&amp;H9+1):$U$127,0)))
                                    =FALSE,
                                      INDEX(INDIRECT("I"&amp;H9+1):$I$127,MATCH("*"&amp;'SSP APD AAA Branches'!$I$6&amp;"*",INDIRECT("U"&amp;H9+1):$U$127,0)),
                                      IF(ISNA(INDEX(INDIRECT("I"&amp;H9+1):$I$127,MATCH("*"&amp;'SSP APD AAA Branches'!$I$6&amp;"*",INDIRECT("AA"&amp;H9+1):$AA$127,0)))
                                           =FALSE,
                                              INDEX(INDIRECT("I"&amp;H9+1):$I$127,MATCH("*"&amp;'SSP APD AAA Branches'!$I$6&amp;"*",INDIRECT("AA"&amp;H9+1):$AA$127,0)),
                                              IF(ISNA(INDEX(INDIRECT("I"&amp;H9+1):$I$127,MATCH("*"&amp;'SSP APD AAA Branches'!$I$6&amp;"*",INDIRECT("L"&amp;H9+1):$L$127,0)))
                                                   =FALSE,
                                                     INDEX(INDIRECT("I"&amp;H9+1):$I$127,MATCH("*"&amp;'SSP APD AAA Branches'!$I$6&amp;"*",INDIRECT("L"&amp;H9+1):$L$127,0)),
                                                     IF(ISNA(INDEX(INDIRECT("I"&amp;H9+1):$I$127,MATCH("*"&amp;'SSP APD AAA Branches'!$I$6&amp;"*",INDIRECT("X"&amp;H9+1):$X$127,0)))
                                                           =FALSE,
                                                             INDEX(INDIRECT("I"&amp;H9+1):$I$127,MATCH("*"&amp;'SSP APD AAA Branches'!$I$6&amp;"*",INDIRECT("X"&amp;H9+1):$X$127,0)),
                                                              "")))))))</f>
        <v/>
      </c>
      <c r="I10" s="23" t="str">
        <f ca="1">IF(LEN('SSP APD AAA Branches'!$I$6)
        &lt;=2,
             IF($I$6
                   ="",
                     IF(ISERROR(IF(ISNA(INDEX(INDIRECT("I"&amp;H9+1):$I$127,MATCH('SSP APD AAA Branches'!$I$6,INDIRECT("T"&amp;H9+1):$T$127,0)))
                                                   =FALSE,
                                                      INDEX(INDIRECT("I"&amp;H9+1):$I$127,MATCH('SSP APD AAA Branches'!$I$6,INDIRECT("T"&amp;H9+1):$T$127,0)),
                                                      ""))
                           =TRUE,
                              "",
                              IF(ISNA(INDEX(INDIRECT("I"&amp;H9+1):$I$127,MATCH('SSP APD AAA Branches'!$I$6,INDIRECT("T"&amp;H9+1):$T$127,0)))
                                    =FALSE,
                                      INDEX(INDIRECT("I"&amp;H9+1):$I$127,MATCH('SSP APD AAA Branches'!$I$6,INDIRECT("T"&amp;H9+1):$T$127,0)),
                                      "")),
                      ""),
              IF($I$6
                    ="",
                      IF(ISERROR(IF(ISNA(INDEX(INDIRECT("I"&amp;H9+1):$I$127,MATCH("*"&amp;'SSP APD AAA Branches'!$I$6&amp;"*",INDIRECT("U"&amp;H9+1):$U$127,0)))
                                                   =FALSE,
                                                     INDEX(INDIRECT("I"&amp;H9+1):$I$127,MATCH("*"&amp;'SSP APD AAA Branches'!$I$6&amp;"*",INDIRECT("U"&amp;H9+1):$U$127,0)),
                                                     IF(ISNA(INDEX(INDIRECT("I"&amp;H9+1):$I$127,MATCH("*"&amp;'SSP APD AAA Branches'!$I$6&amp;"*",INDIRECT("X"&amp;H9+1):$X$127,0)))
                                                          =FALSE,
                                                            INDEX(INDIRECT("I"&amp;H9+1):$I$127,MATCH("*"&amp;'SSP APD AAA Branches'!$I$6&amp;"*",INDIRECT("X"&amp;H9+1):$X$127,0)),
                                                            IF(ISNA(INDEX(INDIRECT("I"&amp;H9+1):$I$127,MATCH("*"&amp;'SSP APD AAA Branches'!$I$6&amp;"*",INDIRECT("AA"&amp;H9+1):$AA$127,0)))
                                                                 =FALSE,
                                                                   INDEX(INDIRECT("I"&amp;H9+1):$I$127,MATCH("*"&amp;'SSP APD AAA Branches'!$I$6&amp;"*",INDIRECT("AA"&amp;H9+1):$AA$127,0)),
                                                                   ""))))
                             =TRUE,
                               "",
                               IF(ISNA(INDEX(INDIRECT("I"&amp;H9+1):$I$127,MATCH("*"&amp;'SSP APD AAA Branches'!$I$6&amp;"*",INDIRECT("U"&amp;H9+1):$U$127,0)))
                                     =FALSE,
                                        INDEX(INDIRECT("I"&amp;H9+1):$I$127,MATCH("*"&amp;'SSP APD AAA Branches'!$I$6&amp;"*",INDIRECT("U"&amp;H9+1):$U$127,0)),
                                          IF(ISNA(INDEX(INDIRECT("I"&amp;H9+1):$I$127,MATCH("*"&amp;'SSP APD AAA Branches'!$I$6&amp;"*",INDIRECT("AA"&amp;H9+1):$AA$127,0)))
                                               =FALSE,
                                                 INDEX(INDIRECT("I"&amp;H9+1):$I$127,MATCH("*"&amp;'SSP APD AAA Branches'!$I$6&amp;"*",INDIRECT("AA"&amp;H9+1):$AA$127,0)),
                                                 IF(ISNA(INDEX(INDIRECT("I"&amp;H9+1):$I$127,MATCH("*"&amp;'SSP APD AAA Branches'!$I$6&amp;"*",INDIRECT("L"&amp;H9+1):$L$127,0)))
                                                      =FALSE,
                                                        INDEX(INDIRECT("I"&amp;H9+1):$I$127,MATCH("*"&amp;'SSP APD AAA Branches'!$I$6&amp;"*",INDIRECT("L"&amp;H9+1):$L$127,0)),
                                                        IF(ISNA(INDEX(INDIRECT("I"&amp;H9+1):$I$127,MATCH("*"&amp;'SSP APD AAA Branches'!$I$6&amp;"*",INDIRECT("X"&amp;H9+1):$X$127,0)))
                                                             =FALSE,
                                                                INDEX(INDIRECT("I"&amp;H9+1):$I$127,MATCH("*"&amp;'SSP APD AAA Branches'!$I$6&amp;"*",INDIRECT("X"&amp;H9+1):$X$127,0)),
                                                                ""))))),
                      ""))</f>
        <v/>
      </c>
      <c r="J10" s="20" t="str">
        <f ca="1">IF(ISNA(VLOOKUP($I$10,$I$22:$AA$127,2,FALSE))
       =TRUE,
         "",
         VLOOKUP($I$10,$I$22:$AA$127,2,FALSE))</f>
        <v/>
      </c>
      <c r="K10" s="20" t="str">
        <f ca="1">IF(ISNA(VLOOKUP($I$10,$I$22:$AA$127,3,FALSE))
       =TRUE,
         "",
         VLOOKUP($I$10,$I$22:$AA$127,3,FALSE))</f>
        <v/>
      </c>
      <c r="L10" s="20" t="str">
        <f ca="1">IF(ISNA(VLOOKUP($I$10,$I$22:$AA$127,4,FALSE))
       =TRUE,
         "",
         VLOOKUP($I$10,$I$22:$AA$127,4,FALSE))</f>
        <v/>
      </c>
      <c r="M10" s="17" t="str">
        <f ca="1">IF(ISNA(VLOOKUP($I$10,$I$22:$AA$127,5,FALSE))
        =TRUE,
          "",
          VLOOKUP($I$10,$I$22:$AA$127,5,FALSE))</f>
        <v/>
      </c>
      <c r="N10" s="17" t="str">
        <f ca="1">IF(ISNA(VLOOKUP($I$10,$I$22:$AA$127,6,FALSE))
        =TRUE,
          "",
          VLOOKUP($I$10,$I$22:$AA$127,6,FALSE))</f>
        <v/>
      </c>
      <c r="O10" s="20" t="str">
        <f ca="1">IF(ISNA(VLOOKUP($I$10,$I$22:$AA$127,7,FALSE))
       =TRUE,
         "",
         VLOOKUP($I$10,$I$22:$AA$127,7,FALSE))</f>
        <v/>
      </c>
      <c r="P10" s="19" t="str">
        <f ca="1">IF(ISNA(VLOOKUP($I$10,$I$22:$AA$127,8,FALSE))
       =TRUE,
         "",
         VLOOKUP($I$10,$I$22:$AA$127,8,FALSE))</f>
        <v/>
      </c>
      <c r="Q10" s="18" t="str">
        <f ca="1">IF(ISNA(VLOOKUP($I$10,$I$22:$AA$127,9,FALSE))
        =TRUE,
          "",
          VLOOKUP($I$10,$I$22:$AA$127,9,FALSE))</f>
        <v/>
      </c>
      <c r="R10" s="19" t="str">
        <f ca="1">IF(ISNA(VLOOKUP($I$10,$I$22:$AA$127,10,FALSE))
        =TRUE,
          "",
          VLOOKUP($I$10,$I$22:$AA$127,10,FALSE))</f>
        <v/>
      </c>
      <c r="S10" s="20" t="e">
        <f ca="1">IF(VLOOKUP($I$10,$I$22:$AA$127,11,FALSE)
       ="",
         "No Case Transfer Email has been Submitted.",
         IF(ISNA(VLOOKUP($I$10,$I$22:$AA$127,11,FALSE))
              =TRUE,
                "",
                VLOOKUP($I$10,$I$22:$AA$127,11,FALSE)))</f>
        <v>#N/A</v>
      </c>
      <c r="T10" s="21" t="str">
        <f ca="1">IF(ISNA(VLOOKUP($I$10,$I$22:$AA$127,12,FALSE))
       =TRUE,
         "",
         VLOOKUP($I$10,$I$22:$AA$127,12,FALSE))</f>
        <v/>
      </c>
      <c r="U10" s="20" t="str">
        <f ca="1">IF(ISNA(VLOOKUP($I$10,$I$22:$AA$127,13,FALSE))
       =TRUE,
         "",
         VLOOKUP($I$10,$I$22:$AA$127,13,FALSE))</f>
        <v/>
      </c>
      <c r="V10" s="20" t="str">
        <f ca="1">IF(ISNA(VLOOKUP($I$10,$I$22:$AA$127,14,FALSE))
       =TRUE,
         "",
         VLOOKUP($I$10,$I$22:$AA$127,14,FALSE))</f>
        <v/>
      </c>
      <c r="W10" s="20" t="str">
        <f ca="1">IF(ISNA(VLOOKUP($I$10,$I$22:$AA$127,15,FALSE))
       =TRUE,
         "",
         IF(VLOOKUP($I$10,$I$22:$AA$127,15,FALSE)
              =0,
                "",
                VLOOKUP($I$10,$I$22:$AA$127,15,FALSE)))</f>
        <v/>
      </c>
      <c r="X10" s="20" t="str">
        <f ca="1">IF(ISNA(VLOOKUP($I$10,$I$22:$AA$127,16,FALSE))
       =TRUE,
         "",
         VLOOKUP($I$10,$I$22:$AA$127,16,FALSE))</f>
        <v/>
      </c>
      <c r="Y10" s="20" t="str">
        <f ca="1">IF(ISNA(VLOOKUP($I$10,$I$22:$AA$127,17,FALSE))
        =TRUE,
          "",
          VLOOKUP($I$10,$I$22:$AA$127,17,FALSE))</f>
        <v/>
      </c>
      <c r="Z10" s="20" t="str">
        <f ca="1">IF(ISNA(VLOOKUP($I$10,$I$22:$AA$127,18,FALSE))
        =TRUE,
          "",
          VLOOKUP($I$10,$I$22:$AA$127,18,FALSE))</f>
        <v/>
      </c>
      <c r="AA10" s="20" t="str">
        <f ca="1">IF(ISNA(VLOOKUP($I$10,$I$22:$AA$127,19,FALSE))
        =TRUE,
          "",
          VLOOKUP($I$10,$I$22:$AA$127,19,FALSE))</f>
        <v/>
      </c>
      <c r="AB10" s="20" t="str">
        <f ca="1">IF(IF(ISNA(VLOOKUP($I$10,$I$22:$AQ$127,20,FALSE))
             =TRUE,
               "",
               VLOOKUP($I$10,$I$22:$AQ$127,20,FALSE))
        =0,
          "",
          IF(ISNA(VLOOKUP($I$10,$I$22:$AQ$127,20,FALSE))
               =TRUE,
                 "",
                 VLOOKUP($I$10,$I$22:$AQ$127,20,FALSE)))</f>
        <v/>
      </c>
      <c r="AC10" s="20" t="str">
        <f ca="1">IF(IF(ISNA(VLOOKUP($I$10,$I$22:$AQ$127,21,FALSE))
             =TRUE,
               "",
               VLOOKUP($I$10,$I$22:$AQ$127,21,FALSE))
        =0,
          "",
          IF(ISNA(VLOOKUP($I$10,$I$22:$AQ$127,21,FALSE))
               =TRUE,
                 "",
                 VLOOKUP($I$10,$I$22:$AQ$127,21,FALSE)))</f>
        <v/>
      </c>
      <c r="AD10" s="20" t="str">
        <f ca="1">IF(IF(ISNA(VLOOKUP($I$10,$I$22:$AQ$127,22,FALSE))
             =TRUE,
               "",
               VLOOKUP($I$10,$I$22:$AQ$127,22,FALSE))
        =0,
          "",
          IF(ISNA(VLOOKUP($I$10,$I$22:$AQ$127,22,FALSE))
               =TRUE,
                 "",
                 VLOOKUP($I$10,$I$22:$AQ$127,22,FALSE)))</f>
        <v/>
      </c>
      <c r="AE10" s="20" t="str">
        <f ca="1">IF(IF(ISNA(VLOOKUP($I$10,$I$22:$AQ$127,23,FALSE))
             =TRUE,
               "",
               VLOOKUP($I$10,$I$22:$AQ$127,23,FALSE))
        =0,
          "",
          IF(ISNA(VLOOKUP($I$10,$I$22:$AQ$127,23,FALSE))
               =TRUE,
                  "",
                  VLOOKUP($I$10,$I$22:$AQ$127,23,FALSE)))</f>
        <v/>
      </c>
      <c r="AF10" s="20" t="str">
        <f ca="1">IF(IF(ISNA(VLOOKUP($I$10,$I$22:$AQ$127,24,FALSE))
             =TRUE,
               "",
               VLOOKUP($I$10,$I$22:$AQ$127,24,FALSE))
        =0,
          "",
          IF(ISNA(VLOOKUP($I$10,$I$22:$AQ$127,24,FALSE))
               =TRUE,
                 "",
                 VLOOKUP($I$10,$I$22:$AQ$127,24,FALSE)))</f>
        <v/>
      </c>
      <c r="AG10" s="20" t="str">
        <f ca="1">IF(IF(ISNA(VLOOKUP($I$10,$I$22:$AQ$127,25,FALSE))
             =TRUE,
               "",
               VLOOKUP($I$10,$I$22:$AQ$127,25,FALSE))
        =0,
          "",
          IF(ISNA(VLOOKUP($I$10,$I$22:$AQ$127,25,FALSE))
               =TRUE,
                 "",
                 VLOOKUP($I$10,$I$22:$AQ$127,25,FALSE)))</f>
        <v/>
      </c>
      <c r="AH10" s="20" t="str">
        <f ca="1">IF(IF(ISNA(VLOOKUP($I$10,$I$22:$AQ$127,26,FALSE))
             =TRUE,
               "",
               VLOOKUP($I$10,$I$22:$AQ$127,26,FALSE))
        =0,
          "",
          IF(ISNA(VLOOKUP($I$10,$I$22:$AQ$127,26,FALSE))
               =TRUE,
                 "",
                 VLOOKUP($I$10,$I$22:$AQ$127,26,FALSE)))</f>
        <v/>
      </c>
      <c r="AI10" s="20" t="str">
        <f ca="1">IF(IF(ISNA(VLOOKUP($I$10,$I$22:$AQ$127,27,FALSE))
             =TRUE,
               "",
               VLOOKUP($I$10,$I$22:$AQ$127,27,FALSE))
        =0,
          "",
          IF(ISNA(VLOOKUP($I$10,$I$22:$AQ$127,27,FALSE))
               =TRUE,
                  "",
                  VLOOKUP($I$10,$I$22:$AQ$127,27,FALSE)))</f>
        <v/>
      </c>
      <c r="AJ10" s="20" t="str">
        <f ca="1">IF(IF(ISNA(VLOOKUP($I$10,$I$22:$AQ$127,28,FALSE))
             =TRUE,
               "",
               VLOOKUP($I$10,$I$22:$AQ$127,28,FALSE))
        =0,
          "",
          IF(ISNA(VLOOKUP($I$10,$I$22:$AQ$127,28,FALSE))
               =TRUE,
                  "",
                  VLOOKUP($I$10,$I$22:$AQ$127,28,FALSE)))</f>
        <v/>
      </c>
      <c r="AK10" s="20" t="str">
        <f ca="1">IF(IF(ISNA(VLOOKUP($I$10,$I$22:$AQ$127,29,FALSE))
             =TRUE,
               "",
               VLOOKUP($I$10,$I$22:$AQ$127,29,FALSE))
        =0,
          "",
          IF(ISNA(VLOOKUP($I$10,$I$22:$AQ$127,29,FALSE))
               =TRUE,
                 "",
                 VLOOKUP($I$10,$I$22:$AQ$127,29,FALSE)))</f>
        <v/>
      </c>
      <c r="AL10" s="20" t="str">
        <f ca="1">IF(IF(ISNA(VLOOKUP($I$10,$I$22:$AQ$127,30,FALSE))
             =TRUE,
               "",
               VLOOKUP($I$10,$I$22:$AQ$127,30,FALSE))
        =0,
          "",
          IF(ISNA(VLOOKUP($I$10,$I$22:$AQ$127,30,FALSE))
               =TRUE,
                 "",
                 VLOOKUP($I$10,$I$22:$AQ$127,30,FALSE)))</f>
        <v/>
      </c>
      <c r="AM10" s="20" t="str">
        <f ca="1">IF(IF(ISNA(VLOOKUP($I$10,$I$22:$AQ$127,31,FALSE))
             =TRUE,
               "",
               VLOOKUP($I$10,$I$22:$AQ$127,31,FALSE))
       =0,
          "",
          IF(ISNA(VLOOKUP($I$10,$I$22:$AQ$127,31,FALSE))
               =TRUE,
                 "",
                 VLOOKUP($I$10,$I$22:$AQ$127,31,FALSE)))</f>
        <v/>
      </c>
      <c r="AN10" s="20" t="str">
        <f ca="1">IF(IF(ISNA(VLOOKUP($I$10,$I$22:$AQ$127,32,FALSE))
             =TRUE,
                "",
                VLOOKUP($I$10,$I$22:$AQ$127,32,FALSE))
        =0,
          "",
          IF(ISNA(VLOOKUP($I$10,$I$22:$AQ$127,32,FALSE))
               =TRUE,
                 "",
                 VLOOKUP($I$10,$I$22:$AQ$127,32,FALSE)))</f>
        <v/>
      </c>
      <c r="AO10" s="20" t="str">
        <f ca="1">IF(IF(ISNA(VLOOKUP($I$10,$I$22:$AQ$127,33,FALSE))
             =TRUE,
               "",
               VLOOKUP($I$10,$I$22:$AQ$127,33,FALSE))
       =0,
         "",
         IF(ISNA(VLOOKUP($I$10,$I$22:$AQ$127,33,FALSE))
              =TRUE,
                "",
                VLOOKUP($I$10,$I$22:$AQ$127,33,FALSE)))</f>
        <v/>
      </c>
      <c r="AP10" s="20" t="str">
        <f ca="1">IF(IF(ISNA(VLOOKUP($I$10,$I$22:$AQ$127,34,FALSE))
             =TRUE,
               "",
               VLOOKUP($I$10,$I$22:$AQ$127,34,FALSE))
        =0,
          "",
          IF(ISNA(VLOOKUP($I$10,$I$22:$AQ$127,34,FALSE))
               =TRUE,
                 "",
                 VLOOKUP($I$10,$I$22:$AQ$127,34,FALSE)))</f>
        <v/>
      </c>
      <c r="AQ10" s="20" t="str">
        <f ca="1">IF(IF(ISNA(VLOOKUP($I$10,$I$22:$AQ$127,35,FALSE))
             =TRUE,
                "",
                VLOOKUP($I$10,$I$22:$AQ$127,35,FALSE))
        =0,
          "",
          IF(ISNA(VLOOKUP($I$10,$I$22:$AQ$127,35,FALSE))
               =TRUE,
                 "",
                 VLOOKUP($I$10,$I$22:$AQ$127,35,FALSE)))</f>
        <v/>
      </c>
    </row>
    <row r="11" spans="1:44" x14ac:dyDescent="0.25">
      <c r="A11" s="7">
        <v>5</v>
      </c>
      <c r="B11" s="15" t="str">
        <f>IF('SSP APD AAA Branches'!$I$6
        ="",
          "",
          IF(I11
               ="",
                  "",
                  ""&amp;L11&amp;""&amp;J11&amp;" "&amp;K11&amp;""&amp;CHAR(10)&amp;""&amp;V11&amp;" "&amp;W11&amp;""&amp;CHAR(10)&amp;""&amp;X11&amp;", "&amp;Y11&amp;" "&amp;Z11&amp;""&amp;CHAR(10)&amp;""&amp;AA11&amp;" County"&amp;CHAR(10)&amp;"District "&amp;T11&amp;""))</f>
        <v/>
      </c>
      <c r="C11" s="15" t="str">
        <f>IF('SSP APD AAA Branches'!$I$6
        ="",
          "",
          IF(I11
               &lt;&gt;"",
                    "Phone Number: "&amp;TEXT(P11,"(000) 000-0000")&amp;""&amp;CHAR(10)&amp;"Fax Number: "&amp;TEXT(R11,"(000) 000-0000")&amp;""&amp;CHAR(10)&amp;"Case Transfer Email: "&amp;S11&amp;""&amp;CHAR(10)&amp;"Office Hours: "
                         &amp;TEXT(M11,"H:MM AM/PM")&amp;" - "&amp;TEXT(N11,"H:MM AM/PM")&amp;" "&amp;O11&amp;""&amp;CHAR(10)&amp;""&amp;IF(U11
                                                                                                                                                                                                                     =0,
                                                                                                                                                                                                                        "",
                                                                                                                                                                                                                        "Assigned Zip Codes: "&amp;U11&amp;"")
                         &amp;"",
                    IF(I11
                         ="",
                           "",
                           "Phone Number: "&amp;TEXT(P10,"(000) 000-0000")&amp;""&amp;CHAR(10)&amp;"Fax Number: "&amp;TEXT(R10,"(000) 000-0000")&amp;""&amp;CHAR(10)&amp;"Case Transfer Email: "&amp;S10&amp;""&amp;CHAR(10)&amp;"Office Hours: "
                                &amp;TEXT(M10,"H:MM AM/PM")&amp;" - "&amp;TEXT(N10,"H:MM AM/PM")&amp;" "&amp;O10&amp;""&amp;CHAR(10)&amp;""&amp;IF(U10
                                                                                                                                                                                                                           =0,
                                                                                                                                                                                                                             "",
                                                                                                                                                                                                                             "Assigned Zip Codes: "&amp;U10&amp;"")
                                &amp;"")))</f>
        <v/>
      </c>
      <c r="D11" s="35" t="str">
        <f>IF('SSP APD AAA Branches'!$I$6
        ="",
          "",
          IF(I11
               &lt;&gt;"",
                    ""&amp;AB11&amp;""&amp;IF(AJ11
                                                   ="",
                                                     "",
                                                     " | ")
                         &amp;""&amp;AJ11&amp;""&amp;CHAR(10)&amp;""&amp;AC11&amp;""&amp;IF(AK11
                                                                                                           ="",
                                                                                                             "",
                                                                                                             " | ")
                         &amp;""&amp;AK11&amp;""&amp;CHAR(10)&amp;""&amp;AD11&amp;""&amp;IF(AL11
                                                                                                            ="",
                                                                                                              "",
                                                                                                              " | ")
                         &amp;""&amp;AL11&amp;""&amp;CHAR(10)&amp;""&amp;AE11&amp;""&amp;IF(AM11
                                                                                                            ="",
                                                                                                              "",
                                                                                                              " | ")
                         &amp;""&amp;AM11&amp;""&amp;CHAR(10)&amp;""&amp;AF11&amp;""&amp;IF(AN11
                                                                                                             ="",
                                                                                                               "",
                                                                                                               " | ")
                         &amp;""&amp;AN11&amp;""&amp;CHAR(10)&amp;""&amp;AG11&amp;""&amp;IF(AO11
                                                                                                             ="",
                                                                                                               "",
                                                                                                               " | ")
                         &amp;""&amp;AO11&amp;""&amp;CHAR(10)&amp;""&amp;AH11&amp;""&amp;IF(AP11
                                                                                                             ="",
                                                                                                               "",
                                                                                                               " | ")
                         &amp;""&amp;AP11&amp;""&amp;CHAR(10)&amp;""&amp;AI11&amp;""&amp;IF(AQ11
                                                                                                           ="",
                                                                                                             "",
                                                                                                             " | ")
                         &amp;""&amp;AQ11&amp;"",
                    IF(I11
                         ="",
                           "",
                           ""&amp;AB10&amp;""&amp;IF(AJ10
                                                          ="",
                                                            "",
                                                            " | ")
                                 &amp;""&amp;AJ10&amp;""&amp;CHAR(10)&amp;""&amp;AC10&amp;""&amp;IF(AK10
                                                                                                                   ="",
                                                                                                                     "",
                                                                                                                     " | ")
                                 &amp;""&amp;AK10&amp;""&amp;CHAR(10)&amp;""&amp;AD10&amp;""&amp;IF(AL10
                                                                                                                    ="",
                                                                                                                      "",
                                                                                                                      " | ")
                                 &amp;""&amp;AL10&amp;""&amp;CHAR(10)&amp;""&amp;AE10&amp;""&amp;IF(AM10
                                                                                                                   ="",
                                                                                                                     "",
                                                                                                                     " | ")
                                 &amp;""&amp;AM10&amp;""&amp;CHAR(10)&amp;""&amp;AF10&amp;""&amp;IF(AN10
                                                                                                                     ="",
                                                                                                                       "",
                                                                                                                       " | ")
                                 &amp;""&amp;AN10&amp;""&amp;CHAR(10)&amp;""&amp;AG10&amp;""&amp;IF(AO10
                                                                                                                     ="",
                                                                                                                       "",
                                                                                                                       " | ")
                                 &amp;""&amp;AO10&amp;""&amp;CHAR(10)&amp;""&amp;AH10&amp;""&amp;IF(AP10
                                                                                                                     ="",
                                                                                                                       "",
                                                                                                                       " | ")
                                 &amp;""&amp;AP10&amp;""&amp;CHAR(10)&amp;""&amp;AI10&amp;""&amp;IF(AQ10
                                                                                                                   ="",
                                                                                                                     "",
                                                                                                                     " | ")
                                  &amp;""&amp;AQ10&amp;"")))</f>
        <v/>
      </c>
      <c r="E11" s="15" t="str">
        <f>IF('SSP APD AAA Branches'!$I$6
        ="",
          "",
          IF(I11
               &lt;&gt;"",
                    HYPERLINK("mailto:"&amp;'SSP APD AAA DB Code'!S11&amp;"", "Click here to email"),
                    IF(I11
                         ="",
                           "",
                           HYPERLINK("mailto:"&amp;'SSP APD AAA DB Code'!S10&amp;"", "Click here to email"))))</f>
        <v/>
      </c>
      <c r="F11" s="7" t="str">
        <f>""</f>
        <v/>
      </c>
      <c r="G11" s="7" t="str">
        <f>IF('SSP APD AAA Branches'!$I$6
        ="",
            "",
            IF('SSP APD AAA DB Code'!I11
               &lt;&gt;"",
                    IF('SSP APD AAA DB Code'!AB11
                          ="",
                              "",
                              HYPERLINK("https://teams.microsoft.com/l/chat/0/0?users="&amp;'SSP APD AAA DB Code'!AJ11&amp;","&amp;'SSP APD AAA DB Code'!AK11&amp;","&amp;'SSP APD AAA DB Code'!AL11&amp;","&amp;'SSP APD AAA DB Code'!AM11&amp;",
                                        "&amp;'SSP APD AAA DB Code'!AN11&amp;","&amp;'SSP APD AAA DB Code'!AO11&amp;"","Click here to send group IM")),
                    IF('SSP APD AAA DB Code'!I11
                         ="",
                             "",
                             HYPERLINK("https://teams.microsoft.com/l/chat/0/0?users="&amp;'SSP APD AAA DB Code'!AJ10&amp;","&amp;'SSP APD AAA DB Code'!AK10&amp;","&amp;'SSP APD AAA DB Code'!AL10&amp;","&amp;'SSP APD AAA DB Code'!AM10&amp;",
                                       "&amp;'SSP APD AAA DB Code'!AN10&amp;","&amp;'SSP APD AAA DB Code'!AO10&amp;"","Click here to send group IM"))))</f>
        <v/>
      </c>
      <c r="H11" s="15" t="str">
        <f ca="1">IF(LEN('SSP APD AAA Branches'!$I$6)
       &lt;=2,
           IF(ISERROR(ROW(IF(ISNA(INDEX(INDIRECT("I"&amp;H10+1):$I$127,MATCH('SSP APD AAA Branches'!$I$6,INDIRECT("T"&amp;H10+1):$T$127,0)))
                                                     =TRUE,
                                                        "",
                                                        INDEX(INDIRECT("I"&amp;H10+1):$I$127,MATCH('SSP APD AAA Branches'!$I$6,INDIRECT("T"&amp;H10+1):$T$127,0)))))
                =TRUE,
                   "",
                   ROW(IF(ISNA(INDEX(INDIRECT("I"&amp;H10+1):$I$127,MATCH('SSP APD AAA Branches'!$I$6,INDIRECT("T"&amp;H10+1):$T$127,0)))
                                    =TRUE,
                                       "",
                                      INDEX(INDIRECT("I"&amp;H10+1):$I$127,MATCH('SSP APD AAA Branches'!$I$6,INDIRECT("T"&amp;H10+1):$T$127,0))))),
           IF(ISERROR(ROW(IF(ISNA(INDEX(INDIRECT("I"&amp;H10+1):$I$127,MATCH("*"&amp;'SSP APD AAA Branches'!$I$6&amp;"*",INDIRECT("U"&amp;H10+1):$U$127,0)))
                                                     =FALSE,
                                                       INDEX(INDIRECT("I"&amp;H10+1):$I$127,MATCH("*"&amp;'SSP APD AAA Branches'!$I$6&amp;"*",INDIRECT("U"&amp;H10+1):$U$127,0)),
                                                       IF(ISNA(INDEX(INDIRECT("I"&amp;H10+1):$I$127,MATCH("*"&amp;'SSP APD AAA Branches'!$I$6&amp;"*",INDIRECT("X"&amp;H10+1):$X$127,0)))
                                                             =FALSE,
                                                                INDEX(INDIRECT("I"&amp;H10+1):$I$127,MATCH("*"&amp;'SSP APD AAA Branches'!$I$6&amp;"*",INDIRECT("X"&amp;H10+1):$X$127,0)),
                                                                IF(ISNA(INDEX(INDIRECT("I"&amp;H10+1):$I$127,MATCH("*"&amp;'SSP APD AAA Branches'!$I$6&amp;"*",INDIRECT("L"&amp;H10+1):$L$127,0)))
                                                                      =FALSE,
                                                                         INDEX(INDIRECT("I"&amp;H10+1):$I$127,MATCH("*"&amp;'SSP APD AAA Branches'!$I$6&amp;"*",INDIRECT("L"&amp;H10+1):$L$127,0)),
                                                                         IF(ISNA(INDEX(INDIRECT("I"&amp;H10+1):$I$127,MATCH("*"&amp;'SSP APD AAA Branches'!$I$6&amp;"*",INDIRECT("AA"&amp;H10+1):$AA$127,0)))
                                                                              =FALSE,
                                                                                INDEX(INDIRECT("I"&amp;H10+1):$I$127,MATCH("*"&amp;'SSP APD AAA Branches'!$I$6&amp;"*",INDIRECT("AA"&amp;H10+1):$AA$127,0)),""))))))
                =TRUE,
                  "",
                  ROW(IF(ISNA(INDEX(INDIRECT("I"&amp;H10+1):$I$127,MATCH("*"&amp;'SSP APD AAA Branches'!$I$6&amp;"*",INDIRECT("U"&amp;H10+1):$U$127,0)))
                                    =FALSE,
                                      INDEX(INDIRECT("I"&amp;H10+1):$I$127,MATCH("*"&amp;'SSP APD AAA Branches'!$I$6&amp;"*",INDIRECT("U"&amp;H10+1):$U$127,0)),
                                      IF(ISNA(INDEX(INDIRECT("I"&amp;H10+1):$I$127,MATCH("*"&amp;'SSP APD AAA Branches'!$I$6&amp;"*",INDIRECT("AA"&amp;H10+1):$AA$127,0)))
                                           =FALSE,
                                              INDEX(INDIRECT("I"&amp;H10+1):$I$127,MATCH("*"&amp;'SSP APD AAA Branches'!$I$6&amp;"*",INDIRECT("AA"&amp;H10+1):$AA$127,0)),
                                              IF(ISNA(INDEX(INDIRECT("I"&amp;H10+1):$I$127,MATCH("*"&amp;'SSP APD AAA Branches'!$I$6&amp;"*",INDIRECT("L"&amp;H10+1):$L$127,0)))
                                                   =FALSE,
                                                     INDEX(INDIRECT("I"&amp;H10+1):$I$127,MATCH("*"&amp;'SSP APD AAA Branches'!$I$6&amp;"*",INDIRECT("L"&amp;H10+1):$L$127,0)),
                                                     IF(ISNA(INDEX(INDIRECT("I"&amp;H10+1):$I$127,MATCH("*"&amp;'SSP APD AAA Branches'!$I$6&amp;"*",INDIRECT("X"&amp;H10+1):$X$127,0)))
                                                           =FALSE,
                                                             INDEX(INDIRECT("I"&amp;H10+1):$I$127,MATCH("*"&amp;'SSP APD AAA Branches'!$I$6&amp;"*",INDIRECT("X"&amp;H10+1):$X$127,0)),
                                                              "")))))))</f>
        <v/>
      </c>
      <c r="I11" s="23" t="str">
        <f ca="1">IF(LEN('SSP APD AAA Branches'!$I$6)
        &lt;=2,
             IF($I$6
                   ="",
                     IF(ISERROR(IF(ISNA(INDEX(INDIRECT("I"&amp;H10+1):$I$127,MATCH('SSP APD AAA Branches'!$I$6,INDIRECT("T"&amp;H10+1):$T$127,0)))
                                                   =FALSE,
                                                      INDEX(INDIRECT("I"&amp;H10+1):$I$127,MATCH('SSP APD AAA Branches'!$I$6,INDIRECT("T"&amp;H10+1):$T$127,0)),
                                                      ""))
                           =TRUE,
                              "",
                              IF(ISNA(INDEX(INDIRECT("I"&amp;H10+1):$I$127,MATCH('SSP APD AAA Branches'!$I$6,INDIRECT("T"&amp;H10+1):$T$127,0)))
                                    =FALSE,
                                      INDEX(INDIRECT("I"&amp;H10+1):$I$127,MATCH('SSP APD AAA Branches'!$I$6,INDIRECT("T"&amp;H10+1):$T$127,0)),
                                      "")),
                      ""),
              IF($I$6
                    ="",
                      IF(ISERROR(IF(ISNA(INDEX(INDIRECT("I"&amp;H10+1):$I$127,MATCH("*"&amp;'SSP APD AAA Branches'!$I$6&amp;"*",INDIRECT("U"&amp;H10+1):$U$127,0)))
                                                   =FALSE,
                                                     INDEX(INDIRECT("I"&amp;H10+1):$I$127,MATCH("*"&amp;'SSP APD AAA Branches'!$I$6&amp;"*",INDIRECT("U"&amp;H10+1):$U$127,0)),
                                                     IF(ISNA(INDEX(INDIRECT("I"&amp;H10+1):$I$127,MATCH("*"&amp;'SSP APD AAA Branches'!$I$6&amp;"*",INDIRECT("X"&amp;H10+1):$X$127,0)))
                                                          =FALSE,
                                                            INDEX(INDIRECT("I"&amp;H10+1):$I$127,MATCH("*"&amp;'SSP APD AAA Branches'!$I$6&amp;"*",INDIRECT("X"&amp;H10+1):$X$127,0)),
                                                            IF(ISNA(INDEX(INDIRECT("I"&amp;H10+1):$I$127,MATCH("*"&amp;'SSP APD AAA Branches'!$I$6&amp;"*",INDIRECT("AA"&amp;H10+1):$AA$127,0)))
                                                                 =FALSE,
                                                                   INDEX(INDIRECT("I"&amp;H10+1):$I$127,MATCH("*"&amp;'SSP APD AAA Branches'!$I$6&amp;"*",INDIRECT("AA"&amp;H10+1):$AA$127,0)),
                                                                   ""))))
                             =TRUE,
                               "",
                               IF(ISNA(INDEX(INDIRECT("I"&amp;H10+1):$I$127,MATCH("*"&amp;'SSP APD AAA Branches'!$I$6&amp;"*",INDIRECT("U"&amp;H10+1):$U$127,0)))
                                     =FALSE,
                                        INDEX(INDIRECT("I"&amp;H10+1):$I$127,MATCH("*"&amp;'SSP APD AAA Branches'!$I$6&amp;"*",INDIRECT("U"&amp;H10+1):$U$127,0)),
                                          IF(ISNA(INDEX(INDIRECT("I"&amp;H10+1):$I$127,MATCH("*"&amp;'SSP APD AAA Branches'!$I$6&amp;"*",INDIRECT("AA"&amp;H10+1):$AA$127,0)))
                                               =FALSE,
                                                 INDEX(INDIRECT("I"&amp;H10+1):$I$127,MATCH("*"&amp;'SSP APD AAA Branches'!$I$6&amp;"*",INDIRECT("AA"&amp;H10+1):$AA$127,0)),
                                                 IF(ISNA(INDEX(INDIRECT("I"&amp;H10+1):$I$127,MATCH("*"&amp;'SSP APD AAA Branches'!$I$6&amp;"*",INDIRECT("L"&amp;H10+1):$L$127,0)))
                                                      =FALSE,
                                                        INDEX(INDIRECT("I"&amp;H10+1):$I$127,MATCH("*"&amp;'SSP APD AAA Branches'!$I$6&amp;"*",INDIRECT("L"&amp;H10+1):$L$127,0)),
                                                        IF(ISNA(INDEX(INDIRECT("I"&amp;H10+1):$I$127,MATCH("*"&amp;'SSP APD AAA Branches'!$I$6&amp;"*",INDIRECT("X"&amp;H10+1):$X$127,0)))
                                                             =FALSE,
                                                                INDEX(INDIRECT("I"&amp;H10+1):$I$127,MATCH("*"&amp;'SSP APD AAA Branches'!$I$6&amp;"*",INDIRECT("X"&amp;H10+1):$X$127,0)),
                                                                ""))))),
                      ""))</f>
        <v/>
      </c>
      <c r="J11" s="20" t="str">
        <f ca="1">IF(ISNA(VLOOKUP($I$11,$I$22:$AA$127,2,FALSE))
       =TRUE,
         "",
         VLOOKUP($I$11,$I$22:$AA$127,2,FALSE))</f>
        <v/>
      </c>
      <c r="K11" s="20" t="str">
        <f ca="1">IF(ISNA(VLOOKUP($I$11,$I$22:$AA$127,3,FALSE))
       =TRUE,
         "",
         VLOOKUP($I$11,$I$22:$AA$127,3,FALSE))</f>
        <v/>
      </c>
      <c r="L11" s="20" t="str">
        <f ca="1">IF(ISNA(VLOOKUP($I$11,$I$22:$AA$127,4,FALSE))
       =TRUE,
         "",
         VLOOKUP($I$11,$I$22:$AA$127,4,FALSE))</f>
        <v/>
      </c>
      <c r="M11" s="17" t="str">
        <f ca="1">IF(ISNA(VLOOKUP($I$11,$I$22:$AA$127,5,FALSE))
        =TRUE,
          "",
          VLOOKUP($I$11,$I$22:$AA$127,5,FALSE))</f>
        <v/>
      </c>
      <c r="N11" s="17" t="str">
        <f ca="1">IF(ISNA(VLOOKUP($I$11,$I$22:$AA$127,6,FALSE))
        =TRUE,
          "",
          VLOOKUP($I$11,$I$22:$AA$127,6,FALSE))</f>
        <v/>
      </c>
      <c r="O11" s="20" t="str">
        <f ca="1">IF(ISNA(VLOOKUP($I$11,$I$22:$AA$127,7,FALSE))
       =TRUE,
         "",
         VLOOKUP($I$11,$I$22:$AA$127,7,FALSE))</f>
        <v/>
      </c>
      <c r="P11" s="19" t="str">
        <f ca="1">IF(ISNA(VLOOKUP($I$11,$I$22:$AA$127,8,FALSE))
       =TRUE,
         "",
         VLOOKUP($I$11,$I$22:$AA$127,8,FALSE))</f>
        <v/>
      </c>
      <c r="Q11" s="18" t="str">
        <f ca="1">IF(ISNA(VLOOKUP($I$11,$I$22:$AA$127,9,FALSE))
        =TRUE,
          "",
          VLOOKUP($I$11,$I$22:$AA$127,9,FALSE))</f>
        <v/>
      </c>
      <c r="R11" s="19" t="str">
        <f ca="1">IF(ISNA(VLOOKUP($I$11,$I$22:$AA$127,10,FALSE))
        =TRUE,
          "",
          VLOOKUP($I$11,$I$22:$AA$127,10,FALSE))</f>
        <v/>
      </c>
      <c r="S11" s="20" t="e">
        <f ca="1">IF(VLOOKUP($I$11,$I$22:$AA$127,11,FALSE)
       ="",
         "No Case Transfer Email has been Submitted.",
         IF(ISNA(VLOOKUP($I$11,$I$22:$AA$127,11,FALSE))
              =TRUE,
                "",
                VLOOKUP($I$11,$I$22:$AA$127,11,FALSE)))</f>
        <v>#N/A</v>
      </c>
      <c r="T11" s="21" t="str">
        <f ca="1">IF(ISNA(VLOOKUP($I$11,$I$22:$AA$127,12,FALSE))
       =TRUE,
         "",
         VLOOKUP($I$11,$I$22:$AA$127,12,FALSE))</f>
        <v/>
      </c>
      <c r="U11" s="20" t="str">
        <f ca="1">IF(ISNA(VLOOKUP($I$11,$I$22:$AA$127,13,FALSE))
       =TRUE,
         "",
         VLOOKUP($I$11,$I$22:$AA$127,13,FALSE))</f>
        <v/>
      </c>
      <c r="V11" s="20" t="str">
        <f ca="1">IF(ISNA(VLOOKUP($I$11,$I$22:$AA$127,14,FALSE))
       =TRUE,
         "",
         VLOOKUP($I$11,$I$22:$AA$127,14,FALSE))</f>
        <v/>
      </c>
      <c r="W11" s="20" t="str">
        <f ca="1">IF(ISNA(VLOOKUP($I$11,$I$22:$AA$127,15,FALSE))
       =TRUE,
         "",
         IF(VLOOKUP($I$11,$I$22:$AA$127,15,FALSE)
              =0,
                "",
                VLOOKUP($I$11,$I$22:$AA$127,15,FALSE)))</f>
        <v/>
      </c>
      <c r="X11" s="20" t="str">
        <f ca="1">IF(ISNA(VLOOKUP($I$11,$I$22:$AA$127,16,FALSE))
       =TRUE,
         "",
         VLOOKUP($I$11,$I$22:$AA$127,16,FALSE))</f>
        <v/>
      </c>
      <c r="Y11" s="20" t="str">
        <f ca="1">IF(ISNA(VLOOKUP($I$11,$I$22:$AA$127,17,FALSE))
        =TRUE,
          "",
          VLOOKUP($I$11,$I$22:$AA$127,17,FALSE))</f>
        <v/>
      </c>
      <c r="Z11" s="20" t="str">
        <f ca="1">IF(ISNA(VLOOKUP($I$11,$I$22:$AA$127,18,FALSE))
        =TRUE,
          "",
          VLOOKUP($I$11,$I$22:$AA$127,18,FALSE))</f>
        <v/>
      </c>
      <c r="AA11" s="20" t="str">
        <f ca="1">IF(ISNA(VLOOKUP($I$11,$I$22:$AA$127,19,FALSE))
        =TRUE,
          "",
          VLOOKUP($I$11,$I$22:$AA$127,19,FALSE))</f>
        <v/>
      </c>
      <c r="AB11" s="20" t="str">
        <f ca="1">IF(IF(ISNA(VLOOKUP($I$11,$I$22:$AQ$127,20,FALSE))
             =TRUE,
               "",
               VLOOKUP($I$11,$I$22:$AQ$127,20,FALSE))
        =0,
          "",
          IF(ISNA(VLOOKUP($I$11,$I$22:$AQ$127,20,FALSE))
               =TRUE,
                 "",
                 VLOOKUP($I$11,$I$22:$AQ$127,20,FALSE)))</f>
        <v/>
      </c>
      <c r="AC11" s="20" t="str">
        <f ca="1">IF(IF(ISNA(VLOOKUP($I$11,$I$22:$AQ$127,21,FALSE))
             =TRUE,
               "",
               VLOOKUP($I$11,$I$22:$AQ$127,21,FALSE))
        =0,
          "",
          IF(ISNA(VLOOKUP($I$11,$I$22:$AQ$127,21,FALSE))
               =TRUE,
                 "",
                 VLOOKUP($I$11,$I$22:$AQ$127,21,FALSE)))</f>
        <v/>
      </c>
      <c r="AD11" s="20" t="str">
        <f ca="1">IF(IF(ISNA(VLOOKUP($I$11,$I$22:$AQ$127,22,FALSE))
             =TRUE,
               "",
               VLOOKUP($I$11,$I$22:$AQ$127,22,FALSE))
        =0,
          "",
          IF(ISNA(VLOOKUP($I$11,$I$22:$AQ$127,22,FALSE))
               =TRUE,
                 "",
                 VLOOKUP($I$11,$I$22:$AQ$127,22,FALSE)))</f>
        <v/>
      </c>
      <c r="AE11" s="20" t="str">
        <f ca="1">IF(IF(ISNA(VLOOKUP($I$11,$I$22:$AQ$127,23,FALSE))
             =TRUE,
               "",
               VLOOKUP($I$11,$I$22:$AQ$127,23,FALSE))
        =0,
          "",
          IF(ISNA(VLOOKUP($I$11,$I$22:$AQ$127,23,FALSE))
               =TRUE,
                  "",
                  VLOOKUP($I$11,$I$22:$AQ$127,23,FALSE)))</f>
        <v/>
      </c>
      <c r="AF11" s="20" t="str">
        <f ca="1">IF(IF(ISNA(VLOOKUP($I$11,$I$22:$AQ$127,24,FALSE))
             =TRUE,
               "",
               VLOOKUP($I$11,$I$22:$AQ$127,24,FALSE))
        =0,
          "",
          IF(ISNA(VLOOKUP($I$11,$I$22:$AQ$127,24,FALSE))
               =TRUE,
                 "",
                 VLOOKUP($I$11,$I$22:$AQ$127,24,FALSE)))</f>
        <v/>
      </c>
      <c r="AG11" s="20" t="str">
        <f ca="1">IF(IF(ISNA(VLOOKUP($I$11,$I$22:$AQ$127,25,FALSE))
             =TRUE,
               "",
               VLOOKUP($I$11,$I$22:$AQ$127,25,FALSE))
        =0,
          "",
          IF(ISNA(VLOOKUP($I$11,$I$22:$AQ$127,25,FALSE))
               =TRUE,
                 "",
                 VLOOKUP($I$11,$I$22:$AQ$127,25,FALSE)))</f>
        <v/>
      </c>
      <c r="AH11" s="20" t="str">
        <f ca="1">IF(IF(ISNA(VLOOKUP($I$11,$I$22:$AQ$127,26,FALSE))
             =TRUE,
               "",
               VLOOKUP($I$11,$I$22:$AQ$127,26,FALSE))
        =0,
          "",
          IF(ISNA(VLOOKUP($I$11,$I$22:$AQ$127,26,FALSE))
               =TRUE,
                 "",
                 VLOOKUP($I$11,$I$22:$AQ$127,26,FALSE)))</f>
        <v/>
      </c>
      <c r="AI11" s="20" t="str">
        <f ca="1">IF(IF(ISNA(VLOOKUP($I$11,$I$22:$AQ$127,27,FALSE))
             =TRUE,
               "",
               VLOOKUP($I$11,$I$22:$AQ$127,27,FALSE))
        =0,
          "",
          IF(ISNA(VLOOKUP($I$11,$I$22:$AQ$127,27,FALSE))
               =TRUE,
                  "",
                  VLOOKUP($I$11,$I$22:$AQ$127,27,FALSE)))</f>
        <v/>
      </c>
      <c r="AJ11" s="20" t="str">
        <f ca="1">IF(IF(ISNA(VLOOKUP($I$11,$I$22:$AQ$127,28,FALSE))
             =TRUE,
               "",
               VLOOKUP($I$11,$I$22:$AQ$127,28,FALSE))
        =0,
          "",
          IF(ISNA(VLOOKUP($I$11,$I$22:$AQ$127,28,FALSE))
               =TRUE,
                  "",
                  VLOOKUP($I$11,$I$22:$AQ$127,28,FALSE)))</f>
        <v/>
      </c>
      <c r="AK11" s="20" t="str">
        <f ca="1">IF(IF(ISNA(VLOOKUP($I$11,$I$22:$AQ$127,29,FALSE))
             =TRUE,
               "",
               VLOOKUP($I$11,$I$22:$AQ$127,29,FALSE))
        =0,
          "",
          IF(ISNA(VLOOKUP($I$11,$I$22:$AQ$127,29,FALSE))
               =TRUE,
                 "",
                 VLOOKUP($I$11,$I$22:$AQ$127,29,FALSE)))</f>
        <v/>
      </c>
      <c r="AL11" s="20" t="str">
        <f ca="1">IF(IF(ISNA(VLOOKUP($I$11,$I$22:$AQ$127,30,FALSE))
             =TRUE,
               "",
               VLOOKUP($I$11,$I$22:$AQ$127,30,FALSE))
        =0,
          "",
          IF(ISNA(VLOOKUP($I$11,$I$22:$AQ$127,30,FALSE))
               =TRUE,
                 "",
                 VLOOKUP($I$11,$I$22:$AQ$127,30,FALSE)))</f>
        <v/>
      </c>
      <c r="AM11" s="20" t="str">
        <f ca="1">IF(IF(ISNA(VLOOKUP($I$11,$I$22:$AQ$127,31,FALSE))
             =TRUE,
               "",
               VLOOKUP($I$11,$I$22:$AQ$127,31,FALSE))
       =0,
          "",
          IF(ISNA(VLOOKUP($I$11,$I$22:$AQ$127,31,FALSE))
               =TRUE,
                 "",
                 VLOOKUP($I$11,$I$22:$AQ$127,31,FALSE)))</f>
        <v/>
      </c>
      <c r="AN11" s="20" t="str">
        <f ca="1">IF(IF(ISNA(VLOOKUP($I$11,$I$22:$AQ$127,32,FALSE))
             =TRUE,
                "",
                VLOOKUP($I$11,$I$22:$AQ$127,32,FALSE))
        =0,
          "",
          IF(ISNA(VLOOKUP($I$11,$I$22:$AQ$127,32,FALSE))
               =TRUE,
                 "",
                 VLOOKUP($I$11,$I$22:$AQ$127,32,FALSE)))</f>
        <v/>
      </c>
      <c r="AO11" s="20" t="str">
        <f ca="1">IF(IF(ISNA(VLOOKUP($I$11,$I$22:$AQ$127,33,FALSE))
             =TRUE,
               "",
               VLOOKUP($I$11,$I$22:$AQ$127,33,FALSE))
       =0,
         "",
         IF(ISNA(VLOOKUP($I$11,$I$22:$AQ$127,33,FALSE))
              =TRUE,
                "",
                VLOOKUP($I$11,$I$22:$AQ$127,33,FALSE)))</f>
        <v/>
      </c>
      <c r="AP11" s="20" t="str">
        <f ca="1">IF(IF(ISNA(VLOOKUP($I$11,$I$22:$AQ$127,34,FALSE))
             =TRUE,
               "",
               VLOOKUP($I$11,$I$22:$AQ$127,34,FALSE))
        =0,
          "",
          IF(ISNA(VLOOKUP($I$11,$I$22:$AQ$127,34,FALSE))
               =TRUE,
                 "",
                 VLOOKUP($I$11,$I$22:$AQ$127,34,FALSE)))</f>
        <v/>
      </c>
      <c r="AQ11" s="20" t="str">
        <f ca="1">IF(IF(ISNA(VLOOKUP($I$11,$I$22:$AQ$127,35,FALSE))
             =TRUE,
                "",
                VLOOKUP($I$11,$I$22:$AQ$127,35,FALSE))
        =0,
          "",
          IF(ISNA(VLOOKUP($I$11,$I$22:$AQ$127,35,FALSE))
               =TRUE,
                 "",
                 VLOOKUP($I$11,$I$22:$AQ$127,35,FALSE)))</f>
        <v/>
      </c>
    </row>
    <row r="12" spans="1:44" x14ac:dyDescent="0.25">
      <c r="A12" s="7">
        <v>6</v>
      </c>
      <c r="B12" s="15" t="str">
        <f>IF('SSP APD AAA Branches'!$I$6
        ="",
          "",
          IF(I12
               ="",
                  "",
                  ""&amp;L12&amp;""&amp;J12&amp;" "&amp;K12&amp;""&amp;CHAR(10)&amp;""&amp;V12&amp;" "&amp;W12&amp;""&amp;CHAR(10)&amp;""&amp;X12&amp;", "&amp;Y12&amp;" "&amp;Z12&amp;""&amp;CHAR(10)&amp;""&amp;AA12&amp;" County"&amp;CHAR(10)&amp;"District "&amp;T12&amp;""))</f>
        <v/>
      </c>
      <c r="C12" s="15" t="str">
        <f>IF('SSP APD AAA Branches'!$I$6
        ="",
          "",
          IF(I12
               &lt;&gt;"",
                    "Phone Number: "&amp;TEXT(P12,"(000) 000-0000")&amp;""&amp;CHAR(10)&amp;"Fax Number: "&amp;TEXT(R12,"(000) 000-0000")&amp;""&amp;CHAR(10)&amp;"Case Transfer Email: "&amp;S12&amp;""&amp;CHAR(10)&amp;"Office Hours: "
                         &amp;TEXT(M12,"H:MM AM/PM")&amp;" - "&amp;TEXT(N12,"H:MM AM/PM")&amp;" "&amp;O12&amp;""&amp;CHAR(10)&amp;""&amp;IF(U12
                                                                                                                                                                                                                     =0,
                                                                                                                                                                                                                        "",
                                                                                                                                                                                                                        "Assigned Zip Codes: "&amp;U12&amp;"")
                         &amp;"",
                    IF(I12
                         ="",
                           "",
                           "Phone Number: "&amp;TEXT(P11,"(000) 000-0000")&amp;""&amp;CHAR(10)&amp;"Fax Number: "&amp;TEXT(R11,"(000) 000-0000")&amp;""&amp;CHAR(10)&amp;"Case Transfer Email: "&amp;S11&amp;""&amp;CHAR(10)&amp;"Office Hours: "
                                &amp;TEXT(M11,"H:MM AM/PM")&amp;" - "&amp;TEXT(N11,"H:MM AM/PM")&amp;" "&amp;O11&amp;""&amp;CHAR(10)&amp;""&amp;IF(U11
                                                                                                                                                                                                                           =0,
                                                                                                                                                                                                                             "",
                                                                                                                                                                                                                             "Assigned Zip Codes: "&amp;U11&amp;"")
                                &amp;"")))</f>
        <v/>
      </c>
      <c r="D12" s="35" t="str">
        <f>IF('SSP APD AAA Branches'!$I$6
        ="",
          "",
          IF(I12
               &lt;&gt;"",
                    ""&amp;AB12&amp;""&amp;IF(AJ12
                                                   ="",
                                                     "",
                                                     " | ")
                         &amp;""&amp;AJ12&amp;""&amp;CHAR(10)&amp;""&amp;AC12&amp;""&amp;IF(AK12
                                                                                                           ="",
                                                                                                             "",
                                                                                                             " | ")
                         &amp;""&amp;AK12&amp;""&amp;CHAR(10)&amp;""&amp;AD12&amp;""&amp;IF(AL12
                                                                                                            ="",
                                                                                                              "",
                                                                                                              " | ")
                         &amp;""&amp;AL12&amp;""&amp;CHAR(10)&amp;""&amp;AE12&amp;""&amp;IF(AM12
                                                                                                            ="",
                                                                                                              "",
                                                                                                              " | ")
                         &amp;""&amp;AM12&amp;""&amp;CHAR(10)&amp;""&amp;AF12&amp;""&amp;IF(AN12
                                                                                                             ="",
                                                                                                               "",
                                                                                                               " | ")
                         &amp;""&amp;AN12&amp;""&amp;CHAR(10)&amp;""&amp;AG12&amp;""&amp;IF(AO12
                                                                                                             ="",
                                                                                                               "",
                                                                                                               " | ")
                         &amp;""&amp;AO12&amp;""&amp;CHAR(10)&amp;""&amp;AH12&amp;""&amp;IF(AP12
                                                                                                             ="",
                                                                                                               "",
                                                                                                               " | ")
                         &amp;""&amp;AP12&amp;""&amp;CHAR(10)&amp;""&amp;AI12&amp;""&amp;IF(AQ12
                                                                                                           ="",
                                                                                                             "",
                                                                                                             " | ")
                         &amp;""&amp;AQ12&amp;"",
                    IF(I12
                         ="",
                           "",
                           ""&amp;AB11&amp;""&amp;IF(AJ11
                                                          ="",
                                                            "",
                                                            " | ")
                                 &amp;""&amp;AJ11&amp;""&amp;CHAR(10)&amp;""&amp;AC11&amp;""&amp;IF(AK11
                                                                                                                   ="",
                                                                                                                     "",
                                                                                                                     " | ")
                                 &amp;""&amp;AK11&amp;""&amp;CHAR(10)&amp;""&amp;AD11&amp;""&amp;IF(AL11
                                                                                                                    ="",
                                                                                                                      "",
                                                                                                                      " | ")
                                 &amp;""&amp;AL11&amp;""&amp;CHAR(10)&amp;""&amp;AE11&amp;""&amp;IF(AM11
                                                                                                                   ="",
                                                                                                                     "",
                                                                                                                     " | ")
                                 &amp;""&amp;AM11&amp;""&amp;CHAR(10)&amp;""&amp;AF11&amp;""&amp;IF(AN11
                                                                                                                     ="",
                                                                                                                       "",
                                                                                                                       " | ")
                                 &amp;""&amp;AN11&amp;""&amp;CHAR(10)&amp;""&amp;AG11&amp;""&amp;IF(AO11
                                                                                                                     ="",
                                                                                                                       "",
                                                                                                                       " | ")
                                 &amp;""&amp;AO11&amp;""&amp;CHAR(10)&amp;""&amp;AH11&amp;""&amp;IF(AP11
                                                                                                                     ="",
                                                                                                                       "",
                                                                                                                       " | ")
                                 &amp;""&amp;AP11&amp;""&amp;CHAR(10)&amp;""&amp;AI11&amp;""&amp;IF(AQ11
                                                                                                                   ="",
                                                                                                                     "",
                                                                                                                     " | ")
                                  &amp;""&amp;AQ11&amp;"")))</f>
        <v/>
      </c>
      <c r="E12" s="15" t="str">
        <f>IF('SSP APD AAA Branches'!$I$6
        ="",
          "",
          IF(I12
               &lt;&gt;"",
                    HYPERLINK("mailto:"&amp;'SSP APD AAA DB Code'!S12&amp;"", "Click here to email"),
                    IF(I12
                         ="",
                           "",
                           HYPERLINK("mailto:"&amp;'SSP APD AAA DB Code'!S11&amp;"", "Click here to email"))))</f>
        <v/>
      </c>
      <c r="F12" s="7" t="str">
        <f>""</f>
        <v/>
      </c>
      <c r="G12" s="7" t="str">
        <f>IF('SSP APD AAA Branches'!$I$6
        ="",
            "",
            IF('SSP APD AAA DB Code'!I12
               &lt;&gt;"",
                    IF('SSP APD AAA DB Code'!AB12
                          ="",
                              "",
                              HYPERLINK("https://teams.microsoft.com/l/chat/0/0?users="&amp;'SSP APD AAA DB Code'!AJ12&amp;","&amp;'SSP APD AAA DB Code'!AK12&amp;","&amp;'SSP APD AAA DB Code'!AL12&amp;","&amp;'SSP APD AAA DB Code'!AM12&amp;",
                                        "&amp;'SSP APD AAA DB Code'!AN12&amp;","&amp;'SSP APD AAA DB Code'!AO12&amp;"","Click here to send group IM")),
                    IF('SSP APD AAA DB Code'!I12
                         ="",
                             "",
                             HYPERLINK("https://teams.microsoft.com/l/chat/0/0?users="&amp;'SSP APD AAA DB Code'!AJ11&amp;","&amp;'SSP APD AAA DB Code'!AK11&amp;","&amp;'SSP APD AAA DB Code'!AL11&amp;","&amp;'SSP APD AAA DB Code'!AM11&amp;",
                                       "&amp;'SSP APD AAA DB Code'!AN11&amp;","&amp;'SSP APD AAA DB Code'!AO11&amp;"","Click here to send group IM"))))</f>
        <v/>
      </c>
      <c r="H12" s="15" t="str">
        <f ca="1">IF(LEN('SSP APD AAA Branches'!$I$6)
       &lt;=2,
           IF(ISERROR(ROW(IF(ISNA(INDEX(INDIRECT("I"&amp;H11+1):$I$127,MATCH('SSP APD AAA Branches'!$I$6,INDIRECT("T"&amp;H11+1):$T$127,0)))
                                                     =TRUE,
                                                        "",
                                                        INDEX(INDIRECT("I"&amp;H11+1):$I$127,MATCH('SSP APD AAA Branches'!$I$6,INDIRECT("T"&amp;H11+1):$T$127,0)))))
                =TRUE,
                   "",
                   ROW(IF(ISNA(INDEX(INDIRECT("I"&amp;H11+1):$I$127,MATCH('SSP APD AAA Branches'!$I$6,INDIRECT("T"&amp;H11+1):$T$127,0)))
                                    =TRUE,
                                       "",
                                      INDEX(INDIRECT("I"&amp;H11+1):$I$127,MATCH('SSP APD AAA Branches'!$I$6,INDIRECT("T"&amp;H11+1):$T$127,0))))),
           IF(ISERROR(ROW(IF(ISNA(INDEX(INDIRECT("I"&amp;H11+1):$I$127,MATCH("*"&amp;'SSP APD AAA Branches'!$I$6&amp;"*",INDIRECT("U"&amp;H11+1):$U$127,0)))
                                                     =FALSE,
                                                       INDEX(INDIRECT("I"&amp;H11+1):$I$127,MATCH("*"&amp;'SSP APD AAA Branches'!$I$6&amp;"*",INDIRECT("U"&amp;H11+1):$U$127,0)),
                                                       IF(ISNA(INDEX(INDIRECT("I"&amp;H11+1):$I$127,MATCH("*"&amp;'SSP APD AAA Branches'!$I$6&amp;"*",INDIRECT("X"&amp;H11+1):$X$127,0)))
                                                             =FALSE,
                                                                INDEX(INDIRECT("I"&amp;H11+1):$I$127,MATCH("*"&amp;'SSP APD AAA Branches'!$I$6&amp;"*",INDIRECT("X"&amp;H11+1):$X$127,0)),
                                                                IF(ISNA(INDEX(INDIRECT("I"&amp;H11+1):$I$127,MATCH("*"&amp;'SSP APD AAA Branches'!$I$6&amp;"*",INDIRECT("L"&amp;H11+1):$L$127,0)))
                                                                      =FALSE,
                                                                         INDEX(INDIRECT("I"&amp;H11+1):$I$127,MATCH("*"&amp;'SSP APD AAA Branches'!$I$6&amp;"*",INDIRECT("L"&amp;H11+1):$L$127,0)),
                                                                         IF(ISNA(INDEX(INDIRECT("I"&amp;H11+1):$I$127,MATCH("*"&amp;'SSP APD AAA Branches'!$I$6&amp;"*",INDIRECT("AA"&amp;H11+1):$AA$127,0)))
                                                                              =FALSE,
                                                                                INDEX(INDIRECT("I"&amp;H11+1):$I$127,MATCH("*"&amp;'SSP APD AAA Branches'!$I$6&amp;"*",INDIRECT("AA"&amp;H11+1):$AA$127,0)),""))))))
                =TRUE,
                  "",
                  ROW(IF(ISNA(INDEX(INDIRECT("I"&amp;H11+1):$I$127,MATCH("*"&amp;'SSP APD AAA Branches'!$I$6&amp;"*",INDIRECT("U"&amp;H11+1):$U$127,0)))
                                    =FALSE,
                                      INDEX(INDIRECT("I"&amp;H11+1):$I$127,MATCH("*"&amp;'SSP APD AAA Branches'!$I$6&amp;"*",INDIRECT("U"&amp;H11+1):$U$127,0)),
                                      IF(ISNA(INDEX(INDIRECT("I"&amp;H11+1):$I$127,MATCH("*"&amp;'SSP APD AAA Branches'!$I$6&amp;"*",INDIRECT("AA"&amp;H11+1):$AA$127,0)))
                                           =FALSE,
                                              INDEX(INDIRECT("I"&amp;H11+1):$I$127,MATCH("*"&amp;'SSP APD AAA Branches'!$I$6&amp;"*",INDIRECT("AA"&amp;H11+1):$AA$127,0)),
                                              IF(ISNA(INDEX(INDIRECT("I"&amp;H11+1):$I$127,MATCH("*"&amp;'SSP APD AAA Branches'!$I$6&amp;"*",INDIRECT("L"&amp;H11+1):$L$127,0)))
                                                   =FALSE,
                                                     INDEX(INDIRECT("I"&amp;H11+1):$I$127,MATCH("*"&amp;'SSP APD AAA Branches'!$I$6&amp;"*",INDIRECT("L"&amp;H11+1):$L$127,0)),
                                                     IF(ISNA(INDEX(INDIRECT("I"&amp;H11+1):$I$127,MATCH("*"&amp;'SSP APD AAA Branches'!$I$6&amp;"*",INDIRECT("X"&amp;H11+1):$X$127,0)))
                                                           =FALSE,
                                                             INDEX(INDIRECT("I"&amp;H11+1):$I$127,MATCH("*"&amp;'SSP APD AAA Branches'!$I$6&amp;"*",INDIRECT("X"&amp;H11+1):$X$127,0)),
                                                              "")))))))</f>
        <v/>
      </c>
      <c r="I12" s="23" t="str">
        <f ca="1">IF(LEN('SSP APD AAA Branches'!$I$6)
        &lt;=2,
             IF($I$6
                   ="",
                     IF(ISERROR(IF(ISNA(INDEX(INDIRECT("I"&amp;H11+1):$I$127,MATCH('SSP APD AAA Branches'!$I$6,INDIRECT("T"&amp;H11+1):$T$127,0)))
                                                   =FALSE,
                                                      INDEX(INDIRECT("I"&amp;H11+1):$I$127,MATCH('SSP APD AAA Branches'!$I$6,INDIRECT("T"&amp;H11+1):$T$127,0)),
                                                      ""))
                           =TRUE,
                              "",
                              IF(ISNA(INDEX(INDIRECT("I"&amp;H11+1):$I$127,MATCH('SSP APD AAA Branches'!$I$6,INDIRECT("T"&amp;H11+1):$T$127,0)))
                                    =FALSE,
                                      INDEX(INDIRECT("I"&amp;H11+1):$I$127,MATCH('SSP APD AAA Branches'!$I$6,INDIRECT("T"&amp;H11+1):$T$127,0)),
                                      "")),
                      ""),
              IF($I$6
                    ="",
                      IF(ISERROR(IF(ISNA(INDEX(INDIRECT("I"&amp;H11+1):$I$127,MATCH("*"&amp;'SSP APD AAA Branches'!$I$6&amp;"*",INDIRECT("U"&amp;H11+1):$U$127,0)))
                                                   =FALSE,
                                                     INDEX(INDIRECT("I"&amp;H11+1):$I$127,MATCH("*"&amp;'SSP APD AAA Branches'!$I$6&amp;"*",INDIRECT("U"&amp;H11+1):$U$127,0)),
                                                     IF(ISNA(INDEX(INDIRECT("I"&amp;H11+1):$I$127,MATCH("*"&amp;'SSP APD AAA Branches'!$I$6&amp;"*",INDIRECT("X"&amp;H11+1):$X$127,0)))
                                                          =FALSE,
                                                            INDEX(INDIRECT("I"&amp;H11+1):$I$127,MATCH("*"&amp;'SSP APD AAA Branches'!$I$6&amp;"*",INDIRECT("X"&amp;H11+1):$X$127,0)),
                                                            IF(ISNA(INDEX(INDIRECT("I"&amp;H11+1):$I$127,MATCH("*"&amp;'SSP APD AAA Branches'!$I$6&amp;"*",INDIRECT("AA"&amp;H11+1):$AA$127,0)))
                                                                 =FALSE,
                                                                   INDEX(INDIRECT("I"&amp;H11+1):$I$127,MATCH("*"&amp;'SSP APD AAA Branches'!$I$6&amp;"*",INDIRECT("AA"&amp;H11+1):$AA$127,0)),
                                                                   ""))))
                             =TRUE,
                               "",
                               IF(ISNA(INDEX(INDIRECT("I"&amp;H11+1):$I$127,MATCH("*"&amp;'SSP APD AAA Branches'!$I$6&amp;"*",INDIRECT("U"&amp;H11+1):$U$127,0)))
                                     =FALSE,
                                        INDEX(INDIRECT("I"&amp;H11+1):$I$127,MATCH("*"&amp;'SSP APD AAA Branches'!$I$6&amp;"*",INDIRECT("U"&amp;H11+1):$U$127,0)),
                                          IF(ISNA(INDEX(INDIRECT("I"&amp;H11+1):$I$127,MATCH("*"&amp;'SSP APD AAA Branches'!$I$6&amp;"*",INDIRECT("AA"&amp;H11+1):$AA$127,0)))
                                               =FALSE,
                                                 INDEX(INDIRECT("I"&amp;H11+1):$I$127,MATCH("*"&amp;'SSP APD AAA Branches'!$I$6&amp;"*",INDIRECT("AA"&amp;H11+1):$AA$127,0)),
                                                 IF(ISNA(INDEX(INDIRECT("I"&amp;H11+1):$I$127,MATCH("*"&amp;'SSP APD AAA Branches'!$I$6&amp;"*",INDIRECT("L"&amp;H11+1):$L$127,0)))
                                                      =FALSE,
                                                        INDEX(INDIRECT("I"&amp;H11+1):$I$127,MATCH("*"&amp;'SSP APD AAA Branches'!$I$6&amp;"*",INDIRECT("L"&amp;H11+1):$L$127,0)),
                                                        IF(ISNA(INDEX(INDIRECT("I"&amp;H11+1):$I$127,MATCH("*"&amp;'SSP APD AAA Branches'!$I$6&amp;"*",INDIRECT("X"&amp;H11+1):$X$127,0)))
                                                             =FALSE,
                                                                INDEX(INDIRECT("I"&amp;H11+1):$I$127,MATCH("*"&amp;'SSP APD AAA Branches'!$I$6&amp;"*",INDIRECT("X"&amp;H11+1):$X$127,0)),
                                                                ""))))),
                      ""))</f>
        <v/>
      </c>
      <c r="J12" s="20" t="str">
        <f ca="1">IF(ISNA(VLOOKUP($I$12,$I$22:$AA$127,2,FALSE))
       =TRUE,
         "",
         VLOOKUP($I$12,$I$22:$AA$127,2,FALSE))</f>
        <v/>
      </c>
      <c r="K12" s="20" t="str">
        <f ca="1">IF(ISNA(VLOOKUP($I$12,$I$22:$AA$127,3,FALSE))
       =TRUE,
         "",
         VLOOKUP($I$12,$I$22:$AA$127,3,FALSE))</f>
        <v/>
      </c>
      <c r="L12" s="20" t="str">
        <f ca="1">IF(ISNA(VLOOKUP($I$12,$I$22:$AA$127,4,FALSE))
       =TRUE,
         "",
         VLOOKUP($I$12,$I$22:$AA$127,4,FALSE))</f>
        <v/>
      </c>
      <c r="M12" s="17" t="str">
        <f ca="1">IF(ISNA(VLOOKUP($I$12,$I$22:$AA$127,5,FALSE))
        =TRUE,
          "",
          VLOOKUP($I$12,$I$22:$AA$127,5,FALSE))</f>
        <v/>
      </c>
      <c r="N12" s="17" t="str">
        <f ca="1">IF(ISNA(VLOOKUP($I$12,$I$22:$AA$127,6,FALSE))
        =TRUE,
          "",
          VLOOKUP($I$12,$I$22:$AA$127,6,FALSE))</f>
        <v/>
      </c>
      <c r="O12" s="20" t="str">
        <f ca="1">IF(ISNA(VLOOKUP($I$12,$I$22:$AA$127,7,FALSE))
       =TRUE,
         "",
         VLOOKUP($I$12,$I$22:$AA$127,7,FALSE))</f>
        <v/>
      </c>
      <c r="P12" s="19" t="str">
        <f ca="1">IF(ISNA(VLOOKUP($I$12,$I$22:$AA$127,8,FALSE))
       =TRUE,
         "",
         VLOOKUP($I$12,$I$22:$AA$127,8,FALSE))</f>
        <v/>
      </c>
      <c r="Q12" s="18" t="str">
        <f ca="1">IF(ISNA(VLOOKUP($I$12,$I$22:$AA$127,9,FALSE))
        =TRUE,
          "",
          VLOOKUP($I$12,$I$22:$AA$127,9,FALSE))</f>
        <v/>
      </c>
      <c r="R12" s="19" t="str">
        <f ca="1">IF(ISNA(VLOOKUP($I$12,$I$22:$AA$127,10,FALSE))
        =TRUE,
          "",
          VLOOKUP($I$12,$I$22:$AA$127,10,FALSE))</f>
        <v/>
      </c>
      <c r="S12" s="20" t="e">
        <f ca="1">IF(VLOOKUP($I$12,$I$22:$AA$127,11,FALSE)
       ="",
         "No Case Transfer Email has been Submitted.",
         IF(ISNA(VLOOKUP($I$12,$I$22:$AA$127,11,FALSE))
              =TRUE,
                "",
                VLOOKUP($I$12,$I$22:$AA$127,11,FALSE)))</f>
        <v>#N/A</v>
      </c>
      <c r="T12" s="21" t="str">
        <f ca="1">IF(ISNA(VLOOKUP($I$12,$I$22:$AA$127,12,FALSE))
       =TRUE,
         "",
         VLOOKUP($I$12,$I$22:$AA$127,12,FALSE))</f>
        <v/>
      </c>
      <c r="U12" s="20" t="str">
        <f ca="1">IF(ISNA(VLOOKUP($I$12,$I$22:$AA$127,13,FALSE))
       =TRUE,
         "",
         VLOOKUP($I$12,$I$22:$AA$127,13,FALSE))</f>
        <v/>
      </c>
      <c r="V12" s="20" t="str">
        <f ca="1">IF(ISNA(VLOOKUP($I$12,$I$22:$AA$127,14,FALSE))
       =TRUE,
         "",
         VLOOKUP($I$12,$I$22:$AA$127,14,FALSE))</f>
        <v/>
      </c>
      <c r="W12" s="20" t="str">
        <f ca="1">IF(ISNA(VLOOKUP($I$12,$I$22:$AA$127,15,FALSE))
       =TRUE,
         "",
         IF(VLOOKUP($I$12,$I$22:$AA$127,15,FALSE)
              =0,
                "",
                VLOOKUP($I$12,$I$22:$AA$127,15,FALSE)))</f>
        <v/>
      </c>
      <c r="X12" s="20" t="str">
        <f ca="1">IF(ISNA(VLOOKUP($I$12,$I$22:$AA$127,16,FALSE))
       =TRUE,
         "",
         VLOOKUP($I$12,$I$22:$AA$127,16,FALSE))</f>
        <v/>
      </c>
      <c r="Y12" s="20" t="str">
        <f ca="1">IF(ISNA(VLOOKUP($I$12,$I$22:$AA$127,17,FALSE))
        =TRUE,
          "",
          VLOOKUP($I$12,$I$22:$AA$127,17,FALSE))</f>
        <v/>
      </c>
      <c r="Z12" s="20" t="str">
        <f ca="1">IF(ISNA(VLOOKUP($I$12,$I$22:$AA$127,18,FALSE))
        =TRUE,
          "",
          VLOOKUP($I$12,$I$22:$AA$127,18,FALSE))</f>
        <v/>
      </c>
      <c r="AA12" s="20" t="str">
        <f ca="1">IF(ISNA(VLOOKUP($I$12,$I$22:$AA$127,19,FALSE))
        =TRUE,
          "",
          VLOOKUP($I$12,$I$22:$AA$127,19,FALSE))</f>
        <v/>
      </c>
      <c r="AB12" s="20" t="str">
        <f ca="1">IF(IF(ISNA(VLOOKUP($I$12,$I$22:$AQ$127,20,FALSE))
             =TRUE,
               "",
               VLOOKUP($I$12,$I$22:$AQ$127,20,FALSE))
        =0,
          "",
          IF(ISNA(VLOOKUP($I$12,$I$22:$AQ$127,20,FALSE))
               =TRUE,
                 "",
                 VLOOKUP($I$12,$I$22:$AQ$127,20,FALSE)))</f>
        <v/>
      </c>
      <c r="AC12" s="20" t="str">
        <f ca="1">IF(IF(ISNA(VLOOKUP($I$12,$I$22:$AQ$127,21,FALSE))
             =TRUE,
               "",
               VLOOKUP($I$12,$I$22:$AQ$127,21,FALSE))
        =0,
          "",
          IF(ISNA(VLOOKUP($I$12,$I$22:$AQ$127,21,FALSE))
               =TRUE,
                 "",
                 VLOOKUP($I$12,$I$22:$AQ$127,21,FALSE)))</f>
        <v/>
      </c>
      <c r="AD12" s="20" t="str">
        <f ca="1">IF(IF(ISNA(VLOOKUP($I$12,$I$22:$AQ$127,22,FALSE))
             =TRUE,
               "",
               VLOOKUP($I$12,$I$22:$AQ$127,22,FALSE))
        =0,
          "",
          IF(ISNA(VLOOKUP($I$12,$I$22:$AQ$127,22,FALSE))
               =TRUE,
                 "",
                 VLOOKUP($I$12,$I$22:$AQ$127,22,FALSE)))</f>
        <v/>
      </c>
      <c r="AE12" s="20" t="str">
        <f ca="1">IF(IF(ISNA(VLOOKUP($I$12,$I$22:$AQ$127,23,FALSE))
             =TRUE,
               "",
               VLOOKUP($I$12,$I$22:$AQ$127,23,FALSE))
        =0,
          "",
          IF(ISNA(VLOOKUP($I$12,$I$22:$AQ$127,23,FALSE))
               =TRUE,
                  "",
                  VLOOKUP($I$12,$I$22:$AQ$127,23,FALSE)))</f>
        <v/>
      </c>
      <c r="AF12" s="20" t="str">
        <f ca="1">IF(IF(ISNA(VLOOKUP($I$12,$I$22:$AQ$127,24,FALSE))
             =TRUE,
               "",
               VLOOKUP($I$12,$I$22:$AQ$127,24,FALSE))
        =0,
          "",
          IF(ISNA(VLOOKUP($I$12,$I$22:$AQ$127,24,FALSE))
               =TRUE,
                 "",
                 VLOOKUP($I$12,$I$22:$AQ$127,24,FALSE)))</f>
        <v/>
      </c>
      <c r="AG12" s="20" t="str">
        <f ca="1">IF(IF(ISNA(VLOOKUP($I$12,$I$22:$AQ$127,25,FALSE))
             =TRUE,
               "",
               VLOOKUP($I$12,$I$22:$AQ$127,25,FALSE))
        =0,
          "",
          IF(ISNA(VLOOKUP($I$12,$I$22:$AQ$127,25,FALSE))
               =TRUE,
                 "",
                 VLOOKUP($I$12,$I$22:$AQ$127,25,FALSE)))</f>
        <v/>
      </c>
      <c r="AH12" s="20" t="str">
        <f ca="1">IF(IF(ISNA(VLOOKUP($I$12,$I$22:$AQ$127,26,FALSE))
             =TRUE,
               "",
               VLOOKUP($I$12,$I$22:$AQ$127,26,FALSE))
        =0,
          "",
          IF(ISNA(VLOOKUP($I$12,$I$22:$AQ$127,26,FALSE))
               =TRUE,
                 "",
                 VLOOKUP($I$12,$I$22:$AQ$127,26,FALSE)))</f>
        <v/>
      </c>
      <c r="AI12" s="20" t="str">
        <f ca="1">IF(IF(ISNA(VLOOKUP($I$12,$I$22:$AQ$127,27,FALSE))
             =TRUE,
               "",
               VLOOKUP($I$12,$I$22:$AQ$127,27,FALSE))
        =0,
          "",
          IF(ISNA(VLOOKUP($I$12,$I$22:$AQ$127,27,FALSE))
               =TRUE,
                  "",
                  VLOOKUP($I$12,$I$22:$AQ$127,27,FALSE)))</f>
        <v/>
      </c>
      <c r="AJ12" s="20" t="str">
        <f ca="1">IF(IF(ISNA(VLOOKUP($I$12,$I$22:$AQ$127,28,FALSE))
             =TRUE,
               "",
               VLOOKUP($I$12,$I$22:$AQ$127,28,FALSE))
        =0,
          "",
          IF(ISNA(VLOOKUP($I$12,$I$22:$AQ$127,28,FALSE))
               =TRUE,
                  "",
                  VLOOKUP($I$12,$I$22:$AQ$127,28,FALSE)))</f>
        <v/>
      </c>
      <c r="AK12" s="20" t="str">
        <f ca="1">IF(IF(ISNA(VLOOKUP($I$12,$I$22:$AQ$127,29,FALSE))
             =TRUE,
               "",
               VLOOKUP($I$12,$I$22:$AQ$127,29,FALSE))
        =0,
          "",
          IF(ISNA(VLOOKUP($I$12,$I$22:$AQ$127,29,FALSE))
               =TRUE,
                 "",
                 VLOOKUP($I$12,$I$22:$AQ$127,29,FALSE)))</f>
        <v/>
      </c>
      <c r="AL12" s="20" t="str">
        <f ca="1">IF(IF(ISNA(VLOOKUP($I$12,$I$22:$AQ$127,30,FALSE))
             =TRUE,
               "",
               VLOOKUP($I$12,$I$22:$AQ$127,30,FALSE))
        =0,
          "",
          IF(ISNA(VLOOKUP($I$12,$I$22:$AQ$127,30,FALSE))
               =TRUE,
                 "",
                 VLOOKUP($I$12,$I$22:$AQ$127,30,FALSE)))</f>
        <v/>
      </c>
      <c r="AM12" s="20" t="str">
        <f ca="1">IF(IF(ISNA(VLOOKUP($I$12,$I$22:$AQ$127,31,FALSE))
             =TRUE,
               "",
               VLOOKUP($I$12,$I$22:$AQ$127,31,FALSE))
       =0,
          "",
          IF(ISNA(VLOOKUP($I$12,$I$22:$AQ$127,31,FALSE))
               =TRUE,
                 "",
                 VLOOKUP($I$12,$I$22:$AQ$127,31,FALSE)))</f>
        <v/>
      </c>
      <c r="AN12" s="20" t="str">
        <f ca="1">IF(IF(ISNA(VLOOKUP($I$12,$I$22:$AQ$127,32,FALSE))
             =TRUE,
                "",
                VLOOKUP($I$12,$I$22:$AQ$127,32,FALSE))
        =0,
          "",
          IF(ISNA(VLOOKUP($I$12,$I$22:$AQ$127,32,FALSE))
               =TRUE,
                 "",
                 VLOOKUP($I$12,$I$22:$AQ$127,32,FALSE)))</f>
        <v/>
      </c>
      <c r="AO12" s="20" t="str">
        <f ca="1">IF(IF(ISNA(VLOOKUP($I$12,$I$22:$AQ$127,33,FALSE))
             =TRUE,
               "",
               VLOOKUP($I$12,$I$22:$AQ$127,33,FALSE))
       =0,
         "",
         IF(ISNA(VLOOKUP($I$12,$I$22:$AQ$127,33,FALSE))
              =TRUE,
                "",
                VLOOKUP($I$12,$I$22:$AQ$127,33,FALSE)))</f>
        <v/>
      </c>
      <c r="AP12" s="20" t="str">
        <f ca="1">IF(IF(ISNA(VLOOKUP($I$12,$I$22:$AQ$127,34,FALSE))
             =TRUE,
               "",
               VLOOKUP($I$12,$I$22:$AQ$127,34,FALSE))
        =0,
          "",
          IF(ISNA(VLOOKUP($I$12,$I$22:$AQ$127,34,FALSE))
               =TRUE,
                 "",
                 VLOOKUP($I$12,$I$22:$AQ$127,34,FALSE)))</f>
        <v/>
      </c>
      <c r="AQ12" s="20" t="str">
        <f ca="1">IF(IF(ISNA(VLOOKUP($I$12,$I$22:$AQ$127,35,FALSE))
             =TRUE,
                "",
                VLOOKUP($I$12,$I$22:$AQ$127,35,FALSE))
        =0,
          "",
          IF(ISNA(VLOOKUP($I$12,$I$22:$AQ$127,35,FALSE))
               =TRUE,
                 "",
                 VLOOKUP($I$12,$I$22:$AQ$127,35,FALSE)))</f>
        <v/>
      </c>
    </row>
    <row r="13" spans="1:44" x14ac:dyDescent="0.25">
      <c r="A13" s="7">
        <v>7</v>
      </c>
      <c r="B13" s="15" t="str">
        <f>IF('SSP APD AAA Branches'!$I$6
        ="",
          "",
          IF(I13
               ="",
                  "",
                  ""&amp;L13&amp;""&amp;J13&amp;" "&amp;K13&amp;""&amp;CHAR(10)&amp;""&amp;V13&amp;" "&amp;W13&amp;""&amp;CHAR(10)&amp;""&amp;X13&amp;", "&amp;Y13&amp;" "&amp;Z13&amp;""&amp;CHAR(10)&amp;""&amp;AA13&amp;" County"&amp;CHAR(10)&amp;"District "&amp;T13&amp;""))</f>
        <v/>
      </c>
      <c r="C13" s="15" t="str">
        <f>IF('SSP APD AAA Branches'!$I$6
        ="",
          "",
          IF(I13
               &lt;&gt;"",
                    "Phone Number: "&amp;TEXT(P13,"(000) 000-0000")&amp;""&amp;CHAR(10)&amp;"Fax Number: "&amp;TEXT(R13,"(000) 000-0000")&amp;""&amp;CHAR(10)&amp;"Case Transfer Email: "&amp;S13&amp;""&amp;CHAR(10)&amp;"Office Hours: "
                         &amp;TEXT(M13,"H:MM AM/PM")&amp;" - "&amp;TEXT(N13,"H:MM AM/PM")&amp;" "&amp;O13&amp;""&amp;CHAR(10)&amp;""&amp;IF(U13
                                                                                                                                                                                                                     =0,
                                                                                                                                                                                                                        "",
                                                                                                                                                                                                                        "Assigned Zip Codes: "&amp;U13&amp;"")
                         &amp;"",
                    IF(I13
                         ="",
                           "",
                           "Phone Number: "&amp;TEXT(P12,"(000) 000-0000")&amp;""&amp;CHAR(10)&amp;"Fax Number: "&amp;TEXT(R12,"(000) 000-0000")&amp;""&amp;CHAR(10)&amp;"Case Transfer Email: "&amp;S12&amp;""&amp;CHAR(10)&amp;"Office Hours: "
                                &amp;TEXT(M12,"H:MM AM/PM")&amp;" - "&amp;TEXT(N12,"H:MM AM/PM")&amp;" "&amp;O12&amp;""&amp;CHAR(10)&amp;""&amp;IF(U12
                                                                                                                                                                                                                           =0,
                                                                                                                                                                                                                             "",
                                                                                                                                                                                                                             "Assigned Zip Codes: "&amp;U12&amp;"")
                                &amp;"")))</f>
        <v/>
      </c>
      <c r="D13" s="35" t="str">
        <f>IF('SSP APD AAA Branches'!$I$6
        ="",
          "",
          IF(I13
               &lt;&gt;"",
                    ""&amp;AB13&amp;""&amp;IF(AJ13
                                                   ="",
                                                     "",
                                                     " | ")
                         &amp;""&amp;AJ13&amp;""&amp;CHAR(10)&amp;""&amp;AC13&amp;""&amp;IF(AK13
                                                                                                           ="",
                                                                                                             "",
                                                                                                             " | ")
                         &amp;""&amp;AK13&amp;""&amp;CHAR(10)&amp;""&amp;AD13&amp;""&amp;IF(AL13
                                                                                                            ="",
                                                                                                              "",
                                                                                                              " | ")
                         &amp;""&amp;AL13&amp;""&amp;CHAR(10)&amp;""&amp;AE13&amp;""&amp;IF(AM13
                                                                                                            ="",
                                                                                                              "",
                                                                                                              " | ")
                         &amp;""&amp;AM13&amp;""&amp;CHAR(10)&amp;""&amp;AF13&amp;""&amp;IF(AN13
                                                                                                             ="",
                                                                                                               "",
                                                                                                               " | ")
                         &amp;""&amp;AN13&amp;""&amp;CHAR(10)&amp;""&amp;AG13&amp;""&amp;IF(AO13
                                                                                                             ="",
                                                                                                               "",
                                                                                                               " | ")
                         &amp;""&amp;AO13&amp;""&amp;CHAR(10)&amp;""&amp;AH13&amp;""&amp;IF(AP13
                                                                                                             ="",
                                                                                                               "",
                                                                                                               " | ")
                         &amp;""&amp;AP13&amp;""&amp;CHAR(10)&amp;""&amp;AI13&amp;""&amp;IF(AQ13
                                                                                                           ="",
                                                                                                             "",
                                                                                                             " | ")
                         &amp;""&amp;AQ13&amp;"",
                    IF(I13
                         ="",
                           "",
                           ""&amp;AB12&amp;""&amp;IF(AJ12
                                                          ="",
                                                            "",
                                                            " | ")
                                 &amp;""&amp;AJ12&amp;""&amp;CHAR(10)&amp;""&amp;AC12&amp;""&amp;IF(AK12
                                                                                                                   ="",
                                                                                                                     "",
                                                                                                                     " | ")
                                 &amp;""&amp;AK12&amp;""&amp;CHAR(10)&amp;""&amp;AD12&amp;""&amp;IF(AL12
                                                                                                                    ="",
                                                                                                                      "",
                                                                                                                      " | ")
                                 &amp;""&amp;AL12&amp;""&amp;CHAR(10)&amp;""&amp;AE12&amp;""&amp;IF(AM12
                                                                                                                   ="",
                                                                                                                     "",
                                                                                                                     " | ")
                                 &amp;""&amp;AM12&amp;""&amp;CHAR(10)&amp;""&amp;AF12&amp;""&amp;IF(AN12
                                                                                                                     ="",
                                                                                                                       "",
                                                                                                                       " | ")
                                 &amp;""&amp;AN12&amp;""&amp;CHAR(10)&amp;""&amp;AG12&amp;""&amp;IF(AO12
                                                                                                                     ="",
                                                                                                                       "",
                                                                                                                       " | ")
                                 &amp;""&amp;AO12&amp;""&amp;CHAR(10)&amp;""&amp;AH12&amp;""&amp;IF(AP12
                                                                                                                     ="",
                                                                                                                       "",
                                                                                                                       " | ")
                                 &amp;""&amp;AP12&amp;""&amp;CHAR(10)&amp;""&amp;AI12&amp;""&amp;IF(AQ12
                                                                                                                   ="",
                                                                                                                     "",
                                                                                                                     " | ")
                                  &amp;""&amp;AQ12&amp;"")))</f>
        <v/>
      </c>
      <c r="E13" s="15" t="str">
        <f>IF('SSP APD AAA Branches'!$I$6
        ="",
          "",
          IF(I13
               &lt;&gt;"",
                    HYPERLINK("mailto:"&amp;'SSP APD AAA DB Code'!S13&amp;"", "Click here to email"),
                    IF(I13
                         ="",
                           "",
                           HYPERLINK("mailto:"&amp;'SSP APD AAA DB Code'!S12&amp;"", "Click here to email"))))</f>
        <v/>
      </c>
      <c r="F13" s="7" t="str">
        <f>""</f>
        <v/>
      </c>
      <c r="G13" s="7" t="str">
        <f>IF('SSP APD AAA Branches'!$I$6
        ="",
            "",
            IF('SSP APD AAA DB Code'!I13
               &lt;&gt;"",
                    IF('SSP APD AAA DB Code'!AB13
                          ="",
                              "",
                              HYPERLINK("https://teams.microsoft.com/l/chat/0/0?users="&amp;'SSP APD AAA DB Code'!AJ13&amp;","&amp;'SSP APD AAA DB Code'!AK13&amp;","&amp;'SSP APD AAA DB Code'!AL13&amp;","&amp;'SSP APD AAA DB Code'!AM13&amp;",
                                        "&amp;'SSP APD AAA DB Code'!AN13&amp;","&amp;'SSP APD AAA DB Code'!AO13&amp;"","Click here to send group IM")),
                    IF('SSP APD AAA DB Code'!I13
                         ="",
                             "",
                             HYPERLINK("https://teams.microsoft.com/l/chat/0/0?users="&amp;'SSP APD AAA DB Code'!AJ12&amp;","&amp;'SSP APD AAA DB Code'!AK12&amp;","&amp;'SSP APD AAA DB Code'!AL12&amp;","&amp;'SSP APD AAA DB Code'!AM12&amp;",
                                       "&amp;'SSP APD AAA DB Code'!AN12&amp;","&amp;'SSP APD AAA DB Code'!AO12&amp;"","Click here to send group IM"))))</f>
        <v/>
      </c>
      <c r="H13" s="15" t="str">
        <f ca="1">IF(LEN('SSP APD AAA Branches'!$I$6)
       &lt;=2,
           IF(ISERROR(ROW(IF(ISNA(INDEX(INDIRECT("I"&amp;H12+1):$I$127,MATCH('SSP APD AAA Branches'!$I$6,INDIRECT("T"&amp;H12+1):$T$127,0)))
                                                     =TRUE,
                                                        "",
                                                        INDEX(INDIRECT("I"&amp;H12+1):$I$127,MATCH('SSP APD AAA Branches'!$I$6,INDIRECT("T"&amp;H12+1):$T$127,0)))))
                =TRUE,
                   "",
                   ROW(IF(ISNA(INDEX(INDIRECT("I"&amp;H12+1):$I$127,MATCH('SSP APD AAA Branches'!$I$6,INDIRECT("T"&amp;H12+1):$T$127,0)))
                                    =TRUE,
                                       "",
                                      INDEX(INDIRECT("I"&amp;H12+1):$I$127,MATCH('SSP APD AAA Branches'!$I$6,INDIRECT("T"&amp;H12+1):$T$127,0))))),
           IF(ISERROR(ROW(IF(ISNA(INDEX(INDIRECT("I"&amp;H12+1):$I$127,MATCH("*"&amp;'SSP APD AAA Branches'!$I$6&amp;"*",INDIRECT("U"&amp;H12+1):$U$127,0)))
                                                     =FALSE,
                                                       INDEX(INDIRECT("I"&amp;H12+1):$I$127,MATCH("*"&amp;'SSP APD AAA Branches'!$I$6&amp;"*",INDIRECT("U"&amp;H12+1):$U$127,0)),
                                                       IF(ISNA(INDEX(INDIRECT("I"&amp;H12+1):$I$127,MATCH("*"&amp;'SSP APD AAA Branches'!$I$6&amp;"*",INDIRECT("X"&amp;H12+1):$X$127,0)))
                                                             =FALSE,
                                                                INDEX(INDIRECT("I"&amp;H12+1):$I$127,MATCH("*"&amp;'SSP APD AAA Branches'!$I$6&amp;"*",INDIRECT("X"&amp;H12+1):$X$127,0)),
                                                                IF(ISNA(INDEX(INDIRECT("I"&amp;H12+1):$I$127,MATCH("*"&amp;'SSP APD AAA Branches'!$I$6&amp;"*",INDIRECT("L"&amp;H12+1):$L$127,0)))
                                                                      =FALSE,
                                                                         INDEX(INDIRECT("I"&amp;H12+1):$I$127,MATCH("*"&amp;'SSP APD AAA Branches'!$I$6&amp;"*",INDIRECT("L"&amp;H12+1):$L$127,0)),
                                                                         IF(ISNA(INDEX(INDIRECT("I"&amp;H12+1):$I$127,MATCH("*"&amp;'SSP APD AAA Branches'!$I$6&amp;"*",INDIRECT("AA"&amp;H12+1):$AA$127,0)))
                                                                              =FALSE,
                                                                                INDEX(INDIRECT("I"&amp;H12+1):$I$127,MATCH("*"&amp;'SSP APD AAA Branches'!$I$6&amp;"*",INDIRECT("AA"&amp;H12+1):$AA$127,0)),""))))))
                =TRUE,
                  "",
                  ROW(IF(ISNA(INDEX(INDIRECT("I"&amp;H12+1):$I$127,MATCH("*"&amp;'SSP APD AAA Branches'!$I$6&amp;"*",INDIRECT("U"&amp;H12+1):$U$127,0)))
                                    =FALSE,
                                      INDEX(INDIRECT("I"&amp;H12+1):$I$127,MATCH("*"&amp;'SSP APD AAA Branches'!$I$6&amp;"*",INDIRECT("U"&amp;H12+1):$U$127,0)),
                                      IF(ISNA(INDEX(INDIRECT("I"&amp;H12+1):$I$127,MATCH("*"&amp;'SSP APD AAA Branches'!$I$6&amp;"*",INDIRECT("AA"&amp;H12+1):$AA$127,0)))
                                           =FALSE,
                                              INDEX(INDIRECT("I"&amp;H12+1):$I$127,MATCH("*"&amp;'SSP APD AAA Branches'!$I$6&amp;"*",INDIRECT("AA"&amp;H12+1):$AA$127,0)),
                                              IF(ISNA(INDEX(INDIRECT("I"&amp;H12+1):$I$127,MATCH("*"&amp;'SSP APD AAA Branches'!$I$6&amp;"*",INDIRECT("L"&amp;H12+1):$L$127,0)))
                                                   =FALSE,
                                                     INDEX(INDIRECT("I"&amp;H12+1):$I$127,MATCH("*"&amp;'SSP APD AAA Branches'!$I$6&amp;"*",INDIRECT("L"&amp;H12+1):$L$127,0)),
                                                     IF(ISNA(INDEX(INDIRECT("I"&amp;H12+1):$I$127,MATCH("*"&amp;'SSP APD AAA Branches'!$I$6&amp;"*",INDIRECT("X"&amp;H12+1):$X$127,0)))
                                                           =FALSE,
                                                             INDEX(INDIRECT("I"&amp;H12+1):$I$127,MATCH("*"&amp;'SSP APD AAA Branches'!$I$6&amp;"*",INDIRECT("X"&amp;H12+1):$X$127,0)),
                                                              "")))))))</f>
        <v/>
      </c>
      <c r="I13" s="23" t="str">
        <f ca="1">IF(LEN('SSP APD AAA Branches'!$I$6)
        &lt;=2,
             IF($I$6
                   ="",
                     IF(ISERROR(IF(ISNA(INDEX(INDIRECT("I"&amp;H12+1):$I$127,MATCH('SSP APD AAA Branches'!$I$6,INDIRECT("T"&amp;H12+1):$T$127,0)))
                                                   =FALSE,
                                                      INDEX(INDIRECT("I"&amp;H12+1):$I$127,MATCH('SSP APD AAA Branches'!$I$6,INDIRECT("T"&amp;H12+1):$T$127,0)),
                                                      ""))
                           =TRUE,
                              "",
                              IF(ISNA(INDEX(INDIRECT("I"&amp;H12+1):$I$127,MATCH('SSP APD AAA Branches'!$I$6,INDIRECT("T"&amp;H12+1):$T$127,0)))
                                    =FALSE,
                                      INDEX(INDIRECT("I"&amp;H12+1):$I$127,MATCH('SSP APD AAA Branches'!$I$6,INDIRECT("T"&amp;H12+1):$T$127,0)),
                                      "")),
                      ""),
              IF($I$6
                    ="",
                      IF(ISERROR(IF(ISNA(INDEX(INDIRECT("I"&amp;H12+1):$I$127,MATCH("*"&amp;'SSP APD AAA Branches'!$I$6&amp;"*",INDIRECT("U"&amp;H12+1):$U$127,0)))
                                                   =FALSE,
                                                     INDEX(INDIRECT("I"&amp;H12+1):$I$127,MATCH("*"&amp;'SSP APD AAA Branches'!$I$6&amp;"*",INDIRECT("U"&amp;H12+1):$U$127,0)),
                                                     IF(ISNA(INDEX(INDIRECT("I"&amp;H12+1):$I$127,MATCH("*"&amp;'SSP APD AAA Branches'!$I$6&amp;"*",INDIRECT("X"&amp;H12+1):$X$127,0)))
                                                          =FALSE,
                                                            INDEX(INDIRECT("I"&amp;H12+1):$I$127,MATCH("*"&amp;'SSP APD AAA Branches'!$I$6&amp;"*",INDIRECT("X"&amp;H12+1):$X$127,0)),
                                                            IF(ISNA(INDEX(INDIRECT("I"&amp;H12+1):$I$127,MATCH("*"&amp;'SSP APD AAA Branches'!$I$6&amp;"*",INDIRECT("AA"&amp;H12+1):$AA$127,0)))
                                                                 =FALSE,
                                                                   INDEX(INDIRECT("I"&amp;H12+1):$I$127,MATCH("*"&amp;'SSP APD AAA Branches'!$I$6&amp;"*",INDIRECT("AA"&amp;H12+1):$AA$127,0)),
                                                                   ""))))
                             =TRUE,
                               "",
                               IF(ISNA(INDEX(INDIRECT("I"&amp;H12+1):$I$127,MATCH("*"&amp;'SSP APD AAA Branches'!$I$6&amp;"*",INDIRECT("U"&amp;H12+1):$U$127,0)))
                                     =FALSE,
                                        INDEX(INDIRECT("I"&amp;H12+1):$I$127,MATCH("*"&amp;'SSP APD AAA Branches'!$I$6&amp;"*",INDIRECT("U"&amp;H12+1):$U$127,0)),
                                          IF(ISNA(INDEX(INDIRECT("I"&amp;H12+1):$I$127,MATCH("*"&amp;'SSP APD AAA Branches'!$I$6&amp;"*",INDIRECT("AA"&amp;H12+1):$AA$127,0)))
                                               =FALSE,
                                                 INDEX(INDIRECT("I"&amp;H12+1):$I$127,MATCH("*"&amp;'SSP APD AAA Branches'!$I$6&amp;"*",INDIRECT("AA"&amp;H12+1):$AA$127,0)),
                                                 IF(ISNA(INDEX(INDIRECT("I"&amp;H12+1):$I$127,MATCH("*"&amp;'SSP APD AAA Branches'!$I$6&amp;"*",INDIRECT("L"&amp;H12+1):$L$127,0)))
                                                      =FALSE,
                                                        INDEX(INDIRECT("I"&amp;H12+1):$I$127,MATCH("*"&amp;'SSP APD AAA Branches'!$I$6&amp;"*",INDIRECT("L"&amp;H12+1):$L$127,0)),
                                                        IF(ISNA(INDEX(INDIRECT("I"&amp;H12+1):$I$127,MATCH("*"&amp;'SSP APD AAA Branches'!$I$6&amp;"*",INDIRECT("X"&amp;H12+1):$X$127,0)))
                                                             =FALSE,
                                                                INDEX(INDIRECT("I"&amp;H12+1):$I$127,MATCH("*"&amp;'SSP APD AAA Branches'!$I$6&amp;"*",INDIRECT("X"&amp;H12+1):$X$127,0)),
                                                                ""))))),
                      ""))</f>
        <v/>
      </c>
      <c r="J13" s="20" t="str">
        <f ca="1">IF(ISNA(VLOOKUP($I$13,$I$22:$AA$127,2,FALSE))
       =TRUE,
         "",
         VLOOKUP($I$13,$I$22:$AA$127,2,FALSE))</f>
        <v/>
      </c>
      <c r="K13" s="20" t="str">
        <f ca="1">IF(ISNA(VLOOKUP($I$13,$I$22:$AA$127,3,FALSE))
       =TRUE,
         "",
         VLOOKUP($I$13,$I$22:$AA$127,3,FALSE))</f>
        <v/>
      </c>
      <c r="L13" s="20" t="str">
        <f ca="1">IF(ISNA(VLOOKUP($I$13,$I$22:$AA$127,4,FALSE))
       =TRUE,
         "",
         VLOOKUP($I$13,$I$22:$AA$127,4,FALSE))</f>
        <v/>
      </c>
      <c r="M13" s="17" t="str">
        <f ca="1">IF(ISNA(VLOOKUP($I$13,$I$22:$AA$127,5,FALSE))
        =TRUE,
          "",
          VLOOKUP($I$13,$I$22:$AA$127,5,FALSE))</f>
        <v/>
      </c>
      <c r="N13" s="17" t="str">
        <f ca="1">IF(ISNA(VLOOKUP($I$13,$I$22:$AA$127,6,FALSE))
        =TRUE,
          "",
          VLOOKUP($I$13,$I$22:$AA$127,6,FALSE))</f>
        <v/>
      </c>
      <c r="O13" s="20" t="str">
        <f ca="1">IF(ISNA(VLOOKUP($I$13,$I$22:$AA$127,7,FALSE))
       =TRUE,
         "",
         VLOOKUP($I$13,$I$22:$AA$127,7,FALSE))</f>
        <v/>
      </c>
      <c r="P13" s="19" t="str">
        <f ca="1">IF(ISNA(VLOOKUP($I$13,$I$22:$AA$127,8,FALSE))
       =TRUE,
         "",
         VLOOKUP($I$13,$I$22:$AA$127,8,FALSE))</f>
        <v/>
      </c>
      <c r="Q13" s="18" t="str">
        <f ca="1">IF(ISNA(VLOOKUP($I$13,$I$22:$AA$127,9,FALSE))
        =TRUE,
          "",
          VLOOKUP($I$13,$I$22:$AA$127,9,FALSE))</f>
        <v/>
      </c>
      <c r="R13" s="19" t="str">
        <f ca="1">IF(ISNA(VLOOKUP($I$13,$I$22:$AA$127,10,FALSE))
        =TRUE,
          "",
          VLOOKUP($I$13,$I$22:$AA$127,10,FALSE))</f>
        <v/>
      </c>
      <c r="S13" s="20" t="e">
        <f ca="1">IF(VLOOKUP($I$13,$I$22:$AA$127,11,FALSE)
       ="",
         "No Case Transfer Email has been Submitted.",
         IF(ISNA(VLOOKUP($I$13,$I$22:$AA$127,11,FALSE))
              =TRUE,
                "",
                VLOOKUP($I$13,$I$22:$AA$127,11,FALSE)))</f>
        <v>#N/A</v>
      </c>
      <c r="T13" s="21" t="str">
        <f ca="1">IF(ISNA(VLOOKUP($I$13,$I$22:$AA$127,12,FALSE))
       =TRUE,
         "",
         VLOOKUP($I$13,$I$22:$AA$127,12,FALSE))</f>
        <v/>
      </c>
      <c r="U13" s="20" t="str">
        <f ca="1">IF(ISNA(VLOOKUP($I$13,$I$22:$AA$127,13,FALSE))
       =TRUE,
         "",
         VLOOKUP($I$13,$I$22:$AA$127,13,FALSE))</f>
        <v/>
      </c>
      <c r="V13" s="20" t="str">
        <f ca="1">IF(ISNA(VLOOKUP($I$13,$I$22:$AA$127,14,FALSE))
       =TRUE,
         "",
         VLOOKUP($I$13,$I$22:$AA$127,14,FALSE))</f>
        <v/>
      </c>
      <c r="W13" s="20" t="str">
        <f ca="1">IF(ISNA(VLOOKUP($I$13,$I$22:$AA$127,15,FALSE))
       =TRUE,
         "",
         IF(VLOOKUP($I$13,$I$22:$AA$127,15,FALSE)
              =0,
                "",
                VLOOKUP($I$13,$I$22:$AA$127,15,FALSE)))</f>
        <v/>
      </c>
      <c r="X13" s="20" t="str">
        <f ca="1">IF(ISNA(VLOOKUP($I$13,$I$22:$AA$127,16,FALSE))
       =TRUE,
         "",
         VLOOKUP($I$13,$I$22:$AA$127,16,FALSE))</f>
        <v/>
      </c>
      <c r="Y13" s="20" t="str">
        <f ca="1">IF(ISNA(VLOOKUP($I$13,$I$22:$AA$127,17,FALSE))
        =TRUE,
          "",
          VLOOKUP($I$13,$I$22:$AA$127,17,FALSE))</f>
        <v/>
      </c>
      <c r="Z13" s="20" t="str">
        <f ca="1">IF(ISNA(VLOOKUP($I$13,$I$22:$AA$127,18,FALSE))
        =TRUE,
          "",
          VLOOKUP($I$13,$I$22:$AA$127,18,FALSE))</f>
        <v/>
      </c>
      <c r="AA13" s="20" t="str">
        <f ca="1">IF(ISNA(VLOOKUP($I$13,$I$22:$AA$127,19,FALSE))
        =TRUE,
          "",
          VLOOKUP($I$13,$I$22:$AA$127,19,FALSE))</f>
        <v/>
      </c>
      <c r="AB13" s="20" t="str">
        <f ca="1">IF(IF(ISNA(VLOOKUP($I$13,$I$22:$AQ$127,20,FALSE))
             =TRUE,
               "",
               VLOOKUP($I$13,$I$22:$AQ$127,20,FALSE))
        =0,
          "",
          IF(ISNA(VLOOKUP($I$13,$I$22:$AQ$127,20,FALSE))
               =TRUE,
                 "",
                 VLOOKUP($I$13,$I$22:$AQ$127,20,FALSE)))</f>
        <v/>
      </c>
      <c r="AC13" s="20" t="str">
        <f ca="1">IF(IF(ISNA(VLOOKUP($I$13,$I$22:$AQ$127,21,FALSE))
             =TRUE,
               "",
               VLOOKUP($I$13,$I$22:$AQ$127,21,FALSE))
        =0,
          "",
          IF(ISNA(VLOOKUP($I$13,$I$22:$AQ$127,21,FALSE))
               =TRUE,
                 "",
                 VLOOKUP($I$13,$I$22:$AQ$127,21,FALSE)))</f>
        <v/>
      </c>
      <c r="AD13" s="20" t="str">
        <f ca="1">IF(IF(ISNA(VLOOKUP($I$13,$I$22:$AQ$127,22,FALSE))
             =TRUE,
               "",
               VLOOKUP($I$13,$I$22:$AQ$127,22,FALSE))
        =0,
          "",
          IF(ISNA(VLOOKUP($I$13,$I$22:$AQ$127,22,FALSE))
               =TRUE,
                 "",
                 VLOOKUP($I$13,$I$22:$AQ$127,22,FALSE)))</f>
        <v/>
      </c>
      <c r="AE13" s="20" t="str">
        <f ca="1">IF(IF(ISNA(VLOOKUP($I$13,$I$22:$AQ$127,23,FALSE))
             =TRUE,
               "",
               VLOOKUP($I$13,$I$22:$AQ$127,23,FALSE))
        =0,
          "",
          IF(ISNA(VLOOKUP($I$13,$I$22:$AQ$127,23,FALSE))
               =TRUE,
                  "",
                  VLOOKUP($I$13,$I$22:$AQ$127,23,FALSE)))</f>
        <v/>
      </c>
      <c r="AF13" s="20" t="str">
        <f ca="1">IF(IF(ISNA(VLOOKUP($I$13,$I$22:$AQ$127,24,FALSE))
             =TRUE,
               "",
               VLOOKUP($I$13,$I$22:$AQ$127,24,FALSE))
        =0,
          "",
          IF(ISNA(VLOOKUP($I$13,$I$22:$AQ$127,24,FALSE))
               =TRUE,
                 "",
                 VLOOKUP($I$13,$I$22:$AQ$127,24,FALSE)))</f>
        <v/>
      </c>
      <c r="AG13" s="20" t="str">
        <f ca="1">IF(IF(ISNA(VLOOKUP($I$13,$I$22:$AQ$127,25,FALSE))
             =TRUE,
               "",
               VLOOKUP($I$13,$I$22:$AQ$127,25,FALSE))
        =0,
          "",
          IF(ISNA(VLOOKUP($I$13,$I$22:$AQ$127,25,FALSE))
               =TRUE,
                 "",
                 VLOOKUP($I$13,$I$22:$AQ$127,25,FALSE)))</f>
        <v/>
      </c>
      <c r="AH13" s="20" t="str">
        <f ca="1">IF(IF(ISNA(VLOOKUP($I$13,$I$22:$AQ$127,26,FALSE))
             =TRUE,
               "",
               VLOOKUP($I$13,$I$22:$AQ$127,26,FALSE))
        =0,
          "",
          IF(ISNA(VLOOKUP($I$13,$I$22:$AQ$127,26,FALSE))
               =TRUE,
                 "",
                 VLOOKUP($I$13,$I$22:$AQ$127,26,FALSE)))</f>
        <v/>
      </c>
      <c r="AI13" s="20" t="str">
        <f ca="1">IF(IF(ISNA(VLOOKUP($I$13,$I$22:$AQ$127,27,FALSE))
             =TRUE,
               "",
               VLOOKUP($I$13,$I$22:$AQ$127,27,FALSE))
        =0,
          "",
          IF(ISNA(VLOOKUP($I$13,$I$22:$AQ$127,27,FALSE))
               =TRUE,
                  "",
                  VLOOKUP($I$13,$I$22:$AQ$127,27,FALSE)))</f>
        <v/>
      </c>
      <c r="AJ13" s="20" t="str">
        <f ca="1">IF(IF(ISNA(VLOOKUP($I$13,$I$22:$AQ$127,28,FALSE))
             =TRUE,
               "",
               VLOOKUP($I$13,$I$22:$AQ$127,28,FALSE))
        =0,
          "",
          IF(ISNA(VLOOKUP($I$13,$I$22:$AQ$127,28,FALSE))
               =TRUE,
                  "",
                  VLOOKUP($I$13,$I$22:$AQ$127,28,FALSE)))</f>
        <v/>
      </c>
      <c r="AK13" s="20" t="str">
        <f ca="1">IF(IF(ISNA(VLOOKUP($I$13,$I$22:$AQ$127,29,FALSE))
             =TRUE,
               "",
               VLOOKUP($I$13,$I$22:$AQ$127,29,FALSE))
        =0,
          "",
          IF(ISNA(VLOOKUP($I$13,$I$22:$AQ$127,29,FALSE))
               =TRUE,
                 "",
                 VLOOKUP($I$13,$I$22:$AQ$127,29,FALSE)))</f>
        <v/>
      </c>
      <c r="AL13" s="20" t="str">
        <f ca="1">IF(IF(ISNA(VLOOKUP($I$13,$I$22:$AQ$127,30,FALSE))
             =TRUE,
               "",
               VLOOKUP($I$13,$I$22:$AQ$127,30,FALSE))
        =0,
          "",
          IF(ISNA(VLOOKUP($I$13,$I$22:$AQ$127,30,FALSE))
               =TRUE,
                 "",
                 VLOOKUP($I$13,$I$22:$AQ$127,30,FALSE)))</f>
        <v/>
      </c>
      <c r="AM13" s="20" t="str">
        <f ca="1">IF(IF(ISNA(VLOOKUP($I$13,$I$22:$AQ$127,31,FALSE))
             =TRUE,
               "",
               VLOOKUP($I$13,$I$22:$AQ$127,31,FALSE))
       =0,
          "",
          IF(ISNA(VLOOKUP($I$13,$I$22:$AQ$127,31,FALSE))
               =TRUE,
                 "",
                 VLOOKUP($I$13,$I$22:$AQ$127,31,FALSE)))</f>
        <v/>
      </c>
      <c r="AN13" s="20" t="str">
        <f ca="1">IF(IF(ISNA(VLOOKUP($I$13,$I$22:$AQ$127,32,FALSE))
             =TRUE,
                "",
                VLOOKUP($I$13,$I$22:$AQ$127,32,FALSE))
        =0,
          "",
          IF(ISNA(VLOOKUP($I$13,$I$22:$AQ$127,32,FALSE))
               =TRUE,
                 "",
                 VLOOKUP($I$13,$I$22:$AQ$127,32,FALSE)))</f>
        <v/>
      </c>
      <c r="AO13" s="20" t="str">
        <f ca="1">IF(IF(ISNA(VLOOKUP($I$13,$I$22:$AQ$127,33,FALSE))
             =TRUE,
               "",
               VLOOKUP($I$13,$I$22:$AQ$127,33,FALSE))
       =0,
         "",
         IF(ISNA(VLOOKUP($I$13,$I$22:$AQ$127,33,FALSE))
              =TRUE,
                "",
                VLOOKUP($I$13,$I$22:$AQ$127,33,FALSE)))</f>
        <v/>
      </c>
      <c r="AP13" s="20" t="str">
        <f ca="1">IF(IF(ISNA(VLOOKUP($I$13,$I$22:$AQ$127,34,FALSE))
             =TRUE,
               "",
               VLOOKUP($I$13,$I$22:$AQ$127,34,FALSE))
        =0,
          "",
          IF(ISNA(VLOOKUP($I$13,$I$22:$AQ$127,34,FALSE))
               =TRUE,
                 "",
                 VLOOKUP($I$13,$I$22:$AQ$127,34,FALSE)))</f>
        <v/>
      </c>
      <c r="AQ13" s="20" t="str">
        <f ca="1">IF(IF(ISNA(VLOOKUP($I$13,$I$22:$AQ$127,35,FALSE))
             =TRUE,
                "",
                VLOOKUP($I$13,$I$22:$AQ$127,35,FALSE))
        =0,
          "",
          IF(ISNA(VLOOKUP($I$13,$I$22:$AQ$127,35,FALSE))
               =TRUE,
                 "",
                 VLOOKUP($I$13,$I$22:$AQ$127,35,FALSE)))</f>
        <v/>
      </c>
    </row>
    <row r="14" spans="1:44" x14ac:dyDescent="0.25">
      <c r="A14" s="7">
        <v>8</v>
      </c>
      <c r="B14" s="15" t="str">
        <f>IF('SSP APD AAA Branches'!$I$6
        ="",
          "",
          IF(I14
               ="",
                  "",
                  ""&amp;L14&amp;""&amp;J14&amp;" "&amp;K14&amp;""&amp;CHAR(10)&amp;""&amp;V14&amp;" "&amp;W14&amp;""&amp;CHAR(10)&amp;""&amp;X14&amp;", "&amp;Y14&amp;" "&amp;Z14&amp;""&amp;CHAR(10)&amp;""&amp;AA14&amp;" County"&amp;CHAR(10)&amp;"District "&amp;T14&amp;""))</f>
        <v/>
      </c>
      <c r="C14" s="15" t="str">
        <f>IF('SSP APD AAA Branches'!$I$6
        ="",
          "",
          IF(I14
               &lt;&gt;"",
                    "Phone Number: "&amp;TEXT(P14,"(000) 000-0000")&amp;""&amp;CHAR(10)&amp;"Fax Number: "&amp;TEXT(R14,"(000) 000-0000")&amp;""&amp;CHAR(10)&amp;"Case Transfer Email: "&amp;S14&amp;""&amp;CHAR(10)&amp;"Office Hours: "
                         &amp;TEXT(M14,"H:MM AM/PM")&amp;" - "&amp;TEXT(N14,"H:MM AM/PM")&amp;" "&amp;O14&amp;""&amp;CHAR(10)&amp;""&amp;IF(U14
                                                                                                                                                                                                                     =0,
                                                                                                                                                                                                                        "",
                                                                                                                                                                                                                        "Assigned Zip Codes: "&amp;U14&amp;"")
                         &amp;"",
                    IF(I14
                         ="",
                           "",
                           "Phone Number: "&amp;TEXT(P13,"(000) 000-0000")&amp;""&amp;CHAR(10)&amp;"Fax Number: "&amp;TEXT(R13,"(000) 000-0000")&amp;""&amp;CHAR(10)&amp;"Case Transfer Email: "&amp;S13&amp;""&amp;CHAR(10)&amp;"Office Hours: "
                                &amp;TEXT(M13,"H:MM AM/PM")&amp;" - "&amp;TEXT(N13,"H:MM AM/PM")&amp;" "&amp;O13&amp;""&amp;CHAR(10)&amp;""&amp;IF(U13
                                                                                                                                                                                                                           =0,
                                                                                                                                                                                                                             "",
                                                                                                                                                                                                                             "Assigned Zip Codes: "&amp;U13&amp;"")
                                &amp;"")))</f>
        <v/>
      </c>
      <c r="D14" s="35" t="str">
        <f>IF('SSP APD AAA Branches'!$I$6
        ="",
          "",
          IF(I14
               &lt;&gt;"",
                    ""&amp;AB14&amp;""&amp;IF(AJ14
                                                   ="",
                                                     "",
                                                     " | ")
                         &amp;""&amp;AJ14&amp;""&amp;CHAR(10)&amp;""&amp;AC14&amp;""&amp;IF(AK14
                                                                                                           ="",
                                                                                                             "",
                                                                                                             " | ")
                         &amp;""&amp;AK14&amp;""&amp;CHAR(10)&amp;""&amp;AD14&amp;""&amp;IF(AL14
                                                                                                            ="",
                                                                                                              "",
                                                                                                              " | ")
                         &amp;""&amp;AL14&amp;""&amp;CHAR(10)&amp;""&amp;AE14&amp;""&amp;IF(AM14
                                                                                                            ="",
                                                                                                              "",
                                                                                                              " | ")
                         &amp;""&amp;AM14&amp;""&amp;CHAR(10)&amp;""&amp;AF14&amp;""&amp;IF(AN14
                                                                                                             ="",
                                                                                                               "",
                                                                                                               " | ")
                         &amp;""&amp;AN14&amp;""&amp;CHAR(10)&amp;""&amp;AG14&amp;""&amp;IF(AO14
                                                                                                             ="",
                                                                                                               "",
                                                                                                               " | ")
                         &amp;""&amp;AO14&amp;""&amp;CHAR(10)&amp;""&amp;AH14&amp;""&amp;IF(AP14
                                                                                                             ="",
                                                                                                               "",
                                                                                                               " | ")
                         &amp;""&amp;AP14&amp;""&amp;CHAR(10)&amp;""&amp;AI14&amp;""&amp;IF(AQ14
                                                                                                           ="",
                                                                                                             "",
                                                                                                             " | ")
                         &amp;""&amp;AQ14&amp;"",
                    IF(I14
                         ="",
                           "",
                           ""&amp;AB13&amp;""&amp;IF(AJ13
                                                          ="",
                                                            "",
                                                            " | ")
                                 &amp;""&amp;AJ13&amp;""&amp;CHAR(10)&amp;""&amp;AC13&amp;""&amp;IF(AK13
                                                                                                                   ="",
                                                                                                                     "",
                                                                                                                     " | ")
                                 &amp;""&amp;AK13&amp;""&amp;CHAR(10)&amp;""&amp;AD13&amp;""&amp;IF(AL13
                                                                                                                    ="",
                                                                                                                      "",
                                                                                                                      " | ")
                                 &amp;""&amp;AL13&amp;""&amp;CHAR(10)&amp;""&amp;AE13&amp;""&amp;IF(AM13
                                                                                                                   ="",
                                                                                                                     "",
                                                                                                                     " | ")
                                 &amp;""&amp;AM13&amp;""&amp;CHAR(10)&amp;""&amp;AF13&amp;""&amp;IF(AN13
                                                                                                                     ="",
                                                                                                                       "",
                                                                                                                       " | ")
                                 &amp;""&amp;AN13&amp;""&amp;CHAR(10)&amp;""&amp;AG13&amp;""&amp;IF(AO13
                                                                                                                     ="",
                                                                                                                       "",
                                                                                                                       " | ")
                                 &amp;""&amp;AO13&amp;""&amp;CHAR(10)&amp;""&amp;AH13&amp;""&amp;IF(AP13
                                                                                                                     ="",
                                                                                                                       "",
                                                                                                                       " | ")
                                 &amp;""&amp;AP13&amp;""&amp;CHAR(10)&amp;""&amp;AI13&amp;""&amp;IF(AQ13
                                                                                                                   ="",
                                                                                                                     "",
                                                                                                                     " | ")
                                  &amp;""&amp;AQ13&amp;"")))</f>
        <v/>
      </c>
      <c r="E14" s="15" t="str">
        <f>IF('SSP APD AAA Branches'!$I$6
        ="",
          "",
          IF(I14
               &lt;&gt;"",
                    HYPERLINK("mailto:"&amp;'SSP APD AAA DB Code'!S14&amp;"", "Click here to email"),
                    IF(I14
                         ="",
                           "",
                           HYPERLINK("mailto:"&amp;'SSP APD AAA DB Code'!S13&amp;"", "Click here to email"))))</f>
        <v/>
      </c>
      <c r="F14" s="7" t="str">
        <f>""</f>
        <v/>
      </c>
      <c r="G14" s="7" t="str">
        <f>IF('SSP APD AAA Branches'!$I$6
        ="",
            "",
            IF('SSP APD AAA DB Code'!I14
               &lt;&gt;"",
                    IF('SSP APD AAA DB Code'!AB14
                          ="",
                              "",
                              HYPERLINK("https://teams.microsoft.com/l/chat/0/0?users="&amp;'SSP APD AAA DB Code'!AJ14&amp;","&amp;'SSP APD AAA DB Code'!AK14&amp;","&amp;'SSP APD AAA DB Code'!AL14&amp;","&amp;'SSP APD AAA DB Code'!AM14&amp;",
                                        "&amp;'SSP APD AAA DB Code'!AN14&amp;","&amp;'SSP APD AAA DB Code'!AO14&amp;"","Click here to send group IM")),
                    IF('SSP APD AAA DB Code'!I14
                         ="",
                             "",
                             HYPERLINK("https://teams.microsoft.com/l/chat/0/0?users="&amp;'SSP APD AAA DB Code'!AJ13&amp;","&amp;'SSP APD AAA DB Code'!AK13&amp;","&amp;'SSP APD AAA DB Code'!AL13&amp;","&amp;'SSP APD AAA DB Code'!AM13&amp;",
                                       "&amp;'SSP APD AAA DB Code'!AN13&amp;","&amp;'SSP APD AAA DB Code'!AO13&amp;"","Click here to send group IM"))))</f>
        <v/>
      </c>
      <c r="H14" s="15" t="str">
        <f ca="1">IF(LEN('SSP APD AAA Branches'!$I$6)
       &lt;=2,
           IF(ISERROR(ROW(IF(ISNA(INDEX(INDIRECT("I"&amp;H13+1):$I$127,MATCH('SSP APD AAA Branches'!$I$6,INDIRECT("T"&amp;H13+1):$T$127,0)))
                                                     =TRUE,
                                                        "",
                                                        INDEX(INDIRECT("I"&amp;H13+1):$I$127,MATCH('SSP APD AAA Branches'!$I$6,INDIRECT("T"&amp;H13+1):$T$127,0)))))
                =TRUE,
                   "",
                   ROW(IF(ISNA(INDEX(INDIRECT("I"&amp;H13+1):$I$127,MATCH('SSP APD AAA Branches'!$I$6,INDIRECT("T"&amp;H13+1):$T$127,0)))
                                    =TRUE,
                                       "",
                                      INDEX(INDIRECT("I"&amp;H13+1):$I$127,MATCH('SSP APD AAA Branches'!$I$6,INDIRECT("T"&amp;H13+1):$T$127,0))))),
           IF(ISERROR(ROW(IF(ISNA(INDEX(INDIRECT("I"&amp;H13+1):$I$127,MATCH("*"&amp;'SSP APD AAA Branches'!$I$6&amp;"*",INDIRECT("U"&amp;H13+1):$U$127,0)))
                                                     =FALSE,
                                                       INDEX(INDIRECT("I"&amp;H13+1):$I$127,MATCH("*"&amp;'SSP APD AAA Branches'!$I$6&amp;"*",INDIRECT("U"&amp;H13+1):$U$127,0)),
                                                       IF(ISNA(INDEX(INDIRECT("I"&amp;H13+1):$I$127,MATCH("*"&amp;'SSP APD AAA Branches'!$I$6&amp;"*",INDIRECT("X"&amp;H13+1):$X$127,0)))
                                                             =FALSE,
                                                                INDEX(INDIRECT("I"&amp;H13+1):$I$127,MATCH("*"&amp;'SSP APD AAA Branches'!$I$6&amp;"*",INDIRECT("X"&amp;H13+1):$X$127,0)),
                                                                IF(ISNA(INDEX(INDIRECT("I"&amp;H13+1):$I$127,MATCH("*"&amp;'SSP APD AAA Branches'!$I$6&amp;"*",INDIRECT("L"&amp;H13+1):$L$127,0)))
                                                                      =FALSE,
                                                                         INDEX(INDIRECT("I"&amp;H13+1):$I$127,MATCH("*"&amp;'SSP APD AAA Branches'!$I$6&amp;"*",INDIRECT("L"&amp;H13+1):$L$127,0)),
                                                                         IF(ISNA(INDEX(INDIRECT("I"&amp;H13+1):$I$127,MATCH("*"&amp;'SSP APD AAA Branches'!$I$6&amp;"*",INDIRECT("AA"&amp;H13+1):$AA$127,0)))
                                                                              =FALSE,
                                                                                INDEX(INDIRECT("I"&amp;H13+1):$I$127,MATCH("*"&amp;'SSP APD AAA Branches'!$I$6&amp;"*",INDIRECT("AA"&amp;H13+1):$AA$127,0)),""))))))
                =TRUE,
                  "",
                  ROW(IF(ISNA(INDEX(INDIRECT("I"&amp;H13+1):$I$127,MATCH("*"&amp;'SSP APD AAA Branches'!$I$6&amp;"*",INDIRECT("U"&amp;H13+1):$U$127,0)))
                                    =FALSE,
                                      INDEX(INDIRECT("I"&amp;H13+1):$I$127,MATCH("*"&amp;'SSP APD AAA Branches'!$I$6&amp;"*",INDIRECT("U"&amp;H13+1):$U$127,0)),
                                      IF(ISNA(INDEX(INDIRECT("I"&amp;H13+1):$I$127,MATCH("*"&amp;'SSP APD AAA Branches'!$I$6&amp;"*",INDIRECT("AA"&amp;H13+1):$AA$127,0)))
                                           =FALSE,
                                              INDEX(INDIRECT("I"&amp;H13+1):$I$127,MATCH("*"&amp;'SSP APD AAA Branches'!$I$6&amp;"*",INDIRECT("AA"&amp;H13+1):$AA$127,0)),
                                              IF(ISNA(INDEX(INDIRECT("I"&amp;H13+1):$I$127,MATCH("*"&amp;'SSP APD AAA Branches'!$I$6&amp;"*",INDIRECT("L"&amp;H13+1):$L$127,0)))
                                                   =FALSE,
                                                     INDEX(INDIRECT("I"&amp;H13+1):$I$127,MATCH("*"&amp;'SSP APD AAA Branches'!$I$6&amp;"*",INDIRECT("L"&amp;H13+1):$L$127,0)),
                                                     IF(ISNA(INDEX(INDIRECT("I"&amp;H13+1):$I$127,MATCH("*"&amp;'SSP APD AAA Branches'!$I$6&amp;"*",INDIRECT("X"&amp;H13+1):$X$127,0)))
                                                           =FALSE,
                                                             INDEX(INDIRECT("I"&amp;H13+1):$I$127,MATCH("*"&amp;'SSP APD AAA Branches'!$I$6&amp;"*",INDIRECT("X"&amp;H13+1):$X$127,0)),
                                                              "")))))))</f>
        <v/>
      </c>
      <c r="I14" s="23" t="str">
        <f ca="1">IF(LEN('SSP APD AAA Branches'!$I$6)
        &lt;=2,
             IF($I$6
                   ="",
                     IF(ISERROR(IF(ISNA(INDEX(INDIRECT("I"&amp;H13+1):$I$127,MATCH('SSP APD AAA Branches'!$I$6,INDIRECT("T"&amp;H13+1):$T$127,0)))
                                                   =FALSE,
                                                      INDEX(INDIRECT("I"&amp;H13+1):$I$127,MATCH('SSP APD AAA Branches'!$I$6,INDIRECT("T"&amp;H13+1):$T$127,0)),
                                                      ""))
                           =TRUE,
                              "",
                              IF(ISNA(INDEX(INDIRECT("I"&amp;H13+1):$I$127,MATCH('SSP APD AAA Branches'!$I$6,INDIRECT("T"&amp;H13+1):$T$127,0)))
                                    =FALSE,
                                      INDEX(INDIRECT("I"&amp;H13+1):$I$127,MATCH('SSP APD AAA Branches'!$I$6,INDIRECT("T"&amp;H13+1):$T$127,0)),
                                      "")),
                      ""),
              IF($I$6
                    ="",
                      IF(ISERROR(IF(ISNA(INDEX(INDIRECT("I"&amp;H13+1):$I$127,MATCH("*"&amp;'SSP APD AAA Branches'!$I$6&amp;"*",INDIRECT("U"&amp;H13+1):$U$127,0)))
                                                   =FALSE,
                                                     INDEX(INDIRECT("I"&amp;H13+1):$I$127,MATCH("*"&amp;'SSP APD AAA Branches'!$I$6&amp;"*",INDIRECT("U"&amp;H13+1):$U$127,0)),
                                                     IF(ISNA(INDEX(INDIRECT("I"&amp;H13+1):$I$127,MATCH("*"&amp;'SSP APD AAA Branches'!$I$6&amp;"*",INDIRECT("X"&amp;H13+1):$X$127,0)))
                                                          =FALSE,
                                                            INDEX(INDIRECT("I"&amp;H13+1):$I$127,MATCH("*"&amp;'SSP APD AAA Branches'!$I$6&amp;"*",INDIRECT("X"&amp;H13+1):$X$127,0)),
                                                            IF(ISNA(INDEX(INDIRECT("I"&amp;H13+1):$I$127,MATCH("*"&amp;'SSP APD AAA Branches'!$I$6&amp;"*",INDIRECT("AA"&amp;H13+1):$AA$127,0)))
                                                                 =FALSE,
                                                                   INDEX(INDIRECT("I"&amp;H13+1):$I$127,MATCH("*"&amp;'SSP APD AAA Branches'!$I$6&amp;"*",INDIRECT("AA"&amp;H13+1):$AA$127,0)),
                                                                   ""))))
                             =TRUE,
                               "",
                               IF(ISNA(INDEX(INDIRECT("I"&amp;H13+1):$I$127,MATCH("*"&amp;'SSP APD AAA Branches'!$I$6&amp;"*",INDIRECT("U"&amp;H13+1):$U$127,0)))
                                     =FALSE,
                                        INDEX(INDIRECT("I"&amp;H13+1):$I$127,MATCH("*"&amp;'SSP APD AAA Branches'!$I$6&amp;"*",INDIRECT("U"&amp;H13+1):$U$127,0)),
                                          IF(ISNA(INDEX(INDIRECT("I"&amp;H13+1):$I$127,MATCH("*"&amp;'SSP APD AAA Branches'!$I$6&amp;"*",INDIRECT("AA"&amp;H13+1):$AA$127,0)))
                                               =FALSE,
                                                 INDEX(INDIRECT("I"&amp;H13+1):$I$127,MATCH("*"&amp;'SSP APD AAA Branches'!$I$6&amp;"*",INDIRECT("AA"&amp;H13+1):$AA$127,0)),
                                                 IF(ISNA(INDEX(INDIRECT("I"&amp;H13+1):$I$127,MATCH("*"&amp;'SSP APD AAA Branches'!$I$6&amp;"*",INDIRECT("L"&amp;H13+1):$L$127,0)))
                                                      =FALSE,
                                                        INDEX(INDIRECT("I"&amp;H13+1):$I$127,MATCH("*"&amp;'SSP APD AAA Branches'!$I$6&amp;"*",INDIRECT("L"&amp;H13+1):$L$127,0)),
                                                        IF(ISNA(INDEX(INDIRECT("I"&amp;H13+1):$I$127,MATCH("*"&amp;'SSP APD AAA Branches'!$I$6&amp;"*",INDIRECT("X"&amp;H13+1):$X$127,0)))
                                                             =FALSE,
                                                                INDEX(INDIRECT("I"&amp;H13+1):$I$127,MATCH("*"&amp;'SSP APD AAA Branches'!$I$6&amp;"*",INDIRECT("X"&amp;H13+1):$X$127,0)),
                                                                ""))))),
                      ""))</f>
        <v/>
      </c>
      <c r="J14" s="20" t="str">
        <f ca="1">IF(ISNA(VLOOKUP($I$14,$I$22:$AA$127,2,FALSE))
       =TRUE,
         "",
         VLOOKUP($I$14,$I$22:$AA$127,2,FALSE))</f>
        <v/>
      </c>
      <c r="K14" s="20" t="str">
        <f ca="1">IF(ISNA(VLOOKUP($I$14,$I$22:$AA$127,3,FALSE))
       =TRUE,
         "",
         VLOOKUP($I$14,$I$22:$AA$127,3,FALSE))</f>
        <v/>
      </c>
      <c r="L14" s="20" t="str">
        <f ca="1">IF(ISNA(VLOOKUP($I$14,$I$22:$AA$127,4,FALSE))
       =TRUE,
         "",
         VLOOKUP($I$14,$I$22:$AA$127,4,FALSE))</f>
        <v/>
      </c>
      <c r="M14" s="17" t="str">
        <f ca="1">IF(ISNA(VLOOKUP($I$14,$I$22:$AA$127,5,FALSE))
        =TRUE,
          "",
          VLOOKUP($I$14,$I$22:$AA$127,5,FALSE))</f>
        <v/>
      </c>
      <c r="N14" s="17" t="str">
        <f ca="1">IF(ISNA(VLOOKUP($I$14,$I$22:$AA$127,6,FALSE))
        =TRUE,
          "",
          VLOOKUP($I$14,$I$22:$AA$127,6,FALSE))</f>
        <v/>
      </c>
      <c r="O14" s="20" t="str">
        <f ca="1">IF(ISNA(VLOOKUP($I$14,$I$22:$AA$127,7,FALSE))
       =TRUE,
         "",
         VLOOKUP($I$14,$I$22:$AA$127,7,FALSE))</f>
        <v/>
      </c>
      <c r="P14" s="19" t="str">
        <f ca="1">IF(ISNA(VLOOKUP($I$14,$I$22:$AA$127,8,FALSE))
       =TRUE,
         "",
         VLOOKUP($I$14,$I$22:$AA$127,8,FALSE))</f>
        <v/>
      </c>
      <c r="Q14" s="18" t="str">
        <f ca="1">IF(ISNA(VLOOKUP($I$14,$I$22:$AA$127,9,FALSE))
        =TRUE,
          "",
          VLOOKUP($I$14,$I$22:$AA$127,9,FALSE))</f>
        <v/>
      </c>
      <c r="R14" s="19" t="str">
        <f ca="1">IF(ISNA(VLOOKUP($I$14,$I$22:$AA$127,10,FALSE))
        =TRUE,
          "",
          VLOOKUP($I$14,$I$22:$AA$127,10,FALSE))</f>
        <v/>
      </c>
      <c r="S14" s="20" t="e">
        <f ca="1">IF(VLOOKUP($I$14,$I$22:$AA$127,11,FALSE)
       ="",
         "No Case Transfer Email has been Submitted.",
         IF(ISNA(VLOOKUP($I$14,$I$22:$AA$127,11,FALSE))
              =TRUE,
                "",
                VLOOKUP($I$14,$I$22:$AA$127,11,FALSE)))</f>
        <v>#N/A</v>
      </c>
      <c r="T14" s="21" t="str">
        <f ca="1">IF(ISNA(VLOOKUP($I$14,$I$22:$AA$127,12,FALSE))
       =TRUE,
         "",
         VLOOKUP($I$14,$I$22:$AA$127,12,FALSE))</f>
        <v/>
      </c>
      <c r="U14" s="20" t="str">
        <f ca="1">IF(ISNA(VLOOKUP($I$14,$I$22:$AA$127,13,FALSE))
       =TRUE,
         "",
         VLOOKUP($I$14,$I$22:$AA$127,13,FALSE))</f>
        <v/>
      </c>
      <c r="V14" s="20" t="str">
        <f ca="1">IF(ISNA(VLOOKUP($I$14,$I$22:$AA$127,14,FALSE))
       =TRUE,
         "",
         VLOOKUP($I$14,$I$22:$AA$127,14,FALSE))</f>
        <v/>
      </c>
      <c r="W14" s="20" t="str">
        <f ca="1">IF(ISNA(VLOOKUP($I$14,$I$22:$AA$127,15,FALSE))
       =TRUE,
         "",
         IF(VLOOKUP($I$14,$I$22:$AA$127,15,FALSE)
              =0,
                "",
                VLOOKUP($I$14,$I$22:$AA$127,15,FALSE)))</f>
        <v/>
      </c>
      <c r="X14" s="20" t="str">
        <f ca="1">IF(ISNA(VLOOKUP($I$14,$I$22:$AA$127,16,FALSE))
       =TRUE,
         "",
         VLOOKUP($I$14,$I$22:$AA$127,16,FALSE))</f>
        <v/>
      </c>
      <c r="Y14" s="20" t="str">
        <f ca="1">IF(ISNA(VLOOKUP($I$14,$I$22:$AA$127,17,FALSE))
        =TRUE,
          "",
          VLOOKUP($I$14,$I$22:$AA$127,17,FALSE))</f>
        <v/>
      </c>
      <c r="Z14" s="20" t="str">
        <f ca="1">IF(ISNA(VLOOKUP($I$14,$I$22:$AA$127,18,FALSE))
        =TRUE,
          "",
          VLOOKUP($I$14,$I$22:$AA$127,18,FALSE))</f>
        <v/>
      </c>
      <c r="AA14" s="20" t="str">
        <f ca="1">IF(ISNA(VLOOKUP($I$14,$I$22:$AA$127,19,FALSE))
        =TRUE,
          "",
          VLOOKUP($I$14,$I$22:$AA$127,19,FALSE))</f>
        <v/>
      </c>
      <c r="AB14" s="20" t="str">
        <f ca="1">IF(IF(ISNA(VLOOKUP($I$14,$I$22:$AQ$127,20,FALSE))
             =TRUE,
               "",
               VLOOKUP($I$14,$I$22:$AQ$127,20,FALSE))
        =0,
          "",
          IF(ISNA(VLOOKUP($I$14,$I$22:$AQ$127,20,FALSE))
               =TRUE,
                 "",
                 VLOOKUP($I$14,$I$22:$AQ$127,20,FALSE)))</f>
        <v/>
      </c>
      <c r="AC14" s="20" t="str">
        <f ca="1">IF(IF(ISNA(VLOOKUP($I$14,$I$22:$AQ$127,21,FALSE))
             =TRUE,
               "",
               VLOOKUP($I$14,$I$22:$AQ$127,21,FALSE))
        =0,
          "",
          IF(ISNA(VLOOKUP($I$14,$I$22:$AQ$127,21,FALSE))
               =TRUE,
                 "",
                 VLOOKUP($I$14,$I$22:$AQ$127,21,FALSE)))</f>
        <v/>
      </c>
      <c r="AD14" s="20" t="str">
        <f ca="1">IF(IF(ISNA(VLOOKUP($I$14,$I$22:$AQ$127,22,FALSE))
             =TRUE,
               "",
               VLOOKUP($I$14,$I$22:$AQ$127,22,FALSE))
        =0,
          "",
          IF(ISNA(VLOOKUP($I$14,$I$22:$AQ$127,22,FALSE))
               =TRUE,
                 "",
                 VLOOKUP($I$14,$I$22:$AQ$127,22,FALSE)))</f>
        <v/>
      </c>
      <c r="AE14" s="20" t="str">
        <f ca="1">IF(IF(ISNA(VLOOKUP($I$14,$I$22:$AQ$127,23,FALSE))
             =TRUE,
               "",
               VLOOKUP($I$14,$I$22:$AQ$127,23,FALSE))
        =0,
          "",
          IF(ISNA(VLOOKUP($I$14,$I$22:$AQ$127,23,FALSE))
               =TRUE,
                  "",
                  VLOOKUP($I$14,$I$22:$AQ$127,23,FALSE)))</f>
        <v/>
      </c>
      <c r="AF14" s="20" t="str">
        <f ca="1">IF(IF(ISNA(VLOOKUP($I$14,$I$22:$AQ$127,24,FALSE))
             =TRUE,
               "",
               VLOOKUP($I$14,$I$22:$AQ$127,24,FALSE))
        =0,
          "",
          IF(ISNA(VLOOKUP($I$14,$I$22:$AQ$127,24,FALSE))
               =TRUE,
                 "",
                 VLOOKUP($I$14,$I$22:$AQ$127,24,FALSE)))</f>
        <v/>
      </c>
      <c r="AG14" s="20" t="str">
        <f ca="1">IF(IF(ISNA(VLOOKUP($I$14,$I$22:$AQ$127,25,FALSE))
             =TRUE,
               "",
               VLOOKUP($I$14,$I$22:$AQ$127,25,FALSE))
        =0,
          "",
          IF(ISNA(VLOOKUP($I$14,$I$22:$AQ$127,25,FALSE))
               =TRUE,
                 "",
                 VLOOKUP($I$14,$I$22:$AQ$127,25,FALSE)))</f>
        <v/>
      </c>
      <c r="AH14" s="20" t="str">
        <f ca="1">IF(IF(ISNA(VLOOKUP($I$14,$I$22:$AQ$127,26,FALSE))
             =TRUE,
               "",
               VLOOKUP($I$14,$I$22:$AQ$127,26,FALSE))
        =0,
          "",
          IF(ISNA(VLOOKUP($I$14,$I$22:$AQ$127,26,FALSE))
               =TRUE,
                 "",
                 VLOOKUP($I$14,$I$22:$AQ$127,26,FALSE)))</f>
        <v/>
      </c>
      <c r="AI14" s="20" t="str">
        <f ca="1">IF(IF(ISNA(VLOOKUP($I$14,$I$22:$AQ$127,27,FALSE))
             =TRUE,
               "",
               VLOOKUP($I$14,$I$22:$AQ$127,27,FALSE))
        =0,
          "",
          IF(ISNA(VLOOKUP($I$14,$I$22:$AQ$127,27,FALSE))
               =TRUE,
                  "",
                  VLOOKUP($I$14,$I$22:$AQ$127,27,FALSE)))</f>
        <v/>
      </c>
      <c r="AJ14" s="20" t="str">
        <f ca="1">IF(IF(ISNA(VLOOKUP($I$14,$I$22:$AQ$127,28,FALSE))
             =TRUE,
               "",
               VLOOKUP($I$14,$I$22:$AQ$127,28,FALSE))
        =0,
          "",
          IF(ISNA(VLOOKUP($I$14,$I$22:$AQ$127,28,FALSE))
               =TRUE,
                  "",
                  VLOOKUP($I$14,$I$22:$AQ$127,28,FALSE)))</f>
        <v/>
      </c>
      <c r="AK14" s="20" t="str">
        <f ca="1">IF(IF(ISNA(VLOOKUP($I$14,$I$22:$AQ$127,29,FALSE))
             =TRUE,
               "",
               VLOOKUP($I$14,$I$22:$AQ$127,29,FALSE))
        =0,
          "",
          IF(ISNA(VLOOKUP($I$14,$I$22:$AQ$127,29,FALSE))
               =TRUE,
                 "",
                 VLOOKUP($I$14,$I$22:$AQ$127,29,FALSE)))</f>
        <v/>
      </c>
      <c r="AL14" s="20" t="str">
        <f ca="1">IF(IF(ISNA(VLOOKUP($I$14,$I$22:$AQ$127,30,FALSE))
             =TRUE,
               "",
               VLOOKUP($I$14,$I$22:$AQ$127,30,FALSE))
        =0,
          "",
          IF(ISNA(VLOOKUP($I$14,$I$22:$AQ$127,30,FALSE))
               =TRUE,
                 "",
                 VLOOKUP($I$14,$I$22:$AQ$127,30,FALSE)))</f>
        <v/>
      </c>
      <c r="AM14" s="20" t="str">
        <f ca="1">IF(IF(ISNA(VLOOKUP($I$14,$I$22:$AQ$127,31,FALSE))
             =TRUE,
               "",
               VLOOKUP($I$14,$I$22:$AQ$127,31,FALSE))
       =0,
          "",
          IF(ISNA(VLOOKUP($I$14,$I$22:$AQ$127,31,FALSE))
               =TRUE,
                 "",
                 VLOOKUP($I$14,$I$22:$AQ$127,31,FALSE)))</f>
        <v/>
      </c>
      <c r="AN14" s="20" t="str">
        <f ca="1">IF(IF(ISNA(VLOOKUP($I$14,$I$22:$AQ$127,32,FALSE))
             =TRUE,
                "",
                VLOOKUP($I$14,$I$22:$AQ$127,32,FALSE))
        =0,
          "",
          IF(ISNA(VLOOKUP($I$14,$I$22:$AQ$127,32,FALSE))
               =TRUE,
                 "",
                 VLOOKUP($I$14,$I$22:$AQ$127,32,FALSE)))</f>
        <v/>
      </c>
      <c r="AO14" s="20" t="str">
        <f ca="1">IF(IF(ISNA(VLOOKUP($I$14,$I$22:$AQ$127,33,FALSE))
             =TRUE,
               "",
               VLOOKUP($I$14,$I$22:$AQ$127,33,FALSE))
       =0,
         "",
         IF(ISNA(VLOOKUP($I$14,$I$22:$AQ$127,33,FALSE))
              =TRUE,
                "",
                VLOOKUP($I$14,$I$22:$AQ$127,33,FALSE)))</f>
        <v/>
      </c>
      <c r="AP14" s="20" t="str">
        <f ca="1">IF(IF(ISNA(VLOOKUP($I$14,$I$22:$AQ$127,34,FALSE))
             =TRUE,
               "",
               VLOOKUP($I$14,$I$22:$AQ$127,34,FALSE))
        =0,
          "",
          IF(ISNA(VLOOKUP($I$14,$I$22:$AQ$127,34,FALSE))
               =TRUE,
                 "",
                 VLOOKUP($I$14,$I$22:$AQ$127,34,FALSE)))</f>
        <v/>
      </c>
      <c r="AQ14" s="20" t="str">
        <f ca="1">IF(IF(ISNA(VLOOKUP($I$14,$I$22:$AQ$127,35,FALSE))
             =TRUE,
                "",
                VLOOKUP($I$14,$I$22:$AQ$127,35,FALSE))
        =0,
          "",
          IF(ISNA(VLOOKUP($I$14,$I$22:$AQ$127,35,FALSE))
               =TRUE,
                 "",
                 VLOOKUP($I$14,$I$22:$AQ$127,35,FALSE)))</f>
        <v/>
      </c>
    </row>
    <row r="15" spans="1:44" x14ac:dyDescent="0.25">
      <c r="A15" s="7">
        <v>9</v>
      </c>
      <c r="B15" s="15" t="str">
        <f>IF('SSP APD AAA Branches'!$I$6
        ="",
          "",
          IF(I15
               ="",
                  "",
                  ""&amp;L15&amp;""&amp;J15&amp;" "&amp;K15&amp;""&amp;CHAR(10)&amp;""&amp;V15&amp;" "&amp;W15&amp;""&amp;CHAR(10)&amp;""&amp;X15&amp;", "&amp;Y15&amp;" "&amp;Z15&amp;""&amp;CHAR(10)&amp;""&amp;AA15&amp;" County"&amp;CHAR(10)&amp;"District "&amp;T15&amp;""))</f>
        <v/>
      </c>
      <c r="C15" s="15" t="str">
        <f>IF('SSP APD AAA Branches'!$I$6
        ="",
          "",
          IF(I15
               &lt;&gt;"",
                    "Phone Number: "&amp;TEXT(P15,"(000) 000-0000")&amp;""&amp;CHAR(10)&amp;"Fax Number: "&amp;TEXT(R15,"(000) 000-0000")&amp;""&amp;CHAR(10)&amp;"Case Transfer Email: "&amp;S15&amp;""&amp;CHAR(10)&amp;"Office Hours: "
                         &amp;TEXT(M15,"H:MM AM/PM")&amp;" - "&amp;TEXT(N15,"H:MM AM/PM")&amp;" "&amp;O15&amp;""&amp;CHAR(10)&amp;""&amp;IF(U15
                                                                                                                                                                                                                     =0,
                                                                                                                                                                                                                        "",
                                                                                                                                                                                                                        "Assigned Zip Codes: "&amp;U15&amp;"")
                         &amp;"",
                    IF(I15
                         ="",
                           "",
                           "Phone Number: "&amp;TEXT(P14,"(000) 000-0000")&amp;""&amp;CHAR(10)&amp;"Fax Number: "&amp;TEXT(R14,"(000) 000-0000")&amp;""&amp;CHAR(10)&amp;"Case Transfer Email: "&amp;S14&amp;""&amp;CHAR(10)&amp;"Office Hours: "
                                &amp;TEXT(M14,"H:MM AM/PM")&amp;" - "&amp;TEXT(N14,"H:MM AM/PM")&amp;" "&amp;O14&amp;""&amp;CHAR(10)&amp;""&amp;IF(U14
                                                                                                                                                                                                                           =0,
                                                                                                                                                                                                                             "",
                                                                                                                                                                                                                             "Assigned Zip Codes: "&amp;U14&amp;"")
                                &amp;"")))</f>
        <v/>
      </c>
      <c r="D15" s="35" t="str">
        <f>IF('SSP APD AAA Branches'!$I$6
        ="",
          "",
          IF(I15
               &lt;&gt;"",
                    ""&amp;AB15&amp;""&amp;IF(AJ15
                                                   ="",
                                                     "",
                                                     " | ")
                         &amp;""&amp;AJ15&amp;""&amp;CHAR(10)&amp;""&amp;AC15&amp;""&amp;IF(AK15
                                                                                                           ="",
                                                                                                             "",
                                                                                                             " | ")
                         &amp;""&amp;AK15&amp;""&amp;CHAR(10)&amp;""&amp;AD15&amp;""&amp;IF(AL15
                                                                                                            ="",
                                                                                                              "",
                                                                                                              " | ")
                         &amp;""&amp;AL15&amp;""&amp;CHAR(10)&amp;""&amp;AE15&amp;""&amp;IF(AM15
                                                                                                            ="",
                                                                                                              "",
                                                                                                              " | ")
                         &amp;""&amp;AM15&amp;""&amp;CHAR(10)&amp;""&amp;AF15&amp;""&amp;IF(AN15
                                                                                                             ="",
                                                                                                               "",
                                                                                                               " | ")
                         &amp;""&amp;AN15&amp;""&amp;CHAR(10)&amp;""&amp;AG15&amp;""&amp;IF(AO15
                                                                                                             ="",
                                                                                                               "",
                                                                                                               " | ")
                         &amp;""&amp;AO15&amp;""&amp;CHAR(10)&amp;""&amp;AH15&amp;""&amp;IF(AP15
                                                                                                             ="",
                                                                                                               "",
                                                                                                               " | ")
                         &amp;""&amp;AP15&amp;""&amp;CHAR(10)&amp;""&amp;AI15&amp;""&amp;IF(AQ15
                                                                                                           ="",
                                                                                                             "",
                                                                                                             " | ")
                         &amp;""&amp;AQ15&amp;"",
                    IF(I15
                         ="",
                           "",
                           ""&amp;AB14&amp;""&amp;IF(AJ14
                                                          ="",
                                                            "",
                                                            " | ")
                                 &amp;""&amp;AJ14&amp;""&amp;CHAR(10)&amp;""&amp;AC14&amp;""&amp;IF(AK14
                                                                                                                   ="",
                                                                                                                     "",
                                                                                                                     " | ")
                                 &amp;""&amp;AK14&amp;""&amp;CHAR(10)&amp;""&amp;AD14&amp;""&amp;IF(AL14
                                                                                                                    ="",
                                                                                                                      "",
                                                                                                                      " | ")
                                 &amp;""&amp;AL14&amp;""&amp;CHAR(10)&amp;""&amp;AE14&amp;""&amp;IF(AM14
                                                                                                                   ="",
                                                                                                                     "",
                                                                                                                     " | ")
                                 &amp;""&amp;AM14&amp;""&amp;CHAR(10)&amp;""&amp;AF14&amp;""&amp;IF(AN14
                                                                                                                     ="",
                                                                                                                       "",
                                                                                                                       " | ")
                                 &amp;""&amp;AN14&amp;""&amp;CHAR(10)&amp;""&amp;AG14&amp;""&amp;IF(AO14
                                                                                                                     ="",
                                                                                                                       "",
                                                                                                                       " | ")
                                 &amp;""&amp;AO14&amp;""&amp;CHAR(10)&amp;""&amp;AH14&amp;""&amp;IF(AP14
                                                                                                                     ="",
                                                                                                                       "",
                                                                                                                       " | ")
                                 &amp;""&amp;AP14&amp;""&amp;CHAR(10)&amp;""&amp;AI14&amp;""&amp;IF(AQ14
                                                                                                                   ="",
                                                                                                                     "",
                                                                                                                     " | ")
                                  &amp;""&amp;AQ14&amp;"")))</f>
        <v/>
      </c>
      <c r="E15" s="15" t="str">
        <f>IF('SSP APD AAA Branches'!$I$6
        ="",
          "",
          IF(I15
               &lt;&gt;"",
                    HYPERLINK("mailto:"&amp;'SSP APD AAA DB Code'!S15&amp;"", "Click here to email"),
                    IF(I15
                         ="",
                           "",
                           HYPERLINK("mailto:"&amp;'SSP APD AAA DB Code'!S14&amp;"", "Click here to email"))))</f>
        <v/>
      </c>
      <c r="F15" s="7" t="str">
        <f>""</f>
        <v/>
      </c>
      <c r="G15" s="7" t="str">
        <f>IF('SSP APD AAA Branches'!$I$6
        ="",
            "",
            IF('SSP APD AAA DB Code'!I15
               &lt;&gt;"",
                    IF('SSP APD AAA DB Code'!AB15
                          ="",
                              "",
                              HYPERLINK("https://teams.microsoft.com/l/chat/0/0?users="&amp;'SSP APD AAA DB Code'!AJ15&amp;","&amp;'SSP APD AAA DB Code'!AK15&amp;","&amp;'SSP APD AAA DB Code'!AL15&amp;","&amp;'SSP APD AAA DB Code'!AM15&amp;",
                                        "&amp;'SSP APD AAA DB Code'!AN15&amp;","&amp;'SSP APD AAA DB Code'!AO15&amp;"","Click here to send group IM")),
                    IF('SSP APD AAA DB Code'!I15
                         ="",
                             "",
                             HYPERLINK("https://teams.microsoft.com/l/chat/0/0?users="&amp;'SSP APD AAA DB Code'!AJ14&amp;","&amp;'SSP APD AAA DB Code'!AK14&amp;","&amp;'SSP APD AAA DB Code'!AL14&amp;","&amp;'SSP APD AAA DB Code'!AM14&amp;",
                                       "&amp;'SSP APD AAA DB Code'!AN14&amp;","&amp;'SSP APD AAA DB Code'!AO14&amp;"","Click here to send group IM"))))</f>
        <v/>
      </c>
      <c r="H15" s="15" t="str">
        <f ca="1">IF(LEN('SSP APD AAA Branches'!$I$6)
       &lt;=2,
           IF(ISERROR(ROW(IF(ISNA(INDEX(INDIRECT("I"&amp;H14+1):$I$127,MATCH('SSP APD AAA Branches'!$I$6,INDIRECT("T"&amp;H14+1):$T$127,0)))
                                                     =TRUE,
                                                        "",
                                                        INDEX(INDIRECT("I"&amp;H14+1):$I$127,MATCH('SSP APD AAA Branches'!$I$6,INDIRECT("T"&amp;H14+1):$T$127,0)))))
                =TRUE,
                   "",
                   ROW(IF(ISNA(INDEX(INDIRECT("I"&amp;H14+1):$I$127,MATCH('SSP APD AAA Branches'!$I$6,INDIRECT("T"&amp;H14+1):$T$127,0)))
                                    =TRUE,
                                       "",
                                      INDEX(INDIRECT("I"&amp;H14+1):$I$127,MATCH('SSP APD AAA Branches'!$I$6,INDIRECT("T"&amp;H14+1):$T$127,0))))),
           IF(ISERROR(ROW(IF(ISNA(INDEX(INDIRECT("I"&amp;H14+1):$I$127,MATCH("*"&amp;'SSP APD AAA Branches'!$I$6&amp;"*",INDIRECT("U"&amp;H14+1):$U$127,0)))
                                                     =FALSE,
                                                       INDEX(INDIRECT("I"&amp;H14+1):$I$127,MATCH("*"&amp;'SSP APD AAA Branches'!$I$6&amp;"*",INDIRECT("U"&amp;H14+1):$U$127,0)),
                                                       IF(ISNA(INDEX(INDIRECT("I"&amp;H14+1):$I$127,MATCH("*"&amp;'SSP APD AAA Branches'!$I$6&amp;"*",INDIRECT("X"&amp;H14+1):$X$127,0)))
                                                             =FALSE,
                                                                INDEX(INDIRECT("I"&amp;H14+1):$I$127,MATCH("*"&amp;'SSP APD AAA Branches'!$I$6&amp;"*",INDIRECT("X"&amp;H14+1):$X$127,0)),
                                                                IF(ISNA(INDEX(INDIRECT("I"&amp;H14+1):$I$127,MATCH("*"&amp;'SSP APD AAA Branches'!$I$6&amp;"*",INDIRECT("L"&amp;H14+1):$L$127,0)))
                                                                      =FALSE,
                                                                         INDEX(INDIRECT("I"&amp;H14+1):$I$127,MATCH("*"&amp;'SSP APD AAA Branches'!$I$6&amp;"*",INDIRECT("L"&amp;H14+1):$L$127,0)),
                                                                         IF(ISNA(INDEX(INDIRECT("I"&amp;H14+1):$I$127,MATCH("*"&amp;'SSP APD AAA Branches'!$I$6&amp;"*",INDIRECT("AA"&amp;H14+1):$AA$127,0)))
                                                                              =FALSE,
                                                                                INDEX(INDIRECT("I"&amp;H14+1):$I$127,MATCH("*"&amp;'SSP APD AAA Branches'!$I$6&amp;"*",INDIRECT("AA"&amp;H14+1):$AA$127,0)),""))))))
                =TRUE,
                  "",
                  ROW(IF(ISNA(INDEX(INDIRECT("I"&amp;H14+1):$I$127,MATCH("*"&amp;'SSP APD AAA Branches'!$I$6&amp;"*",INDIRECT("U"&amp;H14+1):$U$127,0)))
                                    =FALSE,
                                      INDEX(INDIRECT("I"&amp;H14+1):$I$127,MATCH("*"&amp;'SSP APD AAA Branches'!$I$6&amp;"*",INDIRECT("U"&amp;H14+1):$U$127,0)),
                                      IF(ISNA(INDEX(INDIRECT("I"&amp;H14+1):$I$127,MATCH("*"&amp;'SSP APD AAA Branches'!$I$6&amp;"*",INDIRECT("AA"&amp;H14+1):$AA$127,0)))
                                           =FALSE,
                                              INDEX(INDIRECT("I"&amp;H14+1):$I$127,MATCH("*"&amp;'SSP APD AAA Branches'!$I$6&amp;"*",INDIRECT("AA"&amp;H14+1):$AA$127,0)),
                                              IF(ISNA(INDEX(INDIRECT("I"&amp;H14+1):$I$127,MATCH("*"&amp;'SSP APD AAA Branches'!$I$6&amp;"*",INDIRECT("L"&amp;H14+1):$L$127,0)))
                                                   =FALSE,
                                                     INDEX(INDIRECT("I"&amp;H14+1):$I$127,MATCH("*"&amp;'SSP APD AAA Branches'!$I$6&amp;"*",INDIRECT("L"&amp;H14+1):$L$127,0)),
                                                     IF(ISNA(INDEX(INDIRECT("I"&amp;H14+1):$I$127,MATCH("*"&amp;'SSP APD AAA Branches'!$I$6&amp;"*",INDIRECT("X"&amp;H14+1):$X$127,0)))
                                                           =FALSE,
                                                             INDEX(INDIRECT("I"&amp;H14+1):$I$127,MATCH("*"&amp;'SSP APD AAA Branches'!$I$6&amp;"*",INDIRECT("X"&amp;H14+1):$X$127,0)),
                                                              "")))))))</f>
        <v/>
      </c>
      <c r="I15" s="23" t="str">
        <f ca="1">IF(LEN('SSP APD AAA Branches'!$I$6)
        &lt;=2,
             IF($I$6
                   ="",
                     IF(ISERROR(IF(ISNA(INDEX(INDIRECT("I"&amp;H14+1):$I$127,MATCH('SSP APD AAA Branches'!$I$6,INDIRECT("T"&amp;H14+1):$T$127,0)))
                                                   =FALSE,
                                                      INDEX(INDIRECT("I"&amp;H14+1):$I$127,MATCH('SSP APD AAA Branches'!$I$6,INDIRECT("T"&amp;H14+1):$T$127,0)),
                                                      ""))
                           =TRUE,
                              "",
                              IF(ISNA(INDEX(INDIRECT("I"&amp;H14+1):$I$127,MATCH('SSP APD AAA Branches'!$I$6,INDIRECT("T"&amp;H14+1):$T$127,0)))
                                    =FALSE,
                                      INDEX(INDIRECT("I"&amp;H14+1):$I$127,MATCH('SSP APD AAA Branches'!$I$6,INDIRECT("T"&amp;H14+1):$T$127,0)),
                                      "")),
                      ""),
              IF($I$6
                    ="",
                      IF(ISERROR(IF(ISNA(INDEX(INDIRECT("I"&amp;H14+1):$I$127,MATCH("*"&amp;'SSP APD AAA Branches'!$I$6&amp;"*",INDIRECT("U"&amp;H14+1):$U$127,0)))
                                                   =FALSE,
                                                     INDEX(INDIRECT("I"&amp;H14+1):$I$127,MATCH("*"&amp;'SSP APD AAA Branches'!$I$6&amp;"*",INDIRECT("U"&amp;H14+1):$U$127,0)),
                                                     IF(ISNA(INDEX(INDIRECT("I"&amp;H14+1):$I$127,MATCH("*"&amp;'SSP APD AAA Branches'!$I$6&amp;"*",INDIRECT("X"&amp;H14+1):$X$127,0)))
                                                          =FALSE,
                                                            INDEX(INDIRECT("I"&amp;H14+1):$I$127,MATCH("*"&amp;'SSP APD AAA Branches'!$I$6&amp;"*",INDIRECT("X"&amp;H14+1):$X$127,0)),
                                                            IF(ISNA(INDEX(INDIRECT("I"&amp;H14+1):$I$127,MATCH("*"&amp;'SSP APD AAA Branches'!$I$6&amp;"*",INDIRECT("AA"&amp;H14+1):$AA$127,0)))
                                                                 =FALSE,
                                                                   INDEX(INDIRECT("I"&amp;H14+1):$I$127,MATCH("*"&amp;'SSP APD AAA Branches'!$I$6&amp;"*",INDIRECT("AA"&amp;H14+1):$AA$127,0)),
                                                                   ""))))
                             =TRUE,
                               "",
                               IF(ISNA(INDEX(INDIRECT("I"&amp;H14+1):$I$127,MATCH("*"&amp;'SSP APD AAA Branches'!$I$6&amp;"*",INDIRECT("U"&amp;H14+1):$U$127,0)))
                                     =FALSE,
                                        INDEX(INDIRECT("I"&amp;H14+1):$I$127,MATCH("*"&amp;'SSP APD AAA Branches'!$I$6&amp;"*",INDIRECT("U"&amp;H14+1):$U$127,0)),
                                          IF(ISNA(INDEX(INDIRECT("I"&amp;H14+1):$I$127,MATCH("*"&amp;'SSP APD AAA Branches'!$I$6&amp;"*",INDIRECT("AA"&amp;H14+1):$AA$127,0)))
                                               =FALSE,
                                                 INDEX(INDIRECT("I"&amp;H14+1):$I$127,MATCH("*"&amp;'SSP APD AAA Branches'!$I$6&amp;"*",INDIRECT("AA"&amp;H14+1):$AA$127,0)),
                                                 IF(ISNA(INDEX(INDIRECT("I"&amp;H14+1):$I$127,MATCH("*"&amp;'SSP APD AAA Branches'!$I$6&amp;"*",INDIRECT("L"&amp;H14+1):$L$127,0)))
                                                      =FALSE,
                                                        INDEX(INDIRECT("I"&amp;H14+1):$I$127,MATCH("*"&amp;'SSP APD AAA Branches'!$I$6&amp;"*",INDIRECT("L"&amp;H14+1):$L$127,0)),
                                                        IF(ISNA(INDEX(INDIRECT("I"&amp;H14+1):$I$127,MATCH("*"&amp;'SSP APD AAA Branches'!$I$6&amp;"*",INDIRECT("X"&amp;H14+1):$X$127,0)))
                                                             =FALSE,
                                                                INDEX(INDIRECT("I"&amp;H14+1):$I$127,MATCH("*"&amp;'SSP APD AAA Branches'!$I$6&amp;"*",INDIRECT("X"&amp;H14+1):$X$127,0)),
                                                                ""))))),
                      ""))</f>
        <v/>
      </c>
      <c r="J15" s="20" t="str">
        <f ca="1">IF(ISNA(VLOOKUP($I$15,$I$22:$AA$127,2,FALSE))
       =TRUE,
         "",
         VLOOKUP($I$15,$I$22:$AA$127,2,FALSE))</f>
        <v/>
      </c>
      <c r="K15" s="20" t="str">
        <f ca="1">IF(ISNA(VLOOKUP($I$15,$I$22:$AA$127,3,FALSE))
       =TRUE,
         "",
         VLOOKUP($I$15,$I$22:$AA$127,3,FALSE))</f>
        <v/>
      </c>
      <c r="L15" s="20" t="str">
        <f ca="1">IF(ISNA(VLOOKUP($I$15,$I$22:$AA$127,4,FALSE))
       =TRUE,
         "",
         VLOOKUP($I$15,$I$22:$AA$127,4,FALSE))</f>
        <v/>
      </c>
      <c r="M15" s="17" t="str">
        <f ca="1">IF(ISNA(VLOOKUP($I$15,$I$22:$AA$127,5,FALSE))
        =TRUE,
          "",
          VLOOKUP($I$15,$I$22:$AA$127,5,FALSE))</f>
        <v/>
      </c>
      <c r="N15" s="17" t="str">
        <f ca="1">IF(ISNA(VLOOKUP($I$15,$I$22:$AA$127,6,FALSE))
        =TRUE,
          "",
          VLOOKUP($I$15,$I$22:$AA$127,6,FALSE))</f>
        <v/>
      </c>
      <c r="O15" s="20" t="str">
        <f ca="1">IF(ISNA(VLOOKUP($I$15,$I$22:$AA$127,7,FALSE))
       =TRUE,
         "",
         VLOOKUP($I$15,$I$22:$AA$127,7,FALSE))</f>
        <v/>
      </c>
      <c r="P15" s="19" t="str">
        <f ca="1">IF(ISNA(VLOOKUP($I$15,$I$22:$AA$127,8,FALSE))
       =TRUE,
         "",
         VLOOKUP($I$15,$I$22:$AA$127,8,FALSE))</f>
        <v/>
      </c>
      <c r="Q15" s="18" t="str">
        <f ca="1">IF(ISNA(VLOOKUP($I$15,$I$22:$AA$127,9,FALSE))
        =TRUE,
          "",
          VLOOKUP($I$15,$I$22:$AA$127,9,FALSE))</f>
        <v/>
      </c>
      <c r="R15" s="19" t="str">
        <f ca="1">IF(ISNA(VLOOKUP($I$15,$I$22:$AA$127,10,FALSE))
        =TRUE,
          "",
          VLOOKUP($I$15,$I$22:$AA$127,10,FALSE))</f>
        <v/>
      </c>
      <c r="S15" s="20" t="e">
        <f ca="1">IF(VLOOKUP($I$15,$I$22:$AA$127,11,FALSE)
       ="",
         "No Case Transfer Email has been Submitted.",
         IF(ISNA(VLOOKUP($I$15,$I$22:$AA$127,11,FALSE))
              =TRUE,
                "",
                VLOOKUP($I$15,$I$22:$AA$127,11,FALSE)))</f>
        <v>#N/A</v>
      </c>
      <c r="T15" s="21" t="str">
        <f ca="1">IF(ISNA(VLOOKUP($I$15,$I$22:$AA$127,12,FALSE))
       =TRUE,
         "",
         VLOOKUP($I$15,$I$22:$AA$127,12,FALSE))</f>
        <v/>
      </c>
      <c r="U15" s="20" t="str">
        <f ca="1">IF(ISNA(VLOOKUP($I$15,$I$22:$AA$127,13,FALSE))
       =TRUE,
         "",
         VLOOKUP($I$15,$I$22:$AA$127,13,FALSE))</f>
        <v/>
      </c>
      <c r="V15" s="20" t="str">
        <f ca="1">IF(ISNA(VLOOKUP($I$15,$I$22:$AA$127,14,FALSE))
       =TRUE,
         "",
         VLOOKUP($I$15,$I$22:$AA$127,14,FALSE))</f>
        <v/>
      </c>
      <c r="W15" s="20" t="str">
        <f ca="1">IF(ISNA(VLOOKUP($I$15,$I$22:$AA$127,15,FALSE))
       =TRUE,
         "",
         IF(VLOOKUP($I$15,$I$22:$AA$127,15,FALSE)
              =0,
                "",
                VLOOKUP($I$15,$I$22:$AA$127,15,FALSE)))</f>
        <v/>
      </c>
      <c r="X15" s="20" t="str">
        <f ca="1">IF(ISNA(VLOOKUP($I$15,$I$22:$AA$127,16,FALSE))
       =TRUE,
         "",
         VLOOKUP($I$15,$I$22:$AA$127,16,FALSE))</f>
        <v/>
      </c>
      <c r="Y15" s="20" t="str">
        <f ca="1">IF(ISNA(VLOOKUP($I$15,$I$22:$AA$127,17,FALSE))
        =TRUE,
          "",
          VLOOKUP($I$15,$I$22:$AA$127,17,FALSE))</f>
        <v/>
      </c>
      <c r="Z15" s="20" t="str">
        <f ca="1">IF(ISNA(VLOOKUP($I$15,$I$22:$AA$127,18,FALSE))
        =TRUE,
          "",
          VLOOKUP($I$15,$I$22:$AA$127,18,FALSE))</f>
        <v/>
      </c>
      <c r="AA15" s="20" t="str">
        <f ca="1">IF(ISNA(VLOOKUP($I$15,$I$22:$AA$127,19,FALSE))
        =TRUE,
          "",
          VLOOKUP($I$15,$I$22:$AA$127,19,FALSE))</f>
        <v/>
      </c>
      <c r="AB15" s="20" t="str">
        <f ca="1">IF(IF(ISNA(VLOOKUP($I$15,$I$22:$AQ$127,20,FALSE))
             =TRUE,
               "",
               VLOOKUP($I$15,$I$22:$AQ$127,20,FALSE))
        =0,
          "",
          IF(ISNA(VLOOKUP($I$15,$I$22:$AQ$127,20,FALSE))
               =TRUE,
                 "",
                 VLOOKUP($I$15,$I$22:$AQ$127,20,FALSE)))</f>
        <v/>
      </c>
      <c r="AC15" s="20" t="str">
        <f ca="1">IF(IF(ISNA(VLOOKUP($I$15,$I$22:$AQ$127,21,FALSE))
             =TRUE,
               "",
               VLOOKUP($I$15,$I$22:$AQ$127,21,FALSE))
        =0,
          "",
          IF(ISNA(VLOOKUP($I$15,$I$22:$AQ$127,21,FALSE))
               =TRUE,
                 "",
                 VLOOKUP($I$15,$I$22:$AQ$127,21,FALSE)))</f>
        <v/>
      </c>
      <c r="AD15" s="20" t="str">
        <f ca="1">IF(IF(ISNA(VLOOKUP($I$15,$I$22:$AQ$127,22,FALSE))
             =TRUE,
               "",
               VLOOKUP($I$15,$I$22:$AQ$127,22,FALSE))
        =0,
          "",
          IF(ISNA(VLOOKUP($I$15,$I$22:$AQ$127,22,FALSE))
               =TRUE,
                 "",
                 VLOOKUP($I$15,$I$22:$AQ$127,22,FALSE)))</f>
        <v/>
      </c>
      <c r="AE15" s="20" t="str">
        <f ca="1">IF(IF(ISNA(VLOOKUP($I$15,$I$22:$AQ$127,23,FALSE))
             =TRUE,
               "",
               VLOOKUP($I$15,$I$22:$AQ$127,23,FALSE))
        =0,
          "",
          IF(ISNA(VLOOKUP($I$15,$I$22:$AQ$127,23,FALSE))
               =TRUE,
                  "",
                  VLOOKUP($I$15,$I$22:$AQ$127,23,FALSE)))</f>
        <v/>
      </c>
      <c r="AF15" s="20" t="str">
        <f ca="1">IF(IF(ISNA(VLOOKUP($I$15,$I$22:$AQ$127,24,FALSE))
             =TRUE,
               "",
               VLOOKUP($I$15,$I$22:$AQ$127,24,FALSE))
        =0,
          "",
          IF(ISNA(VLOOKUP($I$15,$I$22:$AQ$127,24,FALSE))
               =TRUE,
                 "",
                 VLOOKUP($I$15,$I$22:$AQ$127,24,FALSE)))</f>
        <v/>
      </c>
      <c r="AG15" s="20" t="str">
        <f ca="1">IF(IF(ISNA(VLOOKUP($I$15,$I$22:$AQ$127,25,FALSE))
             =TRUE,
               "",
               VLOOKUP($I$15,$I$22:$AQ$127,25,FALSE))
        =0,
          "",
          IF(ISNA(VLOOKUP($I$15,$I$22:$AQ$127,25,FALSE))
               =TRUE,
                 "",
                 VLOOKUP($I$15,$I$22:$AQ$127,25,FALSE)))</f>
        <v/>
      </c>
      <c r="AH15" s="20" t="str">
        <f ca="1">IF(IF(ISNA(VLOOKUP($I$15,$I$22:$AQ$127,26,FALSE))
             =TRUE,
               "",
               VLOOKUP($I$15,$I$22:$AQ$127,26,FALSE))
        =0,
          "",
          IF(ISNA(VLOOKUP($I$15,$I$22:$AQ$127,26,FALSE))
               =TRUE,
                 "",
                 VLOOKUP($I$15,$I$22:$AQ$127,26,FALSE)))</f>
        <v/>
      </c>
      <c r="AI15" s="20" t="str">
        <f ca="1">IF(IF(ISNA(VLOOKUP($I$15,$I$22:$AQ$127,27,FALSE))
             =TRUE,
               "",
               VLOOKUP($I$15,$I$22:$AQ$127,27,FALSE))
        =0,
          "",
          IF(ISNA(VLOOKUP($I$15,$I$22:$AQ$127,27,FALSE))
               =TRUE,
                  "",
                  VLOOKUP($I$15,$I$22:$AQ$127,27,FALSE)))</f>
        <v/>
      </c>
      <c r="AJ15" s="20" t="str">
        <f ca="1">IF(IF(ISNA(VLOOKUP($I$15,$I$22:$AQ$127,28,FALSE))
             =TRUE,
               "",
               VLOOKUP($I$15,$I$22:$AQ$127,28,FALSE))
        =0,
          "",
          IF(ISNA(VLOOKUP($I$15,$I$22:$AQ$127,28,FALSE))
               =TRUE,
                  "",
                  VLOOKUP($I$15,$I$22:$AQ$127,28,FALSE)))</f>
        <v/>
      </c>
      <c r="AK15" s="20" t="str">
        <f ca="1">IF(IF(ISNA(VLOOKUP($I$15,$I$22:$AQ$127,29,FALSE))
             =TRUE,
               "",
               VLOOKUP($I$15,$I$22:$AQ$127,29,FALSE))
        =0,
          "",
          IF(ISNA(VLOOKUP($I$15,$I$22:$AQ$127,29,FALSE))
               =TRUE,
                 "",
                 VLOOKUP($I$15,$I$22:$AQ$127,29,FALSE)))</f>
        <v/>
      </c>
      <c r="AL15" s="20" t="str">
        <f ca="1">IF(IF(ISNA(VLOOKUP($I$15,$I$22:$AQ$127,30,FALSE))
             =TRUE,
               "",
               VLOOKUP($I$15,$I$22:$AQ$127,30,FALSE))
        =0,
          "",
          IF(ISNA(VLOOKUP($I$15,$I$22:$AQ$127,30,FALSE))
               =TRUE,
                 "",
                 VLOOKUP($I$15,$I$22:$AQ$127,30,FALSE)))</f>
        <v/>
      </c>
      <c r="AM15" s="20" t="str">
        <f ca="1">IF(IF(ISNA(VLOOKUP($I$15,$I$22:$AQ$127,31,FALSE))
             =TRUE,
               "",
               VLOOKUP($I$15,$I$22:$AQ$127,31,FALSE))
       =0,
          "",
          IF(ISNA(VLOOKUP($I$15,$I$22:$AQ$127,31,FALSE))
               =TRUE,
                 "",
                 VLOOKUP($I$15,$I$22:$AQ$127,31,FALSE)))</f>
        <v/>
      </c>
      <c r="AN15" s="20" t="str">
        <f ca="1">IF(IF(ISNA(VLOOKUP($I$15,$I$22:$AQ$127,32,FALSE))
             =TRUE,
                "",
                VLOOKUP($I$15,$I$22:$AQ$127,32,FALSE))
        =0,
          "",
          IF(ISNA(VLOOKUP($I$15,$I$22:$AQ$127,32,FALSE))
               =TRUE,
                 "",
                 VLOOKUP($I$15,$I$22:$AQ$127,32,FALSE)))</f>
        <v/>
      </c>
      <c r="AO15" s="20" t="str">
        <f ca="1">IF(IF(ISNA(VLOOKUP($I$15,$I$22:$AQ$127,33,FALSE))
             =TRUE,
               "",
               VLOOKUP($I$15,$I$22:$AQ$127,33,FALSE))
       =0,
         "",
         IF(ISNA(VLOOKUP($I$15,$I$22:$AQ$127,33,FALSE))
              =TRUE,
                "",
                VLOOKUP($I$15,$I$22:$AQ$127,33,FALSE)))</f>
        <v/>
      </c>
      <c r="AP15" s="20" t="str">
        <f ca="1">IF(IF(ISNA(VLOOKUP($I$15,$I$22:$AQ$127,34,FALSE))
             =TRUE,
               "",
               VLOOKUP($I$15,$I$22:$AQ$127,34,FALSE))
        =0,
          "",
          IF(ISNA(VLOOKUP($I$15,$I$22:$AQ$127,34,FALSE))
               =TRUE,
                 "",
                 VLOOKUP($I$15,$I$22:$AQ$127,34,FALSE)))</f>
        <v/>
      </c>
      <c r="AQ15" s="20" t="str">
        <f ca="1">IF(IF(ISNA(VLOOKUP($I$15,$I$22:$AQ$127,35,FALSE))
             =TRUE,
                "",
                VLOOKUP($I$15,$I$22:$AQ$127,35,FALSE))
        =0,
          "",
          IF(ISNA(VLOOKUP($I$15,$I$22:$AQ$127,35,FALSE))
               =TRUE,
                 "",
                 VLOOKUP($I$15,$I$22:$AQ$127,35,FALSE)))</f>
        <v/>
      </c>
    </row>
    <row r="16" spans="1:44" x14ac:dyDescent="0.25">
      <c r="A16" s="7">
        <v>10</v>
      </c>
      <c r="B16" s="15" t="str">
        <f>IF('SSP APD AAA Branches'!$I$6
        ="",
          "",
          IF(I16
               ="",
                  "",
                  ""&amp;L16&amp;""&amp;J16&amp;" "&amp;K16&amp;""&amp;CHAR(10)&amp;""&amp;V16&amp;" "&amp;W16&amp;""&amp;CHAR(10)&amp;""&amp;X16&amp;", "&amp;Y16&amp;" "&amp;Z16&amp;""&amp;CHAR(10)&amp;""&amp;AA16&amp;" County"&amp;CHAR(10)&amp;"District "&amp;T16&amp;""))</f>
        <v/>
      </c>
      <c r="C16" s="15" t="str">
        <f>IF('SSP APD AAA Branches'!$I$6
        ="",
          "",
          IF(I16
               &lt;&gt;"",
                    "Phone Number: "&amp;TEXT(P16,"(000) 000-0000")&amp;""&amp;CHAR(10)&amp;"Fax Number: "&amp;TEXT(R16,"(000) 000-0000")&amp;""&amp;CHAR(10)&amp;"Case Transfer Email: "&amp;S16&amp;""&amp;CHAR(10)&amp;"Office Hours: "
                         &amp;TEXT(M16,"H:MM AM/PM")&amp;" - "&amp;TEXT(N16,"H:MM AM/PM")&amp;" "&amp;O16&amp;""&amp;CHAR(10)&amp;""&amp;IF(U16
                                                                                                                                                                                                                     =0,
                                                                                                                                                                                                                        "",
                                                                                                                                                                                                                        "Assigned Zip Codes: "&amp;U16&amp;"")
                         &amp;"",
                    IF(I16
                         ="",
                           "",
                           "Phone Number: "&amp;TEXT(P15,"(000) 000-0000")&amp;""&amp;CHAR(10)&amp;"Fax Number: "&amp;TEXT(R15,"(000) 000-0000")&amp;""&amp;CHAR(10)&amp;"Case Transfer Email: "&amp;S15&amp;""&amp;CHAR(10)&amp;"Office Hours: "
                                &amp;TEXT(M15,"H:MM AM/PM")&amp;" - "&amp;TEXT(N15,"H:MM AM/PM")&amp;" "&amp;O15&amp;""&amp;CHAR(10)&amp;""&amp;IF(U15
                                                                                                                                                                                                                           =0,
                                                                                                                                                                                                                             "",
                                                                                                                                                                                                                             "Assigned Zip Codes: "&amp;U15&amp;"")
                                &amp;"")))</f>
        <v/>
      </c>
      <c r="D16" s="35" t="str">
        <f>IF('SSP APD AAA Branches'!$I$6
        ="",
          "",
          IF(I16
               &lt;&gt;"",
                    ""&amp;AB16&amp;""&amp;IF(AJ16
                                                   ="",
                                                     "",
                                                     " | ")
                         &amp;""&amp;AJ16&amp;""&amp;CHAR(10)&amp;""&amp;AC16&amp;""&amp;IF(AK16
                                                                                                           ="",
                                                                                                             "",
                                                                                                             " | ")
                         &amp;""&amp;AK16&amp;""&amp;CHAR(10)&amp;""&amp;AD16&amp;""&amp;IF(AL16
                                                                                                            ="",
                                                                                                              "",
                                                                                                              " | ")
                         &amp;""&amp;AL16&amp;""&amp;CHAR(10)&amp;""&amp;AE16&amp;""&amp;IF(AM16
                                                                                                            ="",
                                                                                                              "",
                                                                                                              " | ")
                         &amp;""&amp;AM16&amp;""&amp;CHAR(10)&amp;""&amp;AF16&amp;""&amp;IF(AN16
                                                                                                             ="",
                                                                                                               "",
                                                                                                               " | ")
                         &amp;""&amp;AN16&amp;""&amp;CHAR(10)&amp;""&amp;AG16&amp;""&amp;IF(AO16
                                                                                                             ="",
                                                                                                               "",
                                                                                                               " | ")
                         &amp;""&amp;AO16&amp;""&amp;CHAR(10)&amp;""&amp;AH16&amp;""&amp;IF(AP16
                                                                                                             ="",
                                                                                                               "",
                                                                                                               " | ")
                         &amp;""&amp;AP16&amp;""&amp;CHAR(10)&amp;""&amp;AI16&amp;""&amp;IF(AQ16
                                                                                                           ="",
                                                                                                             "",
                                                                                                             " | ")
                         &amp;""&amp;AQ16&amp;"",
                    IF(I16
                         ="",
                           "",
                           ""&amp;AB15&amp;""&amp;IF(AJ15
                                                          ="",
                                                            "",
                                                            " | ")
                                 &amp;""&amp;AJ15&amp;""&amp;CHAR(10)&amp;""&amp;AC15&amp;""&amp;IF(AK15
                                                                                                                   ="",
                                                                                                                     "",
                                                                                                                     " | ")
                                 &amp;""&amp;AK15&amp;""&amp;CHAR(10)&amp;""&amp;AD15&amp;""&amp;IF(AL15
                                                                                                                    ="",
                                                                                                                      "",
                                                                                                                      " | ")
                                 &amp;""&amp;AL15&amp;""&amp;CHAR(10)&amp;""&amp;AE15&amp;""&amp;IF(AM15
                                                                                                                   ="",
                                                                                                                     "",
                                                                                                                     " | ")
                                 &amp;""&amp;AM15&amp;""&amp;CHAR(10)&amp;""&amp;AF15&amp;""&amp;IF(AN15
                                                                                                                     ="",
                                                                                                                       "",
                                                                                                                       " | ")
                                 &amp;""&amp;AN15&amp;""&amp;CHAR(10)&amp;""&amp;AG15&amp;""&amp;IF(AO15
                                                                                                                     ="",
                                                                                                                       "",
                                                                                                                       " | ")
                                 &amp;""&amp;AO15&amp;""&amp;CHAR(10)&amp;""&amp;AH15&amp;""&amp;IF(AP15
                                                                                                                     ="",
                                                                                                                       "",
                                                                                                                       " | ")
                                 &amp;""&amp;AP15&amp;""&amp;CHAR(10)&amp;""&amp;AI15&amp;""&amp;IF(AQ15
                                                                                                                   ="",
                                                                                                                     "",
                                                                                                                     " | ")
                                  &amp;""&amp;AQ15&amp;"")))</f>
        <v/>
      </c>
      <c r="E16" s="15" t="str">
        <f>IF('SSP APD AAA Branches'!$I$6
        ="",
          "",
          IF(I16
               &lt;&gt;"",
                    HYPERLINK("mailto:"&amp;'SSP APD AAA DB Code'!S16&amp;"", "Click here to email"),
                    IF(I16
                         ="",
                           "",
                           HYPERLINK("mailto:"&amp;'SSP APD AAA DB Code'!S15&amp;"", "Click here to email"))))</f>
        <v/>
      </c>
      <c r="F16" s="7" t="str">
        <f>""</f>
        <v/>
      </c>
      <c r="G16" s="7" t="str">
        <f>IF('SSP APD AAA Branches'!$I$6
        ="",
            "",
            IF('SSP APD AAA DB Code'!I16
               &lt;&gt;"",
                    IF('SSP APD AAA DB Code'!AB16
                          ="",
                              "",
                              HYPERLINK("https://teams.microsoft.com/l/chat/0/0?users="&amp;'SSP APD AAA DB Code'!AJ16&amp;","&amp;'SSP APD AAA DB Code'!AK16&amp;","&amp;'SSP APD AAA DB Code'!AL16&amp;","&amp;'SSP APD AAA DB Code'!AM16&amp;",
                                        "&amp;'SSP APD AAA DB Code'!AN16&amp;","&amp;'SSP APD AAA DB Code'!AO16&amp;"","Click here to send group IM")),
                    IF('SSP APD AAA DB Code'!I16
                         ="",
                             "",
                             HYPERLINK("https://teams.microsoft.com/l/chat/0/0?users="&amp;'SSP APD AAA DB Code'!AJ15&amp;","&amp;'SSP APD AAA DB Code'!AK15&amp;","&amp;'SSP APD AAA DB Code'!AL15&amp;","&amp;'SSP APD AAA DB Code'!AM15&amp;",
                                       "&amp;'SSP APD AAA DB Code'!AN15&amp;","&amp;'SSP APD AAA DB Code'!AO15&amp;"","Click here to send group IM"))))</f>
        <v/>
      </c>
      <c r="H16" s="15" t="str">
        <f ca="1">IF(LEN('SSP APD AAA Branches'!$I$6)
       &lt;=2,
           IF(ISERROR(ROW(IF(ISNA(INDEX(INDIRECT("I"&amp;H15+1):$I$127,MATCH('SSP APD AAA Branches'!$I$6,INDIRECT("T"&amp;H15+1):$T$127,0)))
                                                     =TRUE,
                                                        "",
                                                        INDEX(INDIRECT("I"&amp;H15+1):$I$127,MATCH('SSP APD AAA Branches'!$I$6,INDIRECT("T"&amp;H15+1):$T$127,0)))))
                =TRUE,
                   "",
                   ROW(IF(ISNA(INDEX(INDIRECT("I"&amp;H15+1):$I$127,MATCH('SSP APD AAA Branches'!$I$6,INDIRECT("T"&amp;H15+1):$T$127,0)))
                                    =TRUE,
                                       "",
                                      INDEX(INDIRECT("I"&amp;H15+1):$I$127,MATCH('SSP APD AAA Branches'!$I$6,INDIRECT("T"&amp;H15+1):$T$127,0))))),
           IF(ISERROR(ROW(IF(ISNA(INDEX(INDIRECT("I"&amp;H15+1):$I$127,MATCH("*"&amp;'SSP APD AAA Branches'!$I$6&amp;"*",INDIRECT("U"&amp;H15+1):$U$127,0)))
                                                     =FALSE,
                                                       INDEX(INDIRECT("I"&amp;H15+1):$I$127,MATCH("*"&amp;'SSP APD AAA Branches'!$I$6&amp;"*",INDIRECT("U"&amp;H15+1):$U$127,0)),
                                                       IF(ISNA(INDEX(INDIRECT("I"&amp;H15+1):$I$127,MATCH("*"&amp;'SSP APD AAA Branches'!$I$6&amp;"*",INDIRECT("X"&amp;H15+1):$X$127,0)))
                                                             =FALSE,
                                                                INDEX(INDIRECT("I"&amp;H15+1):$I$127,MATCH("*"&amp;'SSP APD AAA Branches'!$I$6&amp;"*",INDIRECT("X"&amp;H15+1):$X$127,0)),
                                                                IF(ISNA(INDEX(INDIRECT("I"&amp;H15+1):$I$127,MATCH("*"&amp;'SSP APD AAA Branches'!$I$6&amp;"*",INDIRECT("L"&amp;H15+1):$L$127,0)))
                                                                      =FALSE,
                                                                         INDEX(INDIRECT("I"&amp;H15+1):$I$127,MATCH("*"&amp;'SSP APD AAA Branches'!$I$6&amp;"*",INDIRECT("L"&amp;H15+1):$L$127,0)),
                                                                         IF(ISNA(INDEX(INDIRECT("I"&amp;H15+1):$I$127,MATCH("*"&amp;'SSP APD AAA Branches'!$I$6&amp;"*",INDIRECT("AA"&amp;H15+1):$AA$127,0)))
                                                                              =FALSE,
                                                                                INDEX(INDIRECT("I"&amp;H15+1):$I$127,MATCH("*"&amp;'SSP APD AAA Branches'!$I$6&amp;"*",INDIRECT("AA"&amp;H15+1):$AA$127,0)),""))))))
                =TRUE,
                  "",
                  ROW(IF(ISNA(INDEX(INDIRECT("I"&amp;H15+1):$I$127,MATCH("*"&amp;'SSP APD AAA Branches'!$I$6&amp;"*",INDIRECT("U"&amp;H15+1):$U$127,0)))
                                    =FALSE,
                                      INDEX(INDIRECT("I"&amp;H15+1):$I$127,MATCH("*"&amp;'SSP APD AAA Branches'!$I$6&amp;"*",INDIRECT("U"&amp;H15+1):$U$127,0)),
                                      IF(ISNA(INDEX(INDIRECT("I"&amp;H15+1):$I$127,MATCH("*"&amp;'SSP APD AAA Branches'!$I$6&amp;"*",INDIRECT("AA"&amp;H15+1):$AA$127,0)))
                                           =FALSE,
                                              INDEX(INDIRECT("I"&amp;H15+1):$I$127,MATCH("*"&amp;'SSP APD AAA Branches'!$I$6&amp;"*",INDIRECT("AA"&amp;H15+1):$AA$127,0)),
                                              IF(ISNA(INDEX(INDIRECT("I"&amp;H15+1):$I$127,MATCH("*"&amp;'SSP APD AAA Branches'!$I$6&amp;"*",INDIRECT("L"&amp;H15+1):$L$127,0)))
                                                   =FALSE,
                                                     INDEX(INDIRECT("I"&amp;H15+1):$I$127,MATCH("*"&amp;'SSP APD AAA Branches'!$I$6&amp;"*",INDIRECT("L"&amp;H15+1):$L$127,0)),
                                                     IF(ISNA(INDEX(INDIRECT("I"&amp;H15+1):$I$127,MATCH("*"&amp;'SSP APD AAA Branches'!$I$6&amp;"*",INDIRECT("X"&amp;H15+1):$X$127,0)))
                                                           =FALSE,
                                                             INDEX(INDIRECT("I"&amp;H15+1):$I$127,MATCH("*"&amp;'SSP APD AAA Branches'!$I$6&amp;"*",INDIRECT("X"&amp;H15+1):$X$127,0)),
                                                              "")))))))</f>
        <v/>
      </c>
      <c r="I16" s="23" t="str">
        <f ca="1">IF(LEN('SSP APD AAA Branches'!$I$6)
        &lt;=2,
             IF($I$6
                   ="",
                     IF(ISERROR(IF(ISNA(INDEX(INDIRECT("I"&amp;H15+1):$I$127,MATCH('SSP APD AAA Branches'!$I$6,INDIRECT("T"&amp;H15+1):$T$127,0)))
                                                   =FALSE,
                                                      INDEX(INDIRECT("I"&amp;H15+1):$I$127,MATCH('SSP APD AAA Branches'!$I$6,INDIRECT("T"&amp;H15+1):$T$127,0)),
                                                      ""))
                           =TRUE,
                              "",
                              IF(ISNA(INDEX(INDIRECT("I"&amp;H15+1):$I$127,MATCH('SSP APD AAA Branches'!$I$6,INDIRECT("T"&amp;H15+1):$T$127,0)))
                                    =FALSE,
                                      INDEX(INDIRECT("I"&amp;H15+1):$I$127,MATCH('SSP APD AAA Branches'!$I$6,INDIRECT("T"&amp;H15+1):$T$127,0)),
                                      "")),
                      ""),
              IF($I$6
                    ="",
                      IF(ISERROR(IF(ISNA(INDEX(INDIRECT("I"&amp;H15+1):$I$127,MATCH("*"&amp;'SSP APD AAA Branches'!$I$6&amp;"*",INDIRECT("U"&amp;H15+1):$U$127,0)))
                                                   =FALSE,
                                                     INDEX(INDIRECT("I"&amp;H15+1):$I$127,MATCH("*"&amp;'SSP APD AAA Branches'!$I$6&amp;"*",INDIRECT("U"&amp;H15+1):$U$127,0)),
                                                     IF(ISNA(INDEX(INDIRECT("I"&amp;H15+1):$I$127,MATCH("*"&amp;'SSP APD AAA Branches'!$I$6&amp;"*",INDIRECT("X"&amp;H15+1):$X$127,0)))
                                                          =FALSE,
                                                            INDEX(INDIRECT("I"&amp;H15+1):$I$127,MATCH("*"&amp;'SSP APD AAA Branches'!$I$6&amp;"*",INDIRECT("X"&amp;H15+1):$X$127,0)),
                                                            IF(ISNA(INDEX(INDIRECT("I"&amp;H15+1):$I$127,MATCH("*"&amp;'SSP APD AAA Branches'!$I$6&amp;"*",INDIRECT("AA"&amp;H15+1):$AA$127,0)))
                                                                 =FALSE,
                                                                   INDEX(INDIRECT("I"&amp;H15+1):$I$127,MATCH("*"&amp;'SSP APD AAA Branches'!$I$6&amp;"*",INDIRECT("AA"&amp;H15+1):$AA$127,0)),
                                                                   ""))))
                             =TRUE,
                               "",
                               IF(ISNA(INDEX(INDIRECT("I"&amp;H15+1):$I$127,MATCH("*"&amp;'SSP APD AAA Branches'!$I$6&amp;"*",INDIRECT("U"&amp;H15+1):$U$127,0)))
                                     =FALSE,
                                        INDEX(INDIRECT("I"&amp;H15+1):$I$127,MATCH("*"&amp;'SSP APD AAA Branches'!$I$6&amp;"*",INDIRECT("U"&amp;H15+1):$U$127,0)),
                                          IF(ISNA(INDEX(INDIRECT("I"&amp;H15+1):$I$127,MATCH("*"&amp;'SSP APD AAA Branches'!$I$6&amp;"*",INDIRECT("AA"&amp;H15+1):$AA$127,0)))
                                               =FALSE,
                                                 INDEX(INDIRECT("I"&amp;H15+1):$I$127,MATCH("*"&amp;'SSP APD AAA Branches'!$I$6&amp;"*",INDIRECT("AA"&amp;H15+1):$AA$127,0)),
                                                 IF(ISNA(INDEX(INDIRECT("I"&amp;H15+1):$I$127,MATCH("*"&amp;'SSP APD AAA Branches'!$I$6&amp;"*",INDIRECT("L"&amp;H15+1):$L$127,0)))
                                                      =FALSE,
                                                        INDEX(INDIRECT("I"&amp;H15+1):$I$127,MATCH("*"&amp;'SSP APD AAA Branches'!$I$6&amp;"*",INDIRECT("L"&amp;H15+1):$L$127,0)),
                                                        IF(ISNA(INDEX(INDIRECT("I"&amp;H15+1):$I$127,MATCH("*"&amp;'SSP APD AAA Branches'!$I$6&amp;"*",INDIRECT("X"&amp;H15+1):$X$127,0)))
                                                             =FALSE,
                                                                INDEX(INDIRECT("I"&amp;H15+1):$I$127,MATCH("*"&amp;'SSP APD AAA Branches'!$I$6&amp;"*",INDIRECT("X"&amp;H15+1):$X$127,0)),
                                                                ""))))),
                      ""))</f>
        <v/>
      </c>
      <c r="J16" s="20" t="str">
        <f ca="1">IF(ISNA(VLOOKUP($I$16,$I$22:$AA$127,2,FALSE))
       =TRUE,
         "",
         VLOOKUP($I$16,$I$22:$AA$127,2,FALSE))</f>
        <v/>
      </c>
      <c r="K16" s="20" t="str">
        <f ca="1">IF(ISNA(VLOOKUP($I$16,$I$22:$AA$127,3,FALSE))
       =TRUE,
         "",
         VLOOKUP($I$16,$I$22:$AA$127,3,FALSE))</f>
        <v/>
      </c>
      <c r="L16" s="20" t="str">
        <f ca="1">IF(ISNA(VLOOKUP($I$16,$I$22:$AA$127,4,FALSE))
       =TRUE,
         "",
         VLOOKUP($I$16,$I$22:$AA$127,4,FALSE))</f>
        <v/>
      </c>
      <c r="M16" s="17" t="str">
        <f ca="1">IF(ISNA(VLOOKUP($I$16,$I$22:$AA$127,5,FALSE))
        =TRUE,
          "",
          VLOOKUP($I$16,$I$22:$AA$127,5,FALSE))</f>
        <v/>
      </c>
      <c r="N16" s="17" t="str">
        <f ca="1">IF(ISNA(VLOOKUP($I$16,$I$22:$AA$127,6,FALSE))
        =TRUE,
          "",
          VLOOKUP($I$16,$I$22:$AA$127,6,FALSE))</f>
        <v/>
      </c>
      <c r="O16" s="20" t="str">
        <f ca="1">IF(ISNA(VLOOKUP($I$16,$I$22:$AA$127,7,FALSE))
       =TRUE,
         "",
         VLOOKUP($I$16,$I$22:$AA$127,7,FALSE))</f>
        <v/>
      </c>
      <c r="P16" s="19" t="str">
        <f ca="1">IF(ISNA(VLOOKUP($I$16,$I$22:$AA$127,8,FALSE))
       =TRUE,
         "",
         VLOOKUP($I$16,$I$22:$AA$127,8,FALSE))</f>
        <v/>
      </c>
      <c r="Q16" s="18" t="str">
        <f ca="1">IF(ISNA(VLOOKUP($I$16,$I$22:$AA$127,9,FALSE))
        =TRUE,
          "",
          VLOOKUP($I$16,$I$22:$AA$127,9,FALSE))</f>
        <v/>
      </c>
      <c r="R16" s="19" t="str">
        <f ca="1">IF(ISNA(VLOOKUP($I$16,$I$22:$AA$127,10,FALSE))
        =TRUE,
          "",
          VLOOKUP($I$16,$I$22:$AA$127,10,FALSE))</f>
        <v/>
      </c>
      <c r="S16" s="20" t="e">
        <f ca="1">IF(VLOOKUP($I$16,$I$22:$AA$127,11,FALSE)
       ="",
         "No Case Transfer Email has been Submitted.",
         IF(ISNA(VLOOKUP($I$16,$I$22:$AA$127,11,FALSE))
              =TRUE,
                "",
                VLOOKUP($I$16,$I$22:$AA$127,11,FALSE)))</f>
        <v>#N/A</v>
      </c>
      <c r="T16" s="21" t="str">
        <f ca="1">IF(ISNA(VLOOKUP($I$16,$I$22:$AA$127,12,FALSE))
       =TRUE,
         "",
         VLOOKUP($I$16,$I$22:$AA$127,12,FALSE))</f>
        <v/>
      </c>
      <c r="U16" s="20" t="str">
        <f ca="1">IF(ISNA(VLOOKUP($I$16,$I$22:$AA$127,13,FALSE))
       =TRUE,
         "",
         VLOOKUP($I$16,$I$22:$AA$127,13,FALSE))</f>
        <v/>
      </c>
      <c r="V16" s="20" t="str">
        <f ca="1">IF(ISNA(VLOOKUP($I$16,$I$22:$AA$127,14,FALSE))
       =TRUE,
         "",
         VLOOKUP($I$16,$I$22:$AA$127,14,FALSE))</f>
        <v/>
      </c>
      <c r="W16" s="20" t="str">
        <f ca="1">IF(ISNA(VLOOKUP($I$16,$I$22:$AA$127,15,FALSE))
       =TRUE,
         "",
         IF(VLOOKUP($I$16,$I$22:$AA$127,15,FALSE)
              =0,
                "",
                VLOOKUP($I$16,$I$22:$AA$127,15,FALSE)))</f>
        <v/>
      </c>
      <c r="X16" s="20" t="str">
        <f ca="1">IF(ISNA(VLOOKUP($I$16,$I$22:$AA$127,16,FALSE))
       =TRUE,
         "",
         VLOOKUP($I$16,$I$22:$AA$127,16,FALSE))</f>
        <v/>
      </c>
      <c r="Y16" s="20" t="str">
        <f ca="1">IF(ISNA(VLOOKUP($I$16,$I$22:$AA$127,17,FALSE))
        =TRUE,
          "",
          VLOOKUP($I$16,$I$22:$AA$127,17,FALSE))</f>
        <v/>
      </c>
      <c r="Z16" s="20" t="str">
        <f ca="1">IF(ISNA(VLOOKUP($I$16,$I$22:$AA$127,18,FALSE))
        =TRUE,
          "",
          VLOOKUP($I$16,$I$22:$AA$127,18,FALSE))</f>
        <v/>
      </c>
      <c r="AA16" s="20" t="str">
        <f ca="1">IF(ISNA(VLOOKUP($I$16,$I$22:$AA$127,19,FALSE))
        =TRUE,
          "",
          VLOOKUP($I$16,$I$22:$AA$127,19,FALSE))</f>
        <v/>
      </c>
      <c r="AB16" s="20" t="str">
        <f ca="1">IF(IF(ISNA(VLOOKUP($I$16,$I$22:$AQ$127,20,FALSE))
             =TRUE,
               "",
               VLOOKUP($I$16,$I$22:$AQ$127,20,FALSE))
        =0,
          "",
          IF(ISNA(VLOOKUP($I$16,$I$22:$AQ$127,20,FALSE))
               =TRUE,
                 "",
                 VLOOKUP($I$16,$I$22:$AQ$127,20,FALSE)))</f>
        <v/>
      </c>
      <c r="AC16" s="20" t="str">
        <f ca="1">IF(IF(ISNA(VLOOKUP($I$16,$I$22:$AQ$127,21,FALSE))
             =TRUE,
               "",
               VLOOKUP($I$16,$I$22:$AQ$127,21,FALSE))
        =0,
          "",
          IF(ISNA(VLOOKUP($I$16,$I$22:$AQ$127,21,FALSE))
               =TRUE,
                 "",
                 VLOOKUP($I$16,$I$22:$AQ$127,21,FALSE)))</f>
        <v/>
      </c>
      <c r="AD16" s="20" t="str">
        <f ca="1">IF(IF(ISNA(VLOOKUP($I$16,$I$22:$AQ$127,22,FALSE))
             =TRUE,
               "",
               VLOOKUP($I$16,$I$22:$AQ$127,22,FALSE))
        =0,
          "",
          IF(ISNA(VLOOKUP($I$16,$I$22:$AQ$127,22,FALSE))
               =TRUE,
                 "",
                 VLOOKUP($I$16,$I$22:$AQ$127,22,FALSE)))</f>
        <v/>
      </c>
      <c r="AE16" s="20" t="str">
        <f ca="1">IF(IF(ISNA(VLOOKUP($I$16,$I$22:$AQ$127,23,FALSE))
             =TRUE,
               "",
               VLOOKUP($I$16,$I$22:$AQ$127,23,FALSE))
        =0,
          "",
          IF(ISNA(VLOOKUP($I$16,$I$22:$AQ$127,23,FALSE))
               =TRUE,
                  "",
                  VLOOKUP($I$16,$I$22:$AQ$127,23,FALSE)))</f>
        <v/>
      </c>
      <c r="AF16" s="20" t="str">
        <f ca="1">IF(IF(ISNA(VLOOKUP($I$16,$I$22:$AQ$127,24,FALSE))
             =TRUE,
               "",
               VLOOKUP($I$16,$I$22:$AQ$127,24,FALSE))
        =0,
          "",
          IF(ISNA(VLOOKUP($I$16,$I$22:$AQ$127,24,FALSE))
               =TRUE,
                 "",
                 VLOOKUP($I$16,$I$22:$AQ$127,24,FALSE)))</f>
        <v/>
      </c>
      <c r="AG16" s="20" t="str">
        <f ca="1">IF(IF(ISNA(VLOOKUP($I$16,$I$22:$AQ$127,25,FALSE))
             =TRUE,
               "",
               VLOOKUP($I$16,$I$22:$AQ$127,25,FALSE))
        =0,
          "",
          IF(ISNA(VLOOKUP($I$16,$I$22:$AQ$127,25,FALSE))
               =TRUE,
                 "",
                 VLOOKUP($I$16,$I$22:$AQ$127,25,FALSE)))</f>
        <v/>
      </c>
      <c r="AH16" s="20" t="str">
        <f ca="1">IF(IF(ISNA(VLOOKUP($I$16,$I$22:$AQ$127,26,FALSE))
             =TRUE,
               "",
               VLOOKUP($I$16,$I$22:$AQ$127,26,FALSE))
        =0,
          "",
          IF(ISNA(VLOOKUP($I$16,$I$22:$AQ$127,26,FALSE))
               =TRUE,
                 "",
                 VLOOKUP($I$16,$I$22:$AQ$127,26,FALSE)))</f>
        <v/>
      </c>
      <c r="AI16" s="20" t="str">
        <f ca="1">IF(IF(ISNA(VLOOKUP($I$16,$I$22:$AQ$127,27,FALSE))
             =TRUE,
               "",
               VLOOKUP($I$16,$I$22:$AQ$127,27,FALSE))
        =0,
          "",
          IF(ISNA(VLOOKUP($I$16,$I$22:$AQ$127,27,FALSE))
               =TRUE,
                  "",
                  VLOOKUP($I$16,$I$22:$AQ$127,27,FALSE)))</f>
        <v/>
      </c>
      <c r="AJ16" s="20" t="str">
        <f ca="1">IF(IF(ISNA(VLOOKUP($I$16,$I$22:$AQ$127,28,FALSE))
             =TRUE,
               "",
               VLOOKUP($I$16,$I$22:$AQ$127,28,FALSE))
        =0,
          "",
          IF(ISNA(VLOOKUP($I$16,$I$22:$AQ$127,28,FALSE))
               =TRUE,
                  "",
                  VLOOKUP($I$16,$I$22:$AQ$127,28,FALSE)))</f>
        <v/>
      </c>
      <c r="AK16" s="20" t="str">
        <f ca="1">IF(IF(ISNA(VLOOKUP($I$16,$I$22:$AQ$127,29,FALSE))
             =TRUE,
               "",
               VLOOKUP($I$16,$I$22:$AQ$127,29,FALSE))
        =0,
          "",
          IF(ISNA(VLOOKUP($I$16,$I$22:$AQ$127,29,FALSE))
               =TRUE,
                 "",
                 VLOOKUP($I$16,$I$22:$AQ$127,29,FALSE)))</f>
        <v/>
      </c>
      <c r="AL16" s="20" t="str">
        <f ca="1">IF(IF(ISNA(VLOOKUP($I$16,$I$22:$AQ$127,30,FALSE))
             =TRUE,
               "",
               VLOOKUP($I$16,$I$22:$AQ$127,30,FALSE))
        =0,
          "",
          IF(ISNA(VLOOKUP($I$16,$I$22:$AQ$127,30,FALSE))
               =TRUE,
                 "",
                 VLOOKUP($I$16,$I$22:$AQ$127,30,FALSE)))</f>
        <v/>
      </c>
      <c r="AM16" s="20" t="str">
        <f ca="1">IF(IF(ISNA(VLOOKUP($I$16,$I$22:$AQ$127,31,FALSE))
             =TRUE,
               "",
               VLOOKUP($I$16,$I$22:$AQ$127,31,FALSE))
       =0,
          "",
          IF(ISNA(VLOOKUP($I$16,$I$22:$AQ$127,31,FALSE))
               =TRUE,
                 "",
                 VLOOKUP($I$16,$I$22:$AQ$127,31,FALSE)))</f>
        <v/>
      </c>
      <c r="AN16" s="20" t="str">
        <f ca="1">IF(IF(ISNA(VLOOKUP($I$16,$I$22:$AQ$127,32,FALSE))
             =TRUE,
                "",
                VLOOKUP($I$16,$I$22:$AQ$127,32,FALSE))
        =0,
          "",
          IF(ISNA(VLOOKUP($I$16,$I$22:$AQ$127,32,FALSE))
               =TRUE,
                 "",
                 VLOOKUP($I$16,$I$22:$AQ$127,32,FALSE)))</f>
        <v/>
      </c>
      <c r="AO16" s="20" t="str">
        <f ca="1">IF(IF(ISNA(VLOOKUP($I$16,$I$22:$AQ$127,33,FALSE))
             =TRUE,
               "",
               VLOOKUP($I$16,$I$22:$AQ$127,33,FALSE))
       =0,
         "",
         IF(ISNA(VLOOKUP($I$16,$I$22:$AQ$127,33,FALSE))
              =TRUE,
                "",
                VLOOKUP($I$16,$I$22:$AQ$127,33,FALSE)))</f>
        <v/>
      </c>
      <c r="AP16" s="20" t="str">
        <f ca="1">IF(IF(ISNA(VLOOKUP($I$16,$I$22:$AQ$127,34,FALSE))
             =TRUE,
               "",
               VLOOKUP($I$16,$I$22:$AQ$127,34,FALSE))
        =0,
          "",
          IF(ISNA(VLOOKUP($I$16,$I$22:$AQ$127,34,FALSE))
               =TRUE,
                 "",
                 VLOOKUP($I$16,$I$22:$AQ$127,34,FALSE)))</f>
        <v/>
      </c>
      <c r="AQ16" s="20" t="str">
        <f ca="1">IF(IF(ISNA(VLOOKUP($I$16,$I$22:$AQ$127,35,FALSE))
             =TRUE,
                "",
                VLOOKUP($I$16,$I$22:$AQ$127,35,FALSE))
        =0,
          "",
          IF(ISNA(VLOOKUP($I$16,$I$22:$AQ$127,35,FALSE))
               =TRUE,
                 "",
                 VLOOKUP($I$16,$I$22:$AQ$127,35,FALSE)))</f>
        <v/>
      </c>
    </row>
    <row r="17" spans="1:57" x14ac:dyDescent="0.25">
      <c r="A17" s="7">
        <v>11</v>
      </c>
      <c r="B17" s="15" t="str">
        <f>IF('SSP APD AAA Branches'!$I$6
        ="",
          "",
          IF(I17
               ="",
                  "",
                  ""&amp;L17&amp;""&amp;J17&amp;" "&amp;K17&amp;""&amp;CHAR(10)&amp;""&amp;V17&amp;" "&amp;W17&amp;""&amp;CHAR(10)&amp;""&amp;X17&amp;", "&amp;Y17&amp;" "&amp;Z17&amp;""&amp;CHAR(10)&amp;""&amp;AA17&amp;" County"&amp;CHAR(10)&amp;"District "&amp;T17&amp;""))</f>
        <v/>
      </c>
      <c r="C17" s="15" t="str">
        <f>IF('SSP APD AAA Branches'!$I$6
        ="",
          "",
          IF(I17
               &lt;&gt;"",
                    "Phone Number: "&amp;TEXT(P17,"(000) 000-0000")&amp;""&amp;CHAR(10)&amp;"Fax Number: "&amp;TEXT(R17,"(000) 000-0000")&amp;""&amp;CHAR(10)&amp;"Case Transfer Email: "&amp;S17&amp;""&amp;CHAR(10)&amp;"Office Hours: "
                         &amp;TEXT(M17,"H:MM AM/PM")&amp;" - "&amp;TEXT(N17,"H:MM AM/PM")&amp;" "&amp;O17&amp;""&amp;CHAR(10)&amp;""&amp;IF(U17
                                                                                                                                                                                                                     =0,
                                                                                                                                                                                                                        "",
                                                                                                                                                                                                                        "Assigned Zip Codes: "&amp;U17&amp;"")
                         &amp;"",
                    IF(I17
                         ="",
                           "",
                           "Phone Number: "&amp;TEXT(P16,"(000) 000-0000")&amp;""&amp;CHAR(10)&amp;"Fax Number: "&amp;TEXT(R16,"(000) 000-0000")&amp;""&amp;CHAR(10)&amp;"Case Transfer Email: "&amp;S16&amp;""&amp;CHAR(10)&amp;"Office Hours: "
                                &amp;TEXT(M16,"H:MM AM/PM")&amp;" - "&amp;TEXT(N16,"H:MM AM/PM")&amp;" "&amp;O16&amp;""&amp;CHAR(10)&amp;""&amp;IF(U16
                                                                                                                                                                                                                           =0,
                                                                                                                                                                                                                             "",
                                                                                                                                                                                                                             "Assigned Zip Codes: "&amp;U16&amp;"")
                                &amp;"")))</f>
        <v/>
      </c>
      <c r="D17" s="35" t="str">
        <f>IF('SSP APD AAA Branches'!$I$6
        ="",
          "",
          IF(I17
               &lt;&gt;"",
                    ""&amp;AB17&amp;""&amp;IF(AJ17
                                                   ="",
                                                     "",
                                                     " | ")
                         &amp;""&amp;AJ17&amp;""&amp;CHAR(10)&amp;""&amp;AC17&amp;""&amp;IF(AK17
                                                                                                           ="",
                                                                                                             "",
                                                                                                             " | ")
                         &amp;""&amp;AK17&amp;""&amp;CHAR(10)&amp;""&amp;AD17&amp;""&amp;IF(AL17
                                                                                                            ="",
                                                                                                              "",
                                                                                                              " | ")
                         &amp;""&amp;AL17&amp;""&amp;CHAR(10)&amp;""&amp;AE17&amp;""&amp;IF(AM17
                                                                                                            ="",
                                                                                                              "",
                                                                                                              " | ")
                         &amp;""&amp;AM17&amp;""&amp;CHAR(10)&amp;""&amp;AF17&amp;""&amp;IF(AN17
                                                                                                             ="",
                                                                                                               "",
                                                                                                               " | ")
                         &amp;""&amp;AN17&amp;""&amp;CHAR(10)&amp;""&amp;AG17&amp;""&amp;IF(AO17
                                                                                                             ="",
                                                                                                               "",
                                                                                                               " | ")
                         &amp;""&amp;AO17&amp;""&amp;CHAR(10)&amp;""&amp;AH17&amp;""&amp;IF(AP17
                                                                                                             ="",
                                                                                                               "",
                                                                                                               " | ")
                         &amp;""&amp;AP17&amp;""&amp;CHAR(10)&amp;""&amp;AI17&amp;""&amp;IF(AQ17
                                                                                                           ="",
                                                                                                             "",
                                                                                                             " | ")
                         &amp;""&amp;AQ17&amp;"",
                    IF(I17
                         ="",
                           "",
                           ""&amp;AB16&amp;""&amp;IF(AJ16
                                                          ="",
                                                            "",
                                                            " | ")
                                 &amp;""&amp;AJ16&amp;""&amp;CHAR(10)&amp;""&amp;AC16&amp;""&amp;IF(AK16
                                                                                                                   ="",
                                                                                                                     "",
                                                                                                                     " | ")
                                 &amp;""&amp;AK16&amp;""&amp;CHAR(10)&amp;""&amp;AD16&amp;""&amp;IF(AL16
                                                                                                                    ="",
                                                                                                                      "",
                                                                                                                      " | ")
                                 &amp;""&amp;AL16&amp;""&amp;CHAR(10)&amp;""&amp;AE16&amp;""&amp;IF(AM16
                                                                                                                   ="",
                                                                                                                     "",
                                                                                                                     " | ")
                                 &amp;""&amp;AM16&amp;""&amp;CHAR(10)&amp;""&amp;AF16&amp;""&amp;IF(AN16
                                                                                                                     ="",
                                                                                                                       "",
                                                                                                                       " | ")
                                 &amp;""&amp;AN16&amp;""&amp;CHAR(10)&amp;""&amp;AG16&amp;""&amp;IF(AO16
                                                                                                                     ="",
                                                                                                                       "",
                                                                                                                       " | ")
                                 &amp;""&amp;AO16&amp;""&amp;CHAR(10)&amp;""&amp;AH16&amp;""&amp;IF(AP16
                                                                                                                     ="",
                                                                                                                       "",
                                                                                                                       " | ")
                                 &amp;""&amp;AP16&amp;""&amp;CHAR(10)&amp;""&amp;AI16&amp;""&amp;IF(AQ16
                                                                                                                   ="",
                                                                                                                     "",
                                                                                                                     " | ")
                                  &amp;""&amp;AQ16&amp;"")))</f>
        <v/>
      </c>
      <c r="E17" s="15" t="str">
        <f>IF('SSP APD AAA Branches'!$I$6
        ="",
          "",
          IF(I17
               &lt;&gt;"",
                    HYPERLINK("mailto:"&amp;'SSP APD AAA DB Code'!S17&amp;"", "Click here to email"),
                    IF(I17
                         ="",
                           "",
                           HYPERLINK("mailto:"&amp;'SSP APD AAA DB Code'!S16&amp;"", "Click here to email"))))</f>
        <v/>
      </c>
      <c r="F17" s="7" t="str">
        <f>""</f>
        <v/>
      </c>
      <c r="G17" s="7" t="str">
        <f>IF('SSP APD AAA Branches'!$I$6
        ="",
            "",
            IF('SSP APD AAA DB Code'!I17
               &lt;&gt;"",
                    IF('SSP APD AAA DB Code'!AB17
                          ="",
                              "",
                              HYPERLINK("https://teams.microsoft.com/l/chat/0/0?users="&amp;'SSP APD AAA DB Code'!AJ17&amp;","&amp;'SSP APD AAA DB Code'!AK17&amp;","&amp;'SSP APD AAA DB Code'!AL17&amp;","&amp;'SSP APD AAA DB Code'!AM17&amp;",
                                        "&amp;'SSP APD AAA DB Code'!AN17&amp;","&amp;'SSP APD AAA DB Code'!AO17&amp;"","Click here to send group IM")),
                    IF('SSP APD AAA DB Code'!I17
                         ="",
                             "",
                             HYPERLINK("https://teams.microsoft.com/l/chat/0/0?users="&amp;'SSP APD AAA DB Code'!AJ16&amp;","&amp;'SSP APD AAA DB Code'!AK16&amp;","&amp;'SSP APD AAA DB Code'!AL16&amp;","&amp;'SSP APD AAA DB Code'!AM16&amp;",
                                       "&amp;'SSP APD AAA DB Code'!AN16&amp;","&amp;'SSP APD AAA DB Code'!AO16&amp;"","Click here to send group IM"))))</f>
        <v/>
      </c>
      <c r="H17" s="15" t="str">
        <f ca="1">IF(LEN('SSP APD AAA Branches'!$I$6)
       &lt;=2,
           IF(ISERROR(ROW(IF(ISNA(INDEX(INDIRECT("I"&amp;H16+1):$I$127,MATCH('SSP APD AAA Branches'!$I$6,INDIRECT("T"&amp;H16+1):$T$127,0)))
                                                     =TRUE,
                                                        "",
                                                        INDEX(INDIRECT("I"&amp;H16+1):$I$127,MATCH('SSP APD AAA Branches'!$I$6,INDIRECT("T"&amp;H16+1):$T$127,0)))))
                =TRUE,
                   "",
                   ROW(IF(ISNA(INDEX(INDIRECT("I"&amp;H16+1):$I$127,MATCH('SSP APD AAA Branches'!$I$6,INDIRECT("T"&amp;H16+1):$T$127,0)))
                                    =TRUE,
                                       "",
                                      INDEX(INDIRECT("I"&amp;H16+1):$I$127,MATCH('SSP APD AAA Branches'!$I$6,INDIRECT("T"&amp;H16+1):$T$127,0))))),
           IF(ISERROR(ROW(IF(ISNA(INDEX(INDIRECT("I"&amp;H16+1):$I$127,MATCH("*"&amp;'SSP APD AAA Branches'!$I$6&amp;"*",INDIRECT("U"&amp;H16+1):$U$127,0)))
                                                     =FALSE,
                                                       INDEX(INDIRECT("I"&amp;H16+1):$I$127,MATCH("*"&amp;'SSP APD AAA Branches'!$I$6&amp;"*",INDIRECT("U"&amp;H16+1):$U$127,0)),
                                                       IF(ISNA(INDEX(INDIRECT("I"&amp;H16+1):$I$127,MATCH("*"&amp;'SSP APD AAA Branches'!$I$6&amp;"*",INDIRECT("X"&amp;H16+1):$X$127,0)))
                                                             =FALSE,
                                                                INDEX(INDIRECT("I"&amp;H16+1):$I$127,MATCH("*"&amp;'SSP APD AAA Branches'!$I$6&amp;"*",INDIRECT("X"&amp;H16+1):$X$127,0)),
                                                                IF(ISNA(INDEX(INDIRECT("I"&amp;H16+1):$I$127,MATCH("*"&amp;'SSP APD AAA Branches'!$I$6&amp;"*",INDIRECT("L"&amp;H16+1):$L$127,0)))
                                                                      =FALSE,
                                                                         INDEX(INDIRECT("I"&amp;H16+1):$I$127,MATCH("*"&amp;'SSP APD AAA Branches'!$I$6&amp;"*",INDIRECT("L"&amp;H16+1):$L$127,0)),
                                                                         IF(ISNA(INDEX(INDIRECT("I"&amp;H16+1):$I$127,MATCH("*"&amp;'SSP APD AAA Branches'!$I$6&amp;"*",INDIRECT("AA"&amp;H16+1):$AA$127,0)))
                                                                              =FALSE,
                                                                                INDEX(INDIRECT("I"&amp;H16+1):$I$127,MATCH("*"&amp;'SSP APD AAA Branches'!$I$6&amp;"*",INDIRECT("AA"&amp;H16+1):$AA$127,0)),""))))))
                =TRUE,
                  "",
                  ROW(IF(ISNA(INDEX(INDIRECT("I"&amp;H16+1):$I$127,MATCH("*"&amp;'SSP APD AAA Branches'!$I$6&amp;"*",INDIRECT("U"&amp;H16+1):$U$127,0)))
                                    =FALSE,
                                      INDEX(INDIRECT("I"&amp;H16+1):$I$127,MATCH("*"&amp;'SSP APD AAA Branches'!$I$6&amp;"*",INDIRECT("U"&amp;H16+1):$U$127,0)),
                                      IF(ISNA(INDEX(INDIRECT("I"&amp;H16+1):$I$127,MATCH("*"&amp;'SSP APD AAA Branches'!$I$6&amp;"*",INDIRECT("AA"&amp;H16+1):$AA$127,0)))
                                           =FALSE,
                                              INDEX(INDIRECT("I"&amp;H16+1):$I$127,MATCH("*"&amp;'SSP APD AAA Branches'!$I$6&amp;"*",INDIRECT("AA"&amp;H16+1):$AA$127,0)),
                                              IF(ISNA(INDEX(INDIRECT("I"&amp;H16+1):$I$127,MATCH("*"&amp;'SSP APD AAA Branches'!$I$6&amp;"*",INDIRECT("L"&amp;H16+1):$L$127,0)))
                                                   =FALSE,
                                                     INDEX(INDIRECT("I"&amp;H16+1):$I$127,MATCH("*"&amp;'SSP APD AAA Branches'!$I$6&amp;"*",INDIRECT("L"&amp;H16+1):$L$127,0)),
                                                     IF(ISNA(INDEX(INDIRECT("I"&amp;H16+1):$I$127,MATCH("*"&amp;'SSP APD AAA Branches'!$I$6&amp;"*",INDIRECT("X"&amp;H16+1):$X$127,0)))
                                                           =FALSE,
                                                             INDEX(INDIRECT("I"&amp;H16+1):$I$127,MATCH("*"&amp;'SSP APD AAA Branches'!$I$6&amp;"*",INDIRECT("X"&amp;H16+1):$X$127,0)),
                                                              "")))))))</f>
        <v/>
      </c>
      <c r="I17" s="23" t="str">
        <f ca="1">IF(LEN('SSP APD AAA Branches'!$I$6)
        &lt;=2,
             IF($I$6
                   ="",
                     IF(ISERROR(IF(ISNA(INDEX(INDIRECT("I"&amp;H16+1):$I$127,MATCH('SSP APD AAA Branches'!$I$6,INDIRECT("T"&amp;H16+1):$T$127,0)))
                                                   =FALSE,
                                                      INDEX(INDIRECT("I"&amp;H16+1):$I$127,MATCH('SSP APD AAA Branches'!$I$6,INDIRECT("T"&amp;H16+1):$T$127,0)),
                                                      ""))
                           =TRUE,
                              "",
                              IF(ISNA(INDEX(INDIRECT("I"&amp;H16+1):$I$127,MATCH('SSP APD AAA Branches'!$I$6,INDIRECT("T"&amp;H16+1):$T$127,0)))
                                    =FALSE,
                                      INDEX(INDIRECT("I"&amp;H16+1):$I$127,MATCH('SSP APD AAA Branches'!$I$6,INDIRECT("T"&amp;H16+1):$T$127,0)),
                                      "")),
                      ""),
              IF($I$6
                    ="",
                      IF(ISERROR(IF(ISNA(INDEX(INDIRECT("I"&amp;H16+1):$I$127,MATCH("*"&amp;'SSP APD AAA Branches'!$I$6&amp;"*",INDIRECT("U"&amp;H16+1):$U$127,0)))
                                                   =FALSE,
                                                     INDEX(INDIRECT("I"&amp;H16+1):$I$127,MATCH("*"&amp;'SSP APD AAA Branches'!$I$6&amp;"*",INDIRECT("U"&amp;H16+1):$U$127,0)),
                                                     IF(ISNA(INDEX(INDIRECT("I"&amp;H16+1):$I$127,MATCH("*"&amp;'SSP APD AAA Branches'!$I$6&amp;"*",INDIRECT("X"&amp;H16+1):$X$127,0)))
                                                          =FALSE,
                                                            INDEX(INDIRECT("I"&amp;H16+1):$I$127,MATCH("*"&amp;'SSP APD AAA Branches'!$I$6&amp;"*",INDIRECT("X"&amp;H16+1):$X$127,0)),
                                                            IF(ISNA(INDEX(INDIRECT("I"&amp;H16+1):$I$127,MATCH("*"&amp;'SSP APD AAA Branches'!$I$6&amp;"*",INDIRECT("AA"&amp;H16+1):$AA$127,0)))
                                                                 =FALSE,
                                                                   INDEX(INDIRECT("I"&amp;H16+1):$I$127,MATCH("*"&amp;'SSP APD AAA Branches'!$I$6&amp;"*",INDIRECT("AA"&amp;H16+1):$AA$127,0)),
                                                                   ""))))
                             =TRUE,
                               "",
                               IF(ISNA(INDEX(INDIRECT("I"&amp;H16+1):$I$127,MATCH("*"&amp;'SSP APD AAA Branches'!$I$6&amp;"*",INDIRECT("U"&amp;H16+1):$U$127,0)))
                                     =FALSE,
                                        INDEX(INDIRECT("I"&amp;H16+1):$I$127,MATCH("*"&amp;'SSP APD AAA Branches'!$I$6&amp;"*",INDIRECT("U"&amp;H16+1):$U$127,0)),
                                          IF(ISNA(INDEX(INDIRECT("I"&amp;H16+1):$I$127,MATCH("*"&amp;'SSP APD AAA Branches'!$I$6&amp;"*",INDIRECT("AA"&amp;H16+1):$AA$127,0)))
                                               =FALSE,
                                                 INDEX(INDIRECT("I"&amp;H16+1):$I$127,MATCH("*"&amp;'SSP APD AAA Branches'!$I$6&amp;"*",INDIRECT("AA"&amp;H16+1):$AA$127,0)),
                                                 IF(ISNA(INDEX(INDIRECT("I"&amp;H16+1):$I$127,MATCH("*"&amp;'SSP APD AAA Branches'!$I$6&amp;"*",INDIRECT("L"&amp;H16+1):$L$127,0)))
                                                      =FALSE,
                                                        INDEX(INDIRECT("I"&amp;H16+1):$I$127,MATCH("*"&amp;'SSP APD AAA Branches'!$I$6&amp;"*",INDIRECT("L"&amp;H16+1):$L$127,0)),
                                                        IF(ISNA(INDEX(INDIRECT("I"&amp;H16+1):$I$127,MATCH("*"&amp;'SSP APD AAA Branches'!$I$6&amp;"*",INDIRECT("X"&amp;H16+1):$X$127,0)))
                                                             =FALSE,
                                                                INDEX(INDIRECT("I"&amp;H16+1):$I$127,MATCH("*"&amp;'SSP APD AAA Branches'!$I$6&amp;"*",INDIRECT("X"&amp;H16+1):$X$127,0)),
                                                                ""))))),
                      ""))</f>
        <v/>
      </c>
      <c r="J17" s="20" t="str">
        <f ca="1">IF(ISNA(VLOOKUP($I$17,$I$22:$AA$127,2,FALSE))
       =TRUE,
         "",
         VLOOKUP($I$17,$I$22:$AA$127,2,FALSE))</f>
        <v/>
      </c>
      <c r="K17" s="20" t="str">
        <f ca="1">IF(ISNA(VLOOKUP($I$17,$I$22:$AA$127,3,FALSE))
       =TRUE,
         "",
         VLOOKUP($I$17,$I$22:$AA$127,3,FALSE))</f>
        <v/>
      </c>
      <c r="L17" s="20" t="str">
        <f ca="1">IF(ISNA(VLOOKUP($I$17,$I$22:$AA$127,4,FALSE))
       =TRUE,
         "",
         VLOOKUP($I$17,$I$22:$AA$127,4,FALSE))</f>
        <v/>
      </c>
      <c r="M17" s="17" t="str">
        <f ca="1">IF(ISNA(VLOOKUP($I$17,$I$22:$AA$127,5,FALSE))
        =TRUE,
          "",
          VLOOKUP($I$17,$I$22:$AA$127,5,FALSE))</f>
        <v/>
      </c>
      <c r="N17" s="17" t="str">
        <f ca="1">IF(ISNA(VLOOKUP($I$17,$I$22:$AA$127,6,FALSE))
        =TRUE,
          "",
          VLOOKUP($I$17,$I$22:$AA$127,6,FALSE))</f>
        <v/>
      </c>
      <c r="O17" s="20" t="str">
        <f ca="1">IF(ISNA(VLOOKUP($I$17,$I$22:$AA$127,7,FALSE))
       =TRUE,
         "",
         VLOOKUP($I$17,$I$22:$AA$127,7,FALSE))</f>
        <v/>
      </c>
      <c r="P17" s="19" t="str">
        <f ca="1">IF(ISNA(VLOOKUP($I$17,$I$22:$AA$127,8,FALSE))
       =TRUE,
         "",
         VLOOKUP($I$17,$I$22:$AA$127,8,FALSE))</f>
        <v/>
      </c>
      <c r="Q17" s="18" t="str">
        <f ca="1">IF(ISNA(VLOOKUP($I$17,$I$22:$AA$127,9,FALSE))
        =TRUE,
          "",
          VLOOKUP($I$17,$I$22:$AA$127,9,FALSE))</f>
        <v/>
      </c>
      <c r="R17" s="19" t="str">
        <f ca="1">IF(ISNA(VLOOKUP($I$17,$I$22:$AA$127,10,FALSE))
        =TRUE,
          "",
          VLOOKUP($I$17,$I$22:$AA$127,10,FALSE))</f>
        <v/>
      </c>
      <c r="S17" s="20" t="e">
        <f ca="1">IF(VLOOKUP($I$17,$I$22:$AA$127,11,FALSE)
       ="",
         "No Case Transfer Email has been Submitted.",
         IF(ISNA(VLOOKUP($I$17,$I$22:$AA$127,11,FALSE))
              =TRUE,
                "",
                VLOOKUP($I$17,$I$22:$AA$127,11,FALSE)))</f>
        <v>#N/A</v>
      </c>
      <c r="T17" s="21" t="str">
        <f ca="1">IF(ISNA(VLOOKUP($I$17,$I$22:$AA$127,12,FALSE))
       =TRUE,
         "",
         VLOOKUP($I$17,$I$22:$AA$127,12,FALSE))</f>
        <v/>
      </c>
      <c r="U17" s="20" t="str">
        <f ca="1">IF(ISNA(VLOOKUP($I$17,$I$22:$AA$127,13,FALSE))
       =TRUE,
         "",
         VLOOKUP($I$17,$I$22:$AA$127,13,FALSE))</f>
        <v/>
      </c>
      <c r="V17" s="20" t="str">
        <f ca="1">IF(ISNA(VLOOKUP($I$17,$I$22:$AA$127,14,FALSE))
       =TRUE,
         "",
         VLOOKUP($I$17,$I$22:$AA$127,14,FALSE))</f>
        <v/>
      </c>
      <c r="W17" s="20" t="str">
        <f ca="1">IF(ISNA(VLOOKUP($I$17,$I$22:$AA$127,15,FALSE))
       =TRUE,
         "",
         IF(VLOOKUP($I$17,$I$22:$AA$127,15,FALSE)
              =0,
                "",
                VLOOKUP($I$17,$I$22:$AA$127,15,FALSE)))</f>
        <v/>
      </c>
      <c r="X17" s="20" t="str">
        <f ca="1">IF(ISNA(VLOOKUP($I$17,$I$22:$AA$127,16,FALSE))
       =TRUE,
         "",
         VLOOKUP($I$17,$I$22:$AA$127,16,FALSE))</f>
        <v/>
      </c>
      <c r="Y17" s="20" t="str">
        <f ca="1">IF(ISNA(VLOOKUP($I$17,$I$22:$AA$127,17,FALSE))
        =TRUE,
          "",
          VLOOKUP($I$17,$I$22:$AA$127,17,FALSE))</f>
        <v/>
      </c>
      <c r="Z17" s="20" t="str">
        <f ca="1">IF(ISNA(VLOOKUP($I$17,$I$22:$AA$127,18,FALSE))
        =TRUE,
          "",
          VLOOKUP($I$17,$I$22:$AA$127,18,FALSE))</f>
        <v/>
      </c>
      <c r="AA17" s="20" t="str">
        <f ca="1">IF(ISNA(VLOOKUP($I$17,$I$22:$AA$127,19,FALSE))
        =TRUE,
          "",
          VLOOKUP($I$17,$I$22:$AA$127,19,FALSE))</f>
        <v/>
      </c>
      <c r="AB17" s="20" t="str">
        <f ca="1">IF(IF(ISNA(VLOOKUP($I$17,$I$22:$AQ$127,20,FALSE))
             =TRUE,
               "",
               VLOOKUP($I$17,$I$22:$AQ$127,20,FALSE))
        =0,
          "",
          IF(ISNA(VLOOKUP($I$17,$I$22:$AQ$127,20,FALSE))
               =TRUE,
                 "",
                 VLOOKUP($I$17,$I$22:$AQ$127,20,FALSE)))</f>
        <v/>
      </c>
      <c r="AC17" s="20" t="str">
        <f ca="1">IF(IF(ISNA(VLOOKUP($I$17,$I$22:$AQ$127,21,FALSE))
             =TRUE,
               "",
               VLOOKUP($I$17,$I$22:$AQ$127,21,FALSE))
        =0,
          "",
          IF(ISNA(VLOOKUP($I$17,$I$22:$AQ$127,21,FALSE))
               =TRUE,
                 "",
                 VLOOKUP($I$17,$I$22:$AQ$127,21,FALSE)))</f>
        <v/>
      </c>
      <c r="AD17" s="20" t="str">
        <f ca="1">IF(IF(ISNA(VLOOKUP($I$17,$I$22:$AQ$127,22,FALSE))
             =TRUE,
               "",
               VLOOKUP($I$17,$I$22:$AQ$127,22,FALSE))
        =0,
          "",
          IF(ISNA(VLOOKUP($I$17,$I$22:$AQ$127,22,FALSE))
               =TRUE,
                 "",
                 VLOOKUP($I$17,$I$22:$AQ$127,22,FALSE)))</f>
        <v/>
      </c>
      <c r="AE17" s="20" t="str">
        <f ca="1">IF(IF(ISNA(VLOOKUP($I$17,$I$22:$AQ$127,23,FALSE))
             =TRUE,
               "",
               VLOOKUP($I$17,$I$22:$AQ$127,23,FALSE))
        =0,
          "",
          IF(ISNA(VLOOKUP($I$17,$I$22:$AQ$127,23,FALSE))
               =TRUE,
                  "",
                  VLOOKUP($I$17,$I$22:$AQ$127,23,FALSE)))</f>
        <v/>
      </c>
      <c r="AF17" s="20" t="str">
        <f ca="1">IF(IF(ISNA(VLOOKUP($I$17,$I$22:$AQ$127,24,FALSE))
             =TRUE,
               "",
               VLOOKUP($I$17,$I$22:$AQ$127,24,FALSE))
        =0,
          "",
          IF(ISNA(VLOOKUP($I$17,$I$22:$AQ$127,24,FALSE))
               =TRUE,
                 "",
                 VLOOKUP($I$17,$I$22:$AQ$127,24,FALSE)))</f>
        <v/>
      </c>
      <c r="AG17" s="20" t="str">
        <f ca="1">IF(IF(ISNA(VLOOKUP($I$17,$I$22:$AQ$127,25,FALSE))
             =TRUE,
               "",
               VLOOKUP($I$17,$I$22:$AQ$127,25,FALSE))
        =0,
          "",
          IF(ISNA(VLOOKUP($I$17,$I$22:$AQ$127,25,FALSE))
               =TRUE,
                 "",
                 VLOOKUP($I$17,$I$22:$AQ$127,25,FALSE)))</f>
        <v/>
      </c>
      <c r="AH17" s="20" t="str">
        <f ca="1">IF(IF(ISNA(VLOOKUP($I$17,$I$22:$AQ$127,26,FALSE))
             =TRUE,
               "",
               VLOOKUP($I$17,$I$22:$AQ$127,26,FALSE))
        =0,
          "",
          IF(ISNA(VLOOKUP($I$17,$I$22:$AQ$127,26,FALSE))
               =TRUE,
                 "",
                 VLOOKUP($I$17,$I$22:$AQ$127,26,FALSE)))</f>
        <v/>
      </c>
      <c r="AI17" s="20" t="str">
        <f ca="1">IF(IF(ISNA(VLOOKUP($I$17,$I$22:$AQ$127,27,FALSE))
             =TRUE,
               "",
               VLOOKUP($I$17,$I$22:$AQ$127,27,FALSE))
        =0,
          "",
          IF(ISNA(VLOOKUP($I$17,$I$22:$AQ$127,27,FALSE))
               =TRUE,
                  "",
                  VLOOKUP($I$17,$I$22:$AQ$127,27,FALSE)))</f>
        <v/>
      </c>
      <c r="AJ17" s="20" t="str">
        <f ca="1">IF(IF(ISNA(VLOOKUP($I$17,$I$22:$AQ$127,28,FALSE))
             =TRUE,
               "",
               VLOOKUP($I$17,$I$22:$AQ$127,28,FALSE))
        =0,
          "",
          IF(ISNA(VLOOKUP($I$17,$I$22:$AQ$127,28,FALSE))
               =TRUE,
                  "",
                  VLOOKUP($I$17,$I$22:$AQ$127,28,FALSE)))</f>
        <v/>
      </c>
      <c r="AK17" s="20" t="str">
        <f ca="1">IF(IF(ISNA(VLOOKUP($I$17,$I$22:$AQ$127,29,FALSE))
             =TRUE,
               "",
               VLOOKUP($I$17,$I$22:$AQ$127,29,FALSE))
        =0,
          "",
          IF(ISNA(VLOOKUP($I$17,$I$22:$AQ$127,29,FALSE))
               =TRUE,
                 "",
                 VLOOKUP($I$17,$I$22:$AQ$127,29,FALSE)))</f>
        <v/>
      </c>
      <c r="AL17" s="20" t="str">
        <f ca="1">IF(IF(ISNA(VLOOKUP($I$17,$I$22:$AQ$127,30,FALSE))
             =TRUE,
               "",
               VLOOKUP($I$17,$I$22:$AQ$127,30,FALSE))
        =0,
          "",
          IF(ISNA(VLOOKUP($I$17,$I$22:$AQ$127,30,FALSE))
               =TRUE,
                 "",
                 VLOOKUP($I$17,$I$22:$AQ$127,30,FALSE)))</f>
        <v/>
      </c>
      <c r="AM17" s="20" t="str">
        <f ca="1">IF(IF(ISNA(VLOOKUP($I$17,$I$22:$AQ$127,31,FALSE))
             =TRUE,
               "",
               VLOOKUP($I$17,$I$22:$AQ$127,31,FALSE))
       =0,
          "",
          IF(ISNA(VLOOKUP($I$17,$I$22:$AQ$127,31,FALSE))
               =TRUE,
                 "",
                 VLOOKUP($I$17,$I$22:$AQ$127,31,FALSE)))</f>
        <v/>
      </c>
      <c r="AN17" s="20" t="str">
        <f ca="1">IF(IF(ISNA(VLOOKUP($I$17,$I$22:$AQ$127,32,FALSE))
             =TRUE,
                "",
                VLOOKUP($I$17,$I$22:$AQ$127,32,FALSE))
        =0,
          "",
          IF(ISNA(VLOOKUP($I$17,$I$22:$AQ$127,32,FALSE))
               =TRUE,
                 "",
                 VLOOKUP($I$17,$I$22:$AQ$127,32,FALSE)))</f>
        <v/>
      </c>
      <c r="AO17" s="20" t="str">
        <f ca="1">IF(IF(ISNA(VLOOKUP($I$17,$I$22:$AQ$127,33,FALSE))
             =TRUE,
               "",
               VLOOKUP($I$17,$I$22:$AQ$127,33,FALSE))
       =0,
         "",
         IF(ISNA(VLOOKUP($I$17,$I$22:$AQ$127,33,FALSE))
              =TRUE,
                "",
                VLOOKUP($I$17,$I$22:$AQ$127,33,FALSE)))</f>
        <v/>
      </c>
      <c r="AP17" s="20" t="str">
        <f ca="1">IF(IF(ISNA(VLOOKUP($I$17,$I$22:$AQ$127,34,FALSE))
             =TRUE,
               "",
               VLOOKUP($I$17,$I$22:$AQ$127,34,FALSE))
        =0,
          "",
          IF(ISNA(VLOOKUP($I$17,$I$22:$AQ$127,34,FALSE))
               =TRUE,
                 "",
                 VLOOKUP($I$17,$I$22:$AQ$127,34,FALSE)))</f>
        <v/>
      </c>
      <c r="AQ17" s="20" t="str">
        <f ca="1">IF(IF(ISNA(VLOOKUP($I$17,$I$22:$AQ$127,35,FALSE))
             =TRUE,
                "",
                VLOOKUP($I$17,$I$22:$AQ$127,35,FALSE))
        =0,
          "",
          IF(ISNA(VLOOKUP($I$17,$I$22:$AQ$127,35,FALSE))
               =TRUE,
                 "",
                 VLOOKUP($I$17,$I$22:$AQ$127,35,FALSE)))</f>
        <v/>
      </c>
    </row>
    <row r="18" spans="1:57" x14ac:dyDescent="0.25">
      <c r="A18" s="7">
        <v>12</v>
      </c>
      <c r="B18" s="15" t="str">
        <f>IF('SSP APD AAA Branches'!$I$6
        ="",
          "",
          IF(I18
               ="",
                  "",
                  ""&amp;L18&amp;""&amp;J18&amp;" "&amp;K18&amp;""&amp;CHAR(10)&amp;""&amp;V18&amp;" "&amp;W18&amp;""&amp;CHAR(10)&amp;""&amp;X18&amp;", "&amp;Y18&amp;" "&amp;Z18&amp;""&amp;CHAR(10)&amp;""&amp;AA18&amp;" County"&amp;CHAR(10)&amp;"District "&amp;T18&amp;""))</f>
        <v/>
      </c>
      <c r="C18" s="15" t="str">
        <f>IF('SSP APD AAA Branches'!$I$6
        ="",
          "",
          IF(I18
               &lt;&gt;"",
                    "Phone Number: "&amp;TEXT(P18,"(000) 000-0000")&amp;""&amp;CHAR(10)&amp;"Fax Number: "&amp;TEXT(R18,"(000) 000-0000")&amp;""&amp;CHAR(10)&amp;"Case Transfer Email: "&amp;S18&amp;""&amp;CHAR(10)&amp;"Office Hours: "
                         &amp;TEXT(M18,"H:MM AM/PM")&amp;" - "&amp;TEXT(N18,"H:MM AM/PM")&amp;" "&amp;O18&amp;""&amp;CHAR(10)&amp;""&amp;IF(U18
                                                                                                                                                                                                                     =0,
                                                                                                                                                                                                                        "",
                                                                                                                                                                                                                        "Assigned Zip Codes: "&amp;U18&amp;"")
                         &amp;"",
                    IF(I18
                         ="",
                           "",
                           "Phone Number: "&amp;TEXT(P17,"(000) 000-0000")&amp;""&amp;CHAR(10)&amp;"Fax Number: "&amp;TEXT(R17,"(000) 000-0000")&amp;""&amp;CHAR(10)&amp;"Case Transfer Email: "&amp;S17&amp;""&amp;CHAR(10)&amp;"Office Hours: "
                                &amp;TEXT(M17,"H:MM AM/PM")&amp;" - "&amp;TEXT(N17,"H:MM AM/PM")&amp;" "&amp;O17&amp;""&amp;CHAR(10)&amp;""&amp;IF(U17
                                                                                                                                                                                                                           =0,
                                                                                                                                                                                                                             "",
                                                                                                                                                                                                                             "Assigned Zip Codes: "&amp;U17&amp;"")
                                &amp;"")))</f>
        <v/>
      </c>
      <c r="D18" s="35" t="str">
        <f>IF('SSP APD AAA Branches'!$I$6
        ="",
          "",
          IF(I18
               &lt;&gt;"",
                    ""&amp;AB18&amp;""&amp;IF(AJ18
                                                   ="",
                                                     "",
                                                     " | ")
                         &amp;""&amp;AJ18&amp;""&amp;CHAR(10)&amp;""&amp;AC18&amp;""&amp;IF(AK18
                                                                                                           ="",
                                                                                                             "",
                                                                                                             " | ")
                         &amp;""&amp;AK18&amp;""&amp;CHAR(10)&amp;""&amp;AD18&amp;""&amp;IF(AL18
                                                                                                            ="",
                                                                                                              "",
                                                                                                              " | ")
                         &amp;""&amp;AL18&amp;""&amp;CHAR(10)&amp;""&amp;AE18&amp;""&amp;IF(AM18
                                                                                                            ="",
                                                                                                              "",
                                                                                                              " | ")
                         &amp;""&amp;AM18&amp;""&amp;CHAR(10)&amp;""&amp;AF18&amp;""&amp;IF(AN18
                                                                                                             ="",
                                                                                                               "",
                                                                                                               " | ")
                         &amp;""&amp;AN18&amp;""&amp;CHAR(10)&amp;""&amp;AG18&amp;""&amp;IF(AO18
                                                                                                             ="",
                                                                                                               "",
                                                                                                               " | ")
                         &amp;""&amp;AO18&amp;""&amp;CHAR(10)&amp;""&amp;AH18&amp;""&amp;IF(AP18
                                                                                                             ="",
                                                                                                               "",
                                                                                                               " | ")
                         &amp;""&amp;AP18&amp;""&amp;CHAR(10)&amp;""&amp;AI18&amp;""&amp;IF(AQ18
                                                                                                           ="",
                                                                                                             "",
                                                                                                             " | ")
                         &amp;""&amp;AQ18&amp;"",
                    IF(I18
                         ="",
                           "",
                           ""&amp;AB17&amp;""&amp;IF(AJ17
                                                          ="",
                                                            "",
                                                            " | ")
                                 &amp;""&amp;AJ17&amp;""&amp;CHAR(10)&amp;""&amp;AC17&amp;""&amp;IF(AK17
                                                                                                                   ="",
                                                                                                                     "",
                                                                                                                     " | ")
                                 &amp;""&amp;AK17&amp;""&amp;CHAR(10)&amp;""&amp;AD17&amp;""&amp;IF(AL17
                                                                                                                    ="",
                                                                                                                      "",
                                                                                                                      " | ")
                                 &amp;""&amp;AL17&amp;""&amp;CHAR(10)&amp;""&amp;AE17&amp;""&amp;IF(AM17
                                                                                                                   ="",
                                                                                                                     "",
                                                                                                                     " | ")
                                 &amp;""&amp;AM17&amp;""&amp;CHAR(10)&amp;""&amp;AF17&amp;""&amp;IF(AN17
                                                                                                                     ="",
                                                                                                                       "",
                                                                                                                       " | ")
                                 &amp;""&amp;AN17&amp;""&amp;CHAR(10)&amp;""&amp;AG17&amp;""&amp;IF(AO17
                                                                                                                     ="",
                                                                                                                       "",
                                                                                                                       " | ")
                                 &amp;""&amp;AO17&amp;""&amp;CHAR(10)&amp;""&amp;AH17&amp;""&amp;IF(AP17
                                                                                                                     ="",
                                                                                                                       "",
                                                                                                                       " | ")
                                 &amp;""&amp;AP17&amp;""&amp;CHAR(10)&amp;""&amp;AI17&amp;""&amp;IF(AQ17
                                                                                                                   ="",
                                                                                                                     "",
                                                                                                                     " | ")
                                  &amp;""&amp;AQ17&amp;"")))</f>
        <v/>
      </c>
      <c r="E18" s="15" t="str">
        <f>IF('SSP APD AAA Branches'!$I$6
        ="",
          "",
          IF(I18
               &lt;&gt;"",
                    HYPERLINK("mailto:"&amp;'SSP APD AAA DB Code'!S18&amp;"", "Click here to email"),
                    IF(I18
                         ="",
                           "",
                           HYPERLINK("mailto:"&amp;'SSP APD AAA DB Code'!S17&amp;"", "Click here to email"))))</f>
        <v/>
      </c>
      <c r="F18" s="7" t="str">
        <f>""</f>
        <v/>
      </c>
      <c r="G18" s="7" t="str">
        <f>IF('SSP APD AAA Branches'!$I$6
        ="",
            "",
            IF('SSP APD AAA DB Code'!I18
               &lt;&gt;"",
                    IF('SSP APD AAA DB Code'!AB18
                          ="",
                              "",
                              HYPERLINK("https://teams.microsoft.com/l/chat/0/0?users="&amp;'SSP APD AAA DB Code'!AJ18&amp;","&amp;'SSP APD AAA DB Code'!AK18&amp;","&amp;'SSP APD AAA DB Code'!AL18&amp;","&amp;'SSP APD AAA DB Code'!AM18&amp;",
                                        "&amp;'SSP APD AAA DB Code'!AN18&amp;","&amp;'SSP APD AAA DB Code'!AO18&amp;"","Click here to send group IM")),
                    IF('SSP APD AAA DB Code'!I18
                         ="",
                             "",
                             HYPERLINK("https://teams.microsoft.com/l/chat/0/0?users="&amp;'SSP APD AAA DB Code'!AJ17&amp;","&amp;'SSP APD AAA DB Code'!AK17&amp;","&amp;'SSP APD AAA DB Code'!AL17&amp;","&amp;'SSP APD AAA DB Code'!AM17&amp;",
                                       "&amp;'SSP APD AAA DB Code'!AN17&amp;","&amp;'SSP APD AAA DB Code'!AO17&amp;"","Click here to send group IM"))))</f>
        <v/>
      </c>
      <c r="H18" s="15" t="str">
        <f ca="1">IF(LEN('SSP APD AAA Branches'!$I$6)
       &lt;=2,
           IF(ISERROR(ROW(IF(ISNA(INDEX(INDIRECT("I"&amp;H17+1):$I$127,MATCH('SSP APD AAA Branches'!$I$6,INDIRECT("T"&amp;H17+1):$T$127,0)))
                                                     =TRUE,
                                                        "",
                                                        INDEX(INDIRECT("I"&amp;H17+1):$I$127,MATCH('SSP APD AAA Branches'!$I$6,INDIRECT("T"&amp;H17+1):$T$127,0)))))
                =TRUE,
                   "",
                   ROW(IF(ISNA(INDEX(INDIRECT("I"&amp;H17+1):$I$127,MATCH('SSP APD AAA Branches'!$I$6,INDIRECT("T"&amp;H17+1):$T$127,0)))
                                    =TRUE,
                                       "",
                                      INDEX(INDIRECT("I"&amp;H17+1):$I$127,MATCH('SSP APD AAA Branches'!$I$6,INDIRECT("T"&amp;H17+1):$T$127,0))))),
           IF(ISERROR(ROW(IF(ISNA(INDEX(INDIRECT("I"&amp;H17+1):$I$127,MATCH("*"&amp;'SSP APD AAA Branches'!$I$6&amp;"*",INDIRECT("U"&amp;H17+1):$U$127,0)))
                                                     =FALSE,
                                                       INDEX(INDIRECT("I"&amp;H17+1):$I$127,MATCH("*"&amp;'SSP APD AAA Branches'!$I$6&amp;"*",INDIRECT("U"&amp;H17+1):$U$127,0)),
                                                       IF(ISNA(INDEX(INDIRECT("I"&amp;H17+1):$I$127,MATCH("*"&amp;'SSP APD AAA Branches'!$I$6&amp;"*",INDIRECT("X"&amp;H17+1):$X$127,0)))
                                                             =FALSE,
                                                                INDEX(INDIRECT("I"&amp;H17+1):$I$127,MATCH("*"&amp;'SSP APD AAA Branches'!$I$6&amp;"*",INDIRECT("X"&amp;H17+1):$X$127,0)),
                                                                IF(ISNA(INDEX(INDIRECT("I"&amp;H17+1):$I$127,MATCH("*"&amp;'SSP APD AAA Branches'!$I$6&amp;"*",INDIRECT("L"&amp;H17+1):$L$127,0)))
                                                                      =FALSE,
                                                                         INDEX(INDIRECT("I"&amp;H17+1):$I$127,MATCH("*"&amp;'SSP APD AAA Branches'!$I$6&amp;"*",INDIRECT("L"&amp;H17+1):$L$127,0)),
                                                                         IF(ISNA(INDEX(INDIRECT("I"&amp;H17+1):$I$127,MATCH("*"&amp;'SSP APD AAA Branches'!$I$6&amp;"*",INDIRECT("AA"&amp;H17+1):$AA$127,0)))
                                                                              =FALSE,
                                                                                INDEX(INDIRECT("I"&amp;H17+1):$I$127,MATCH("*"&amp;'SSP APD AAA Branches'!$I$6&amp;"*",INDIRECT("AA"&amp;H17+1):$AA$127,0)),""))))))
                =TRUE,
                  "",
                  ROW(IF(ISNA(INDEX(INDIRECT("I"&amp;H17+1):$I$127,MATCH("*"&amp;'SSP APD AAA Branches'!$I$6&amp;"*",INDIRECT("U"&amp;H17+1):$U$127,0)))
                                    =FALSE,
                                      INDEX(INDIRECT("I"&amp;H17+1):$I$127,MATCH("*"&amp;'SSP APD AAA Branches'!$I$6&amp;"*",INDIRECT("U"&amp;H17+1):$U$127,0)),
                                      IF(ISNA(INDEX(INDIRECT("I"&amp;H17+1):$I$127,MATCH("*"&amp;'SSP APD AAA Branches'!$I$6&amp;"*",INDIRECT("AA"&amp;H17+1):$AA$127,0)))
                                           =FALSE,
                                              INDEX(INDIRECT("I"&amp;H17+1):$I$127,MATCH("*"&amp;'SSP APD AAA Branches'!$I$6&amp;"*",INDIRECT("AA"&amp;H17+1):$AA$127,0)),
                                              IF(ISNA(INDEX(INDIRECT("I"&amp;H17+1):$I$127,MATCH("*"&amp;'SSP APD AAA Branches'!$I$6&amp;"*",INDIRECT("L"&amp;H17+1):$L$127,0)))
                                                   =FALSE,
                                                     INDEX(INDIRECT("I"&amp;H17+1):$I$127,MATCH("*"&amp;'SSP APD AAA Branches'!$I$6&amp;"*",INDIRECT("L"&amp;H17+1):$L$127,0)),
                                                     IF(ISNA(INDEX(INDIRECT("I"&amp;H17+1):$I$127,MATCH("*"&amp;'SSP APD AAA Branches'!$I$6&amp;"*",INDIRECT("X"&amp;H17+1):$X$127,0)))
                                                           =FALSE,
                                                             INDEX(INDIRECT("I"&amp;H17+1):$I$127,MATCH("*"&amp;'SSP APD AAA Branches'!$I$6&amp;"*",INDIRECT("X"&amp;H17+1):$X$127,0)),
                                                              "")))))))</f>
        <v/>
      </c>
      <c r="I18" s="23" t="str">
        <f ca="1">IF(LEN('SSP APD AAA Branches'!$I$6)
        &lt;=2,
             IF($I$6
                   ="",
                     IF(ISERROR(IF(ISNA(INDEX(INDIRECT("I"&amp;H17+1):$I$127,MATCH('SSP APD AAA Branches'!$I$6,INDIRECT("T"&amp;H17+1):$T$127,0)))
                                                   =FALSE,
                                                      INDEX(INDIRECT("I"&amp;H17+1):$I$127,MATCH('SSP APD AAA Branches'!$I$6,INDIRECT("T"&amp;H17+1):$T$127,0)),
                                                      ""))
                           =TRUE,
                              "",
                              IF(ISNA(INDEX(INDIRECT("I"&amp;H17+1):$I$127,MATCH('SSP APD AAA Branches'!$I$6,INDIRECT("T"&amp;H17+1):$T$127,0)))
                                    =FALSE,
                                      INDEX(INDIRECT("I"&amp;H17+1):$I$127,MATCH('SSP APD AAA Branches'!$I$6,INDIRECT("T"&amp;H17+1):$T$127,0)),
                                      "")),
                      ""),
              IF($I$6
                    ="",
                      IF(ISERROR(IF(ISNA(INDEX(INDIRECT("I"&amp;H17+1):$I$127,MATCH("*"&amp;'SSP APD AAA Branches'!$I$6&amp;"*",INDIRECT("U"&amp;H17+1):$U$127,0)))
                                                   =FALSE,
                                                     INDEX(INDIRECT("I"&amp;H17+1):$I$127,MATCH("*"&amp;'SSP APD AAA Branches'!$I$6&amp;"*",INDIRECT("U"&amp;H17+1):$U$127,0)),
                                                     IF(ISNA(INDEX(INDIRECT("I"&amp;H17+1):$I$127,MATCH("*"&amp;'SSP APD AAA Branches'!$I$6&amp;"*",INDIRECT("X"&amp;H17+1):$X$127,0)))
                                                          =FALSE,
                                                            INDEX(INDIRECT("I"&amp;H17+1):$I$127,MATCH("*"&amp;'SSP APD AAA Branches'!$I$6&amp;"*",INDIRECT("X"&amp;H17+1):$X$127,0)),
                                                            IF(ISNA(INDEX(INDIRECT("I"&amp;H17+1):$I$127,MATCH("*"&amp;'SSP APD AAA Branches'!$I$6&amp;"*",INDIRECT("AA"&amp;H17+1):$AA$127,0)))
                                                                 =FALSE,
                                                                   INDEX(INDIRECT("I"&amp;H17+1):$I$127,MATCH("*"&amp;'SSP APD AAA Branches'!$I$6&amp;"*",INDIRECT("AA"&amp;H17+1):$AA$127,0)),
                                                                   ""))))
                             =TRUE,
                               "",
                               IF(ISNA(INDEX(INDIRECT("I"&amp;H17+1):$I$127,MATCH("*"&amp;'SSP APD AAA Branches'!$I$6&amp;"*",INDIRECT("U"&amp;H17+1):$U$127,0)))
                                     =FALSE,
                                        INDEX(INDIRECT("I"&amp;H17+1):$I$127,MATCH("*"&amp;'SSP APD AAA Branches'!$I$6&amp;"*",INDIRECT("U"&amp;H17+1):$U$127,0)),
                                          IF(ISNA(INDEX(INDIRECT("I"&amp;H17+1):$I$127,MATCH("*"&amp;'SSP APD AAA Branches'!$I$6&amp;"*",INDIRECT("AA"&amp;H17+1):$AA$127,0)))
                                               =FALSE,
                                                 INDEX(INDIRECT("I"&amp;H17+1):$I$127,MATCH("*"&amp;'SSP APD AAA Branches'!$I$6&amp;"*",INDIRECT("AA"&amp;H17+1):$AA$127,0)),
                                                 IF(ISNA(INDEX(INDIRECT("I"&amp;H17+1):$I$127,MATCH("*"&amp;'SSP APD AAA Branches'!$I$6&amp;"*",INDIRECT("L"&amp;H17+1):$L$127,0)))
                                                      =FALSE,
                                                        INDEX(INDIRECT("I"&amp;H17+1):$I$127,MATCH("*"&amp;'SSP APD AAA Branches'!$I$6&amp;"*",INDIRECT("L"&amp;H17+1):$L$127,0)),
                                                        IF(ISNA(INDEX(INDIRECT("I"&amp;H17+1):$I$127,MATCH("*"&amp;'SSP APD AAA Branches'!$I$6&amp;"*",INDIRECT("X"&amp;H17+1):$X$127,0)))
                                                             =FALSE,
                                                                INDEX(INDIRECT("I"&amp;H17+1):$I$127,MATCH("*"&amp;'SSP APD AAA Branches'!$I$6&amp;"*",INDIRECT("X"&amp;H17+1):$X$127,0)),
                                                                ""))))),
                      ""))</f>
        <v/>
      </c>
      <c r="J18" s="20" t="str">
        <f ca="1">IF(ISNA(VLOOKUP($I$18,$I$22:$AA$127,2,FALSE))
       =TRUE,
         "",
         VLOOKUP($I$18,$I$22:$AA$127,2,FALSE))</f>
        <v/>
      </c>
      <c r="K18" s="20" t="str">
        <f ca="1">IF(ISNA(VLOOKUP($I$18,$I$22:$AA$127,3,FALSE))
       =TRUE,
         "",
         VLOOKUP($I$18,$I$22:$AA$127,3,FALSE))</f>
        <v/>
      </c>
      <c r="L18" s="20" t="str">
        <f ca="1">IF(ISNA(VLOOKUP($I$18,$I$22:$AA$127,4,FALSE))
       =TRUE,
         "",
         VLOOKUP($I$18,$I$22:$AA$127,4,FALSE))</f>
        <v/>
      </c>
      <c r="M18" s="17" t="str">
        <f ca="1">IF(ISNA(VLOOKUP($I$18,$I$22:$AA$127,5,FALSE))
        =TRUE,
          "",
          VLOOKUP($I$18,$I$22:$AA$127,5,FALSE))</f>
        <v/>
      </c>
      <c r="N18" s="17" t="str">
        <f ca="1">IF(ISNA(VLOOKUP($I$18,$I$22:$AA$127,6,FALSE))
        =TRUE,
          "",
          VLOOKUP($I$18,$I$22:$AA$127,6,FALSE))</f>
        <v/>
      </c>
      <c r="O18" s="20" t="str">
        <f ca="1">IF(ISNA(VLOOKUP($I$18,$I$22:$AA$127,7,FALSE))
       =TRUE,
         "",
         VLOOKUP($I$18,$I$22:$AA$127,7,FALSE))</f>
        <v/>
      </c>
      <c r="P18" s="19" t="str">
        <f ca="1">IF(ISNA(VLOOKUP($I$18,$I$22:$AA$127,8,FALSE))
       =TRUE,
         "",
         VLOOKUP($I$18,$I$22:$AA$127,8,FALSE))</f>
        <v/>
      </c>
      <c r="Q18" s="18" t="str">
        <f ca="1">IF(ISNA(VLOOKUP($I$18,$I$22:$AA$127,9,FALSE))
        =TRUE,
          "",
          VLOOKUP($I$18,$I$22:$AA$127,9,FALSE))</f>
        <v/>
      </c>
      <c r="R18" s="19" t="str">
        <f ca="1">IF(ISNA(VLOOKUP($I$18,$I$22:$AA$127,10,FALSE))
        =TRUE,
          "",
          VLOOKUP($I$18,$I$22:$AA$127,10,FALSE))</f>
        <v/>
      </c>
      <c r="S18" s="20" t="e">
        <f ca="1">IF(VLOOKUP($I$18,$I$22:$AA$127,11,FALSE)
       ="",
         "No Case Transfer Email has been Submitted.",
         IF(ISNA(VLOOKUP($I$18,$I$22:$AA$127,11,FALSE))
              =TRUE,
                "",
                VLOOKUP($I$18,$I$22:$AA$127,11,FALSE)))</f>
        <v>#N/A</v>
      </c>
      <c r="T18" s="21" t="str">
        <f ca="1">IF(ISNA(VLOOKUP($I$18,$I$22:$AA$127,12,FALSE))
       =TRUE,
         "",
         VLOOKUP($I$18,$I$22:$AA$127,12,FALSE))</f>
        <v/>
      </c>
      <c r="U18" s="20" t="str">
        <f ca="1">IF(ISNA(VLOOKUP($I$18,$I$22:$AA$127,13,FALSE))
       =TRUE,
         "",
         VLOOKUP($I$18,$I$22:$AA$127,13,FALSE))</f>
        <v/>
      </c>
      <c r="V18" s="20" t="str">
        <f ca="1">IF(ISNA(VLOOKUP($I$18,$I$22:$AA$127,14,FALSE))
       =TRUE,
         "",
         VLOOKUP($I$18,$I$22:$AA$127,14,FALSE))</f>
        <v/>
      </c>
      <c r="W18" s="20" t="str">
        <f ca="1">IF(ISNA(VLOOKUP($I$18,$I$22:$AA$127,15,FALSE))
       =TRUE,
         "",
         IF(VLOOKUP($I$18,$I$22:$AA$127,15,FALSE)
              =0,
                "",
                VLOOKUP($I$18,$I$22:$AA$127,15,FALSE)))</f>
        <v/>
      </c>
      <c r="X18" s="20" t="str">
        <f ca="1">IF(ISNA(VLOOKUP($I$18,$I$22:$AA$127,16,FALSE))
       =TRUE,
         "",
         VLOOKUP($I$18,$I$22:$AA$127,16,FALSE))</f>
        <v/>
      </c>
      <c r="Y18" s="20" t="str">
        <f ca="1">IF(ISNA(VLOOKUP($I$18,$I$22:$AA$127,17,FALSE))
        =TRUE,
          "",
          VLOOKUP($I$18,$I$22:$AA$127,17,FALSE))</f>
        <v/>
      </c>
      <c r="Z18" s="20" t="str">
        <f ca="1">IF(ISNA(VLOOKUP($I$18,$I$22:$AA$127,18,FALSE))
        =TRUE,
          "",
          VLOOKUP($I$18,$I$22:$AA$127,18,FALSE))</f>
        <v/>
      </c>
      <c r="AA18" s="20" t="str">
        <f ca="1">IF(ISNA(VLOOKUP($I$18,$I$22:$AA$127,19,FALSE))
        =TRUE,
          "",
          VLOOKUP($I$18,$I$22:$AA$127,19,FALSE))</f>
        <v/>
      </c>
      <c r="AB18" s="20" t="str">
        <f ca="1">IF(IF(ISNA(VLOOKUP($I$18,$I$22:$AQ$127,20,FALSE))
             =TRUE,
               "",
               VLOOKUP($I$18,$I$22:$AQ$127,20,FALSE))
        =0,
          "",
          IF(ISNA(VLOOKUP($I$18,$I$22:$AQ$127,20,FALSE))
               =TRUE,
                 "",
                 VLOOKUP($I$18,$I$22:$AQ$127,20,FALSE)))</f>
        <v/>
      </c>
      <c r="AC18" s="20" t="str">
        <f ca="1">IF(IF(ISNA(VLOOKUP($I$18,$I$22:$AQ$127,21,FALSE))
             =TRUE,
               "",
               VLOOKUP($I$18,$I$22:$AQ$127,21,FALSE))
        =0,
          "",
          IF(ISNA(VLOOKUP($I$18,$I$22:$AQ$127,21,FALSE))
               =TRUE,
                 "",
                 VLOOKUP($I$18,$I$22:$AQ$127,21,FALSE)))</f>
        <v/>
      </c>
      <c r="AD18" s="20" t="str">
        <f ca="1">IF(IF(ISNA(VLOOKUP($I$18,$I$22:$AQ$127,22,FALSE))
             =TRUE,
               "",
               VLOOKUP($I$18,$I$22:$AQ$127,22,FALSE))
        =0,
          "",
          IF(ISNA(VLOOKUP($I$18,$I$22:$AQ$127,22,FALSE))
               =TRUE,
                 "",
                 VLOOKUP($I$18,$I$22:$AQ$127,22,FALSE)))</f>
        <v/>
      </c>
      <c r="AE18" s="20" t="str">
        <f ca="1">IF(IF(ISNA(VLOOKUP($I$18,$I$22:$AQ$127,23,FALSE))
             =TRUE,
               "",
               VLOOKUP($I$18,$I$22:$AQ$127,23,FALSE))
        =0,
          "",
          IF(ISNA(VLOOKUP($I$18,$I$22:$AQ$127,23,FALSE))
               =TRUE,
                  "",
                  VLOOKUP($I$18,$I$22:$AQ$127,23,FALSE)))</f>
        <v/>
      </c>
      <c r="AF18" s="20" t="str">
        <f ca="1">IF(IF(ISNA(VLOOKUP($I$18,$I$22:$AQ$127,24,FALSE))
             =TRUE,
               "",
               VLOOKUP($I$18,$I$22:$AQ$127,24,FALSE))
        =0,
          "",
          IF(ISNA(VLOOKUP($I$18,$I$22:$AQ$127,24,FALSE))
               =TRUE,
                 "",
                 VLOOKUP($I$18,$I$22:$AQ$127,24,FALSE)))</f>
        <v/>
      </c>
      <c r="AG18" s="20" t="str">
        <f ca="1">IF(IF(ISNA(VLOOKUP($I$18,$I$22:$AQ$127,25,FALSE))
             =TRUE,
               "",
               VLOOKUP($I$18,$I$22:$AQ$127,25,FALSE))
        =0,
          "",
          IF(ISNA(VLOOKUP($I$18,$I$22:$AQ$127,25,FALSE))
               =TRUE,
                 "",
                 VLOOKUP($I$18,$I$22:$AQ$127,25,FALSE)))</f>
        <v/>
      </c>
      <c r="AH18" s="20" t="str">
        <f ca="1">IF(IF(ISNA(VLOOKUP($I$18,$I$22:$AQ$127,26,FALSE))
             =TRUE,
               "",
               VLOOKUP($I$18,$I$22:$AQ$127,26,FALSE))
        =0,
          "",
          IF(ISNA(VLOOKUP($I$18,$I$22:$AQ$127,26,FALSE))
               =TRUE,
                 "",
                 VLOOKUP($I$18,$I$22:$AQ$127,26,FALSE)))</f>
        <v/>
      </c>
      <c r="AI18" s="20" t="str">
        <f ca="1">IF(IF(ISNA(VLOOKUP($I$18,$I$22:$AQ$127,27,FALSE))
             =TRUE,
               "",
               VLOOKUP($I$18,$I$22:$AQ$127,27,FALSE))
        =0,
          "",
          IF(ISNA(VLOOKUP($I$18,$I$22:$AQ$127,27,FALSE))
               =TRUE,
                  "",
                  VLOOKUP($I$18,$I$22:$AQ$127,27,FALSE)))</f>
        <v/>
      </c>
      <c r="AJ18" s="20" t="str">
        <f ca="1">IF(IF(ISNA(VLOOKUP($I$18,$I$22:$AQ$127,28,FALSE))
             =TRUE,
               "",
               VLOOKUP($I$18,$I$22:$AQ$127,28,FALSE))
        =0,
          "",
          IF(ISNA(VLOOKUP($I$18,$I$22:$AQ$127,28,FALSE))
               =TRUE,
                  "",
                  VLOOKUP($I$18,$I$22:$AQ$127,28,FALSE)))</f>
        <v/>
      </c>
      <c r="AK18" s="20" t="str">
        <f ca="1">IF(IF(ISNA(VLOOKUP($I$18,$I$22:$AQ$127,29,FALSE))
             =TRUE,
               "",
               VLOOKUP($I$18,$I$22:$AQ$127,29,FALSE))
        =0,
          "",
          IF(ISNA(VLOOKUP($I$18,$I$22:$AQ$127,29,FALSE))
               =TRUE,
                 "",
                 VLOOKUP($I$18,$I$22:$AQ$127,29,FALSE)))</f>
        <v/>
      </c>
      <c r="AL18" s="20" t="str">
        <f ca="1">IF(IF(ISNA(VLOOKUP($I$18,$I$22:$AQ$127,30,FALSE))
             =TRUE,
               "",
               VLOOKUP($I$18,$I$22:$AQ$127,30,FALSE))
        =0,
          "",
          IF(ISNA(VLOOKUP($I$18,$I$22:$AQ$127,30,FALSE))
               =TRUE,
                 "",
                 VLOOKUP($I$18,$I$22:$AQ$127,30,FALSE)))</f>
        <v/>
      </c>
      <c r="AM18" s="20" t="str">
        <f ca="1">IF(IF(ISNA(VLOOKUP($I$18,$I$22:$AQ$127,31,FALSE))
             =TRUE,
               "",
               VLOOKUP($I$18,$I$22:$AQ$127,31,FALSE))
       =0,
          "",
          IF(ISNA(VLOOKUP($I$18,$I$22:$AQ$127,31,FALSE))
               =TRUE,
                 "",
                 VLOOKUP($I$18,$I$22:$AQ$127,31,FALSE)))</f>
        <v/>
      </c>
      <c r="AN18" s="20" t="str">
        <f ca="1">IF(IF(ISNA(VLOOKUP($I$18,$I$22:$AQ$127,32,FALSE))
             =TRUE,
                "",
                VLOOKUP($I$18,$I$22:$AQ$127,32,FALSE))
        =0,
          "",
          IF(ISNA(VLOOKUP($I$18,$I$22:$AQ$127,32,FALSE))
               =TRUE,
                 "",
                 VLOOKUP($I$18,$I$22:$AQ$127,32,FALSE)))</f>
        <v/>
      </c>
      <c r="AO18" s="20" t="str">
        <f ca="1">IF(IF(ISNA(VLOOKUP($I$18,$I$22:$AQ$127,33,FALSE))
             =TRUE,
               "",
               VLOOKUP($I$18,$I$22:$AQ$127,33,FALSE))
       =0,
         "",
         IF(ISNA(VLOOKUP($I$18,$I$22:$AQ$127,33,FALSE))
              =TRUE,
                "",
                VLOOKUP($I$18,$I$22:$AQ$127,33,FALSE)))</f>
        <v/>
      </c>
      <c r="AP18" s="20" t="str">
        <f ca="1">IF(IF(ISNA(VLOOKUP($I$18,$I$22:$AQ$127,34,FALSE))
             =TRUE,
               "",
               VLOOKUP($I$18,$I$22:$AQ$127,34,FALSE))
        =0,
          "",
          IF(ISNA(VLOOKUP($I$18,$I$22:$AQ$127,34,FALSE))
               =TRUE,
                 "",
                 VLOOKUP($I$18,$I$22:$AQ$127,34,FALSE)))</f>
        <v/>
      </c>
      <c r="AQ18" s="20" t="str">
        <f ca="1">IF(IF(ISNA(VLOOKUP($I$18,$I$22:$AQ$127,35,FALSE))
             =TRUE,
                "",
                VLOOKUP($I$18,$I$22:$AQ$127,35,FALSE))
        =0,
          "",
          IF(ISNA(VLOOKUP($I$18,$I$22:$AQ$127,35,FALSE))
               =TRUE,
                 "",
                 VLOOKUP($I$18,$I$22:$AQ$127,35,FALSE)))</f>
        <v/>
      </c>
    </row>
    <row r="19" spans="1:57" x14ac:dyDescent="0.25">
      <c r="B19" s="37"/>
      <c r="C19" s="125" t="str">
        <f>HYPERLINK("startchat:"&amp;'SSP APD AAA DB Code'!D19&amp;"", "Click here to email")</f>
        <v>Click here to email</v>
      </c>
      <c r="D19" s="190" t="s">
        <v>1687</v>
      </c>
      <c r="E19" s="189"/>
      <c r="F19" s="104"/>
      <c r="G19" s="104"/>
      <c r="H19" s="125"/>
      <c r="I19" s="179"/>
      <c r="J19" s="38"/>
      <c r="K19" s="38"/>
      <c r="L19" s="38"/>
      <c r="M19" s="39"/>
      <c r="N19" s="39"/>
      <c r="O19" s="38"/>
      <c r="P19" s="40"/>
      <c r="Q19" s="41"/>
      <c r="R19" s="40"/>
      <c r="S19" s="38"/>
      <c r="T19" s="42"/>
      <c r="U19" s="38"/>
      <c r="V19" s="38"/>
      <c r="W19" s="38"/>
      <c r="X19" s="38"/>
      <c r="Y19" s="38"/>
      <c r="Z19" s="38"/>
      <c r="AA19" s="38"/>
      <c r="AB19" s="38"/>
      <c r="AC19" s="38"/>
      <c r="AD19" s="38"/>
      <c r="AE19" s="38"/>
      <c r="AF19" s="38"/>
      <c r="AG19" s="38"/>
      <c r="AH19" s="38"/>
      <c r="AI19" s="38"/>
      <c r="AJ19" s="38"/>
      <c r="AK19" s="38"/>
      <c r="AL19" s="38"/>
      <c r="AM19" s="38"/>
      <c r="AN19" s="38"/>
      <c r="AO19" s="38"/>
    </row>
    <row r="20" spans="1:57" ht="15" customHeight="1" x14ac:dyDescent="0.25">
      <c r="C20" s="125" t="str">
        <f>HYPERLINK("https://teams.microsoft.com/l/chat/0/0?users="&amp;D19&amp;","&amp;D20&amp;","&amp;E19&amp;","&amp;F19&amp;","&amp;G19&amp;","&amp;H19&amp;","&amp;I19&amp;","&amp;J19&amp;"","Click here to send Group IM")</f>
        <v>Click here to send Group IM</v>
      </c>
      <c r="D20" s="178"/>
      <c r="H20" s="88" t="s">
        <v>1031</v>
      </c>
    </row>
    <row r="21" spans="1:57" ht="15" customHeight="1" x14ac:dyDescent="0.25">
      <c r="B21" s="37"/>
      <c r="C21" s="37"/>
      <c r="D21" s="37"/>
      <c r="I21" s="15" t="s">
        <v>43</v>
      </c>
      <c r="J21" s="15" t="s">
        <v>44</v>
      </c>
      <c r="K21" s="15" t="s">
        <v>45</v>
      </c>
      <c r="L21" s="15" t="s">
        <v>46</v>
      </c>
      <c r="M21" s="16" t="s">
        <v>47</v>
      </c>
      <c r="N21" s="16" t="s">
        <v>48</v>
      </c>
      <c r="O21" s="15" t="s">
        <v>49</v>
      </c>
      <c r="P21" s="24" t="s">
        <v>50</v>
      </c>
      <c r="Q21" s="15" t="s">
        <v>51</v>
      </c>
      <c r="R21" s="24" t="s">
        <v>52</v>
      </c>
      <c r="S21" s="35" t="s">
        <v>53</v>
      </c>
      <c r="T21" s="18" t="s">
        <v>54</v>
      </c>
      <c r="U21" s="15" t="s">
        <v>55</v>
      </c>
      <c r="V21" s="15" t="s">
        <v>15</v>
      </c>
      <c r="W21" s="15" t="s">
        <v>16</v>
      </c>
      <c r="X21" s="15" t="s">
        <v>17</v>
      </c>
      <c r="Y21" s="15" t="s">
        <v>18</v>
      </c>
      <c r="Z21" s="15" t="s">
        <v>19</v>
      </c>
      <c r="AA21" s="15" t="s">
        <v>20</v>
      </c>
      <c r="AB21" s="15" t="s">
        <v>1260</v>
      </c>
      <c r="AC21" s="15" t="s">
        <v>1261</v>
      </c>
      <c r="AD21" s="15" t="s">
        <v>1262</v>
      </c>
      <c r="AE21" s="15" t="s">
        <v>1263</v>
      </c>
      <c r="AF21" s="15" t="s">
        <v>1264</v>
      </c>
      <c r="AG21" s="15" t="s">
        <v>1265</v>
      </c>
      <c r="AH21" s="15" t="s">
        <v>1266</v>
      </c>
      <c r="AI21" s="15" t="s">
        <v>1267</v>
      </c>
      <c r="AJ21" s="15" t="s">
        <v>1268</v>
      </c>
      <c r="AK21" s="15" t="s">
        <v>1269</v>
      </c>
      <c r="AL21" s="15" t="s">
        <v>1270</v>
      </c>
      <c r="AM21" s="15" t="s">
        <v>1271</v>
      </c>
      <c r="AN21" s="15" t="s">
        <v>1272</v>
      </c>
      <c r="AO21" s="15" t="s">
        <v>1273</v>
      </c>
      <c r="AP21" s="15" t="s">
        <v>1274</v>
      </c>
      <c r="AQ21" s="15" t="s">
        <v>1275</v>
      </c>
      <c r="AR21" s="15" t="s">
        <v>56</v>
      </c>
      <c r="AS21" s="15" t="s">
        <v>57</v>
      </c>
      <c r="AT21" s="15" t="s">
        <v>58</v>
      </c>
      <c r="AU21" s="15" t="s">
        <v>59</v>
      </c>
      <c r="AV21" s="15" t="s">
        <v>60</v>
      </c>
      <c r="AW21" s="15" t="s">
        <v>61</v>
      </c>
      <c r="AX21" s="15" t="s">
        <v>62</v>
      </c>
      <c r="AY21" s="15" t="s">
        <v>63</v>
      </c>
      <c r="AZ21" s="15" t="s">
        <v>64</v>
      </c>
      <c r="BA21" s="15" t="s">
        <v>65</v>
      </c>
      <c r="BB21" s="15" t="s">
        <v>66</v>
      </c>
      <c r="BC21" s="15" t="s">
        <v>67</v>
      </c>
      <c r="BD21" s="15" t="s">
        <v>68</v>
      </c>
    </row>
    <row r="22" spans="1:57" x14ac:dyDescent="0.25">
      <c r="B22" t="s">
        <v>1883</v>
      </c>
      <c r="C22"/>
      <c r="D22"/>
      <c r="H22" s="7">
        <f>SUM(LEN(AJ22),LEN(AK22),LEN(AL22),LEN(AM22),LEN(AN22),LEN(AO22))</f>
        <v>107</v>
      </c>
      <c r="I22" s="23">
        <v>401</v>
      </c>
      <c r="J22" s="15" t="s">
        <v>69</v>
      </c>
      <c r="K22" s="15" t="s">
        <v>732</v>
      </c>
      <c r="L22" s="35" t="s">
        <v>1575</v>
      </c>
      <c r="M22" s="16">
        <v>0.33333333333333331</v>
      </c>
      <c r="N22" s="16">
        <v>0.70833333333333337</v>
      </c>
      <c r="O22" s="15" t="s">
        <v>71</v>
      </c>
      <c r="P22" s="24">
        <v>5033252021</v>
      </c>
      <c r="Q22" s="15"/>
      <c r="R22" s="24">
        <v>5033256506</v>
      </c>
      <c r="S22" s="35" t="s">
        <v>1069</v>
      </c>
      <c r="T22" s="62">
        <v>1</v>
      </c>
      <c r="U22" s="35" t="s">
        <v>1548</v>
      </c>
      <c r="V22" s="15" t="s">
        <v>1166</v>
      </c>
      <c r="W22" s="15" t="s">
        <v>1167</v>
      </c>
      <c r="X22" s="15" t="s">
        <v>73</v>
      </c>
      <c r="Y22" s="15" t="s">
        <v>74</v>
      </c>
      <c r="Z22" s="15">
        <v>97103</v>
      </c>
      <c r="AA22" s="15" t="s">
        <v>75</v>
      </c>
      <c r="AB22" s="15" t="s">
        <v>1439</v>
      </c>
      <c r="AC22" s="15" t="s">
        <v>1279</v>
      </c>
      <c r="AD22" s="15" t="s">
        <v>1278</v>
      </c>
      <c r="AE22" s="15"/>
      <c r="AF22" s="15"/>
      <c r="AG22" s="15"/>
      <c r="AH22" s="15"/>
      <c r="AI22" s="15"/>
      <c r="AJ22" s="47" t="s">
        <v>1440</v>
      </c>
      <c r="AK22" s="47" t="s">
        <v>1441</v>
      </c>
      <c r="AL22" s="47" t="s">
        <v>1442</v>
      </c>
      <c r="AM22" s="15"/>
      <c r="AN22" s="15"/>
      <c r="AO22" s="15"/>
      <c r="AP22" s="15"/>
      <c r="AQ22" s="67"/>
      <c r="AR22" s="15" t="s">
        <v>76</v>
      </c>
      <c r="AS22" s="15" t="s">
        <v>40</v>
      </c>
      <c r="AT22" s="15" t="s">
        <v>74</v>
      </c>
      <c r="AU22" s="15" t="s">
        <v>77</v>
      </c>
      <c r="AV22" s="15" t="s">
        <v>78</v>
      </c>
      <c r="AW22" s="15" t="s">
        <v>76</v>
      </c>
      <c r="AX22" s="15" t="s">
        <v>40</v>
      </c>
      <c r="AY22" s="15" t="s">
        <v>74</v>
      </c>
      <c r="AZ22" s="15" t="s">
        <v>77</v>
      </c>
      <c r="BA22" s="15" t="s">
        <v>78</v>
      </c>
      <c r="BB22" s="15" t="s">
        <v>79</v>
      </c>
      <c r="BC22" s="15"/>
      <c r="BD22" s="15">
        <v>1</v>
      </c>
      <c r="BE22" s="7">
        <f>COUNTIF($T$22:$T$126,BD22)</f>
        <v>7</v>
      </c>
    </row>
    <row r="23" spans="1:57" ht="15" customHeight="1" x14ac:dyDescent="0.25">
      <c r="B23" s="227" t="s">
        <v>1884</v>
      </c>
      <c r="C23" s="228"/>
      <c r="D23" s="229"/>
      <c r="H23" s="7">
        <f t="shared" ref="H23:H86" si="0">SUM(LEN(AJ23),LEN(AK23),LEN(AL23),LEN(AM23),LEN(AN23),LEN(AO23))</f>
        <v>107</v>
      </c>
      <c r="I23" s="23">
        <v>403</v>
      </c>
      <c r="J23" s="15" t="s">
        <v>69</v>
      </c>
      <c r="K23" s="15" t="s">
        <v>732</v>
      </c>
      <c r="L23" s="35" t="s">
        <v>1576</v>
      </c>
      <c r="M23" s="16">
        <v>0.33333333333333331</v>
      </c>
      <c r="N23" s="16">
        <v>0.70833333333333337</v>
      </c>
      <c r="O23" s="15" t="s">
        <v>71</v>
      </c>
      <c r="P23" s="96">
        <v>9716737249</v>
      </c>
      <c r="Q23" s="15"/>
      <c r="R23" s="103">
        <v>9716737218</v>
      </c>
      <c r="S23" s="46" t="s">
        <v>1546</v>
      </c>
      <c r="T23" s="18">
        <v>1</v>
      </c>
      <c r="U23" s="36" t="s">
        <v>1467</v>
      </c>
      <c r="V23" s="15" t="s">
        <v>1406</v>
      </c>
      <c r="W23" s="15" t="s">
        <v>1407</v>
      </c>
      <c r="X23" s="15" t="s">
        <v>388</v>
      </c>
      <c r="Y23" s="15" t="s">
        <v>74</v>
      </c>
      <c r="Z23" s="15">
        <v>97138</v>
      </c>
      <c r="AA23" s="15" t="s">
        <v>75</v>
      </c>
      <c r="AB23" s="15" t="s">
        <v>1439</v>
      </c>
      <c r="AC23" s="15" t="s">
        <v>1278</v>
      </c>
      <c r="AD23" s="15" t="s">
        <v>1279</v>
      </c>
      <c r="AE23" s="15"/>
      <c r="AF23" s="15"/>
      <c r="AG23" s="15"/>
      <c r="AH23" s="15"/>
      <c r="AI23" s="15"/>
      <c r="AJ23" s="15" t="s">
        <v>1551</v>
      </c>
      <c r="AK23" s="47" t="s">
        <v>1552</v>
      </c>
      <c r="AL23" s="47" t="s">
        <v>1553</v>
      </c>
      <c r="AM23" s="47"/>
      <c r="AN23" s="47"/>
      <c r="AO23" s="15"/>
      <c r="AP23" s="15"/>
      <c r="AQ23" s="15"/>
      <c r="AR23" s="15"/>
      <c r="AS23" s="15"/>
      <c r="AT23" s="15"/>
      <c r="AU23" s="15"/>
      <c r="AV23" s="15"/>
      <c r="AW23" s="15"/>
      <c r="AX23" s="15"/>
      <c r="AY23" s="15"/>
      <c r="AZ23" s="15"/>
      <c r="BA23" s="15"/>
      <c r="BB23" s="15"/>
      <c r="BC23" s="15"/>
      <c r="BD23" s="15"/>
    </row>
    <row r="24" spans="1:57" x14ac:dyDescent="0.25">
      <c r="B24" s="230"/>
      <c r="C24" s="231"/>
      <c r="D24" s="232"/>
      <c r="H24" s="7">
        <f t="shared" si="0"/>
        <v>0</v>
      </c>
      <c r="I24" s="23">
        <v>411</v>
      </c>
      <c r="J24" s="15" t="s">
        <v>69</v>
      </c>
      <c r="K24" s="15" t="s">
        <v>734</v>
      </c>
      <c r="L24" s="35" t="s">
        <v>733</v>
      </c>
      <c r="M24" s="16">
        <v>0.33333333333333331</v>
      </c>
      <c r="N24" s="16">
        <v>0.70833333333333337</v>
      </c>
      <c r="O24" s="15" t="s">
        <v>71</v>
      </c>
      <c r="P24" s="24">
        <v>5038614200</v>
      </c>
      <c r="Q24" s="15"/>
      <c r="R24" s="24">
        <v>5033785628</v>
      </c>
      <c r="S24" s="35" t="s">
        <v>1214</v>
      </c>
      <c r="T24" s="18">
        <v>1</v>
      </c>
      <c r="U24" s="35" t="s">
        <v>681</v>
      </c>
      <c r="V24" s="15" t="s">
        <v>81</v>
      </c>
      <c r="W24" s="15"/>
      <c r="X24" s="15" t="s">
        <v>82</v>
      </c>
      <c r="Y24" s="15" t="s">
        <v>74</v>
      </c>
      <c r="Z24" s="15">
        <v>97146</v>
      </c>
      <c r="AA24" s="15" t="s">
        <v>75</v>
      </c>
      <c r="AB24" s="15"/>
      <c r="AC24" s="15"/>
      <c r="AD24" s="15"/>
      <c r="AE24" s="15"/>
      <c r="AF24" s="15"/>
      <c r="AG24" s="15"/>
      <c r="AH24" s="15"/>
      <c r="AI24" s="15"/>
      <c r="AJ24" s="47"/>
      <c r="AK24" s="47"/>
      <c r="AL24" s="47"/>
      <c r="AM24" s="47"/>
      <c r="AN24" s="15"/>
      <c r="AO24" s="15"/>
      <c r="AP24" s="15"/>
      <c r="AQ24" s="15"/>
      <c r="AR24" s="15" t="s">
        <v>76</v>
      </c>
      <c r="AS24" s="15" t="s">
        <v>40</v>
      </c>
      <c r="AT24" s="15" t="s">
        <v>74</v>
      </c>
      <c r="AU24" s="15" t="s">
        <v>77</v>
      </c>
      <c r="AV24" s="15" t="s">
        <v>78</v>
      </c>
      <c r="AW24" s="15" t="s">
        <v>76</v>
      </c>
      <c r="AX24" s="15" t="s">
        <v>40</v>
      </c>
      <c r="AY24" s="15" t="s">
        <v>74</v>
      </c>
      <c r="AZ24" s="15" t="s">
        <v>77</v>
      </c>
      <c r="BA24" s="15" t="s">
        <v>78</v>
      </c>
      <c r="BB24" s="15" t="s">
        <v>83</v>
      </c>
      <c r="BC24" s="15"/>
      <c r="BD24" s="15">
        <v>2</v>
      </c>
      <c r="BE24" s="7">
        <f t="shared" ref="BE24:BE37" si="1">COUNTIF($T$22:$T$126,BD24)</f>
        <v>12</v>
      </c>
    </row>
    <row r="25" spans="1:57" ht="15" customHeight="1" x14ac:dyDescent="0.25">
      <c r="B25" s="230"/>
      <c r="C25" s="231"/>
      <c r="D25" s="232"/>
      <c r="H25" s="7">
        <f t="shared" si="0"/>
        <v>185</v>
      </c>
      <c r="I25" s="23">
        <v>501</v>
      </c>
      <c r="J25" s="15" t="s">
        <v>69</v>
      </c>
      <c r="K25" s="15" t="s">
        <v>732</v>
      </c>
      <c r="L25" s="35" t="s">
        <v>1577</v>
      </c>
      <c r="M25" s="16">
        <v>0.33333333333333331</v>
      </c>
      <c r="N25" s="16">
        <v>0.70833333333333337</v>
      </c>
      <c r="O25" s="15" t="s">
        <v>71</v>
      </c>
      <c r="P25" s="24">
        <v>5033971784</v>
      </c>
      <c r="Q25" s="15"/>
      <c r="R25" s="24">
        <v>5033970942</v>
      </c>
      <c r="S25" s="35" t="s">
        <v>1070</v>
      </c>
      <c r="T25" s="18">
        <v>1</v>
      </c>
      <c r="U25" s="35" t="s">
        <v>84</v>
      </c>
      <c r="V25" s="15" t="s">
        <v>85</v>
      </c>
      <c r="W25" s="15" t="s">
        <v>86</v>
      </c>
      <c r="X25" s="15" t="s">
        <v>87</v>
      </c>
      <c r="Y25" s="15" t="s">
        <v>74</v>
      </c>
      <c r="Z25" s="15">
        <v>97051</v>
      </c>
      <c r="AA25" s="15" t="s">
        <v>88</v>
      </c>
      <c r="AB25" s="15" t="s">
        <v>1282</v>
      </c>
      <c r="AC25" s="47" t="s">
        <v>1281</v>
      </c>
      <c r="AD25" s="15" t="s">
        <v>1437</v>
      </c>
      <c r="AE25" s="15" t="s">
        <v>1461</v>
      </c>
      <c r="AF25" s="15" t="s">
        <v>1279</v>
      </c>
      <c r="AG25" s="15" t="s">
        <v>1763</v>
      </c>
      <c r="AH25" s="15"/>
      <c r="AI25" s="15"/>
      <c r="AJ25" s="47" t="s">
        <v>1764</v>
      </c>
      <c r="AK25" s="47" t="s">
        <v>1765</v>
      </c>
      <c r="AL25" s="47" t="s">
        <v>1766</v>
      </c>
      <c r="AM25" s="15" t="s">
        <v>1767</v>
      </c>
      <c r="AN25" s="47" t="s">
        <v>1441</v>
      </c>
      <c r="AO25" s="15" t="s">
        <v>1768</v>
      </c>
      <c r="AP25" s="15"/>
      <c r="AQ25" s="15"/>
      <c r="AR25" s="15" t="s">
        <v>76</v>
      </c>
      <c r="AS25" s="15" t="s">
        <v>40</v>
      </c>
      <c r="AT25" s="15" t="s">
        <v>74</v>
      </c>
      <c r="AU25" s="15" t="s">
        <v>77</v>
      </c>
      <c r="AV25" s="15" t="s">
        <v>78</v>
      </c>
      <c r="AW25" s="15" t="s">
        <v>76</v>
      </c>
      <c r="AX25" s="15" t="s">
        <v>40</v>
      </c>
      <c r="AY25" s="15" t="s">
        <v>74</v>
      </c>
      <c r="AZ25" s="15" t="s">
        <v>77</v>
      </c>
      <c r="BA25" s="15" t="s">
        <v>78</v>
      </c>
      <c r="BB25" s="15" t="s">
        <v>79</v>
      </c>
      <c r="BC25" s="15"/>
      <c r="BD25" s="15">
        <v>3</v>
      </c>
      <c r="BE25" s="7">
        <f t="shared" si="1"/>
        <v>11</v>
      </c>
    </row>
    <row r="26" spans="1:57" x14ac:dyDescent="0.25">
      <c r="B26" s="233"/>
      <c r="C26" s="234"/>
      <c r="D26" s="235"/>
      <c r="H26" s="7">
        <f t="shared" si="0"/>
        <v>0</v>
      </c>
      <c r="I26" s="23">
        <v>511</v>
      </c>
      <c r="J26" s="15" t="s">
        <v>69</v>
      </c>
      <c r="K26" s="15" t="s">
        <v>731</v>
      </c>
      <c r="L26" s="35" t="s">
        <v>1578</v>
      </c>
      <c r="M26" s="16">
        <v>0.33333333333333331</v>
      </c>
      <c r="N26" s="16">
        <v>0.70833333333333337</v>
      </c>
      <c r="O26" s="15" t="s">
        <v>71</v>
      </c>
      <c r="P26" s="24">
        <v>5033975863</v>
      </c>
      <c r="Q26" s="15"/>
      <c r="R26" s="24">
        <v>5033970389</v>
      </c>
      <c r="S26" s="35" t="s">
        <v>1215</v>
      </c>
      <c r="T26" s="18">
        <v>1</v>
      </c>
      <c r="U26" s="35" t="s">
        <v>84</v>
      </c>
      <c r="V26" s="15" t="s">
        <v>89</v>
      </c>
      <c r="W26" s="15" t="s">
        <v>90</v>
      </c>
      <c r="X26" s="15" t="s">
        <v>87</v>
      </c>
      <c r="Y26" s="15" t="s">
        <v>74</v>
      </c>
      <c r="Z26" s="15">
        <v>97051</v>
      </c>
      <c r="AA26" s="15" t="s">
        <v>88</v>
      </c>
      <c r="AB26" s="15"/>
      <c r="AC26" s="15"/>
      <c r="AD26" s="15"/>
      <c r="AE26" s="15"/>
      <c r="AF26" s="15"/>
      <c r="AG26" s="15"/>
      <c r="AH26" s="15"/>
      <c r="AI26" s="15"/>
      <c r="AJ26" s="47"/>
      <c r="AK26" s="47"/>
      <c r="AL26" s="47"/>
      <c r="AM26" s="47"/>
      <c r="AN26" s="47"/>
      <c r="AO26" s="15"/>
      <c r="AP26" s="15"/>
      <c r="AQ26" s="15"/>
      <c r="AR26" s="15" t="s">
        <v>76</v>
      </c>
      <c r="AS26" s="15" t="s">
        <v>40</v>
      </c>
      <c r="AT26" s="15" t="s">
        <v>74</v>
      </c>
      <c r="AU26" s="15" t="s">
        <v>77</v>
      </c>
      <c r="AV26" s="15" t="s">
        <v>78</v>
      </c>
      <c r="AW26" s="15" t="s">
        <v>76</v>
      </c>
      <c r="AX26" s="15" t="s">
        <v>40</v>
      </c>
      <c r="AY26" s="15" t="s">
        <v>74</v>
      </c>
      <c r="AZ26" s="15" t="s">
        <v>77</v>
      </c>
      <c r="BA26" s="15" t="s">
        <v>78</v>
      </c>
      <c r="BB26" s="15" t="s">
        <v>79</v>
      </c>
      <c r="BC26" s="15"/>
      <c r="BD26" s="15">
        <v>4</v>
      </c>
      <c r="BE26" s="7">
        <f t="shared" si="1"/>
        <v>6</v>
      </c>
    </row>
    <row r="27" spans="1:57" x14ac:dyDescent="0.25">
      <c r="B27"/>
      <c r="C27"/>
      <c r="D27"/>
      <c r="H27" s="7">
        <f t="shared" si="0"/>
        <v>155</v>
      </c>
      <c r="I27" s="23">
        <v>2901</v>
      </c>
      <c r="J27" s="15" t="s">
        <v>69</v>
      </c>
      <c r="K27" s="15" t="s">
        <v>732</v>
      </c>
      <c r="L27" s="35" t="s">
        <v>1572</v>
      </c>
      <c r="M27" s="16">
        <v>0.33333333333333331</v>
      </c>
      <c r="N27" s="16">
        <v>0.70833333333333337</v>
      </c>
      <c r="O27" s="15" t="s">
        <v>71</v>
      </c>
      <c r="P27" s="24">
        <v>5038424453</v>
      </c>
      <c r="Q27" s="15"/>
      <c r="R27" s="24">
        <v>5038422183</v>
      </c>
      <c r="S27" s="35" t="s">
        <v>1179</v>
      </c>
      <c r="T27" s="18">
        <v>1</v>
      </c>
      <c r="U27" s="35" t="s">
        <v>91</v>
      </c>
      <c r="V27" s="15" t="s">
        <v>92</v>
      </c>
      <c r="W27" s="15"/>
      <c r="X27" s="15" t="s">
        <v>93</v>
      </c>
      <c r="Y27" s="15" t="s">
        <v>74</v>
      </c>
      <c r="Z27" s="15">
        <v>97141</v>
      </c>
      <c r="AA27" s="15" t="s">
        <v>93</v>
      </c>
      <c r="AB27" s="15" t="s">
        <v>1283</v>
      </c>
      <c r="AC27" s="15" t="s">
        <v>1279</v>
      </c>
      <c r="AD27" s="15" t="s">
        <v>1280</v>
      </c>
      <c r="AE27" s="7" t="s">
        <v>1769</v>
      </c>
      <c r="AF27" s="15" t="s">
        <v>1770</v>
      </c>
      <c r="AG27" s="15"/>
      <c r="AH27" s="15"/>
      <c r="AI27" s="15"/>
      <c r="AJ27" s="46" t="s">
        <v>1771</v>
      </c>
      <c r="AK27" s="46" t="s">
        <v>1441</v>
      </c>
      <c r="AL27" s="47" t="s">
        <v>1772</v>
      </c>
      <c r="AM27" s="7" t="s">
        <v>1773</v>
      </c>
      <c r="AN27" s="47" t="s">
        <v>1774</v>
      </c>
      <c r="AO27" s="15"/>
      <c r="AP27" s="15"/>
      <c r="AQ27" s="15"/>
      <c r="AR27" s="15" t="s">
        <v>76</v>
      </c>
      <c r="AS27" s="15" t="s">
        <v>40</v>
      </c>
      <c r="AT27" s="15" t="s">
        <v>74</v>
      </c>
      <c r="AU27" s="15" t="s">
        <v>77</v>
      </c>
      <c r="AV27" s="15" t="s">
        <v>78</v>
      </c>
      <c r="AW27" s="15" t="s">
        <v>76</v>
      </c>
      <c r="AX27" s="15" t="s">
        <v>40</v>
      </c>
      <c r="AY27" s="15" t="s">
        <v>74</v>
      </c>
      <c r="AZ27" s="15" t="s">
        <v>77</v>
      </c>
      <c r="BA27" s="15" t="s">
        <v>78</v>
      </c>
      <c r="BB27" s="15" t="s">
        <v>79</v>
      </c>
      <c r="BC27" s="15"/>
      <c r="BD27" s="15">
        <v>5</v>
      </c>
      <c r="BE27" s="7">
        <f t="shared" si="1"/>
        <v>7</v>
      </c>
    </row>
    <row r="28" spans="1:57" x14ac:dyDescent="0.25">
      <c r="B28" s="37" t="s">
        <v>1858</v>
      </c>
      <c r="C28" s="37"/>
      <c r="D28" s="37"/>
      <c r="H28" s="7">
        <f t="shared" si="0"/>
        <v>0</v>
      </c>
      <c r="I28" s="23">
        <v>2911</v>
      </c>
      <c r="J28" s="15" t="s">
        <v>69</v>
      </c>
      <c r="K28" s="15" t="s">
        <v>734</v>
      </c>
      <c r="L28" s="35" t="s">
        <v>735</v>
      </c>
      <c r="M28" s="16">
        <v>0.33333333333333331</v>
      </c>
      <c r="N28" s="16">
        <v>0.70833333333333337</v>
      </c>
      <c r="O28" s="15" t="s">
        <v>71</v>
      </c>
      <c r="P28" s="24">
        <v>5038422770</v>
      </c>
      <c r="Q28" s="15"/>
      <c r="R28" s="24">
        <v>5033785628</v>
      </c>
      <c r="S28" s="35" t="s">
        <v>1216</v>
      </c>
      <c r="T28" s="18">
        <v>1</v>
      </c>
      <c r="U28" s="35" t="s">
        <v>682</v>
      </c>
      <c r="V28" s="15" t="s">
        <v>94</v>
      </c>
      <c r="W28" s="15"/>
      <c r="X28" s="15" t="s">
        <v>93</v>
      </c>
      <c r="Y28" s="15" t="s">
        <v>74</v>
      </c>
      <c r="Z28" s="15">
        <v>97141</v>
      </c>
      <c r="AA28" s="15" t="s">
        <v>93</v>
      </c>
      <c r="AB28" s="15"/>
      <c r="AC28" s="15"/>
      <c r="AD28" s="15"/>
      <c r="AE28" s="15"/>
      <c r="AF28" s="15"/>
      <c r="AG28" s="15"/>
      <c r="AH28" s="15"/>
      <c r="AI28" s="15"/>
      <c r="AJ28" s="47"/>
      <c r="AK28" s="47"/>
      <c r="AL28" s="47"/>
      <c r="AM28" s="47"/>
      <c r="AN28" s="47"/>
      <c r="AO28" s="15"/>
      <c r="AP28" s="15"/>
      <c r="AQ28" s="15"/>
      <c r="AR28" s="15" t="s">
        <v>76</v>
      </c>
      <c r="AS28" s="15" t="s">
        <v>40</v>
      </c>
      <c r="AT28" s="15" t="s">
        <v>74</v>
      </c>
      <c r="AU28" s="15" t="s">
        <v>77</v>
      </c>
      <c r="AV28" s="15" t="s">
        <v>78</v>
      </c>
      <c r="AW28" s="15" t="s">
        <v>76</v>
      </c>
      <c r="AX28" s="15" t="s">
        <v>40</v>
      </c>
      <c r="AY28" s="15" t="s">
        <v>74</v>
      </c>
      <c r="AZ28" s="15" t="s">
        <v>77</v>
      </c>
      <c r="BA28" s="15" t="s">
        <v>78</v>
      </c>
      <c r="BB28" s="15" t="s">
        <v>83</v>
      </c>
      <c r="BC28" s="15"/>
      <c r="BD28" s="15">
        <v>6</v>
      </c>
      <c r="BE28" s="7">
        <f t="shared" si="1"/>
        <v>2</v>
      </c>
    </row>
    <row r="29" spans="1:57" x14ac:dyDescent="0.25">
      <c r="B29" s="236" t="s">
        <v>1878</v>
      </c>
      <c r="C29" s="237"/>
      <c r="D29" s="238"/>
      <c r="H29" s="7">
        <f t="shared" si="0"/>
        <v>89</v>
      </c>
      <c r="I29" s="23">
        <v>701</v>
      </c>
      <c r="J29" s="15" t="s">
        <v>69</v>
      </c>
      <c r="K29" s="15" t="s">
        <v>732</v>
      </c>
      <c r="L29" s="35" t="s">
        <v>1579</v>
      </c>
      <c r="M29" s="16">
        <v>0.33333333333333331</v>
      </c>
      <c r="N29" s="16">
        <v>0.70833333333333337</v>
      </c>
      <c r="O29" s="15" t="s">
        <v>71</v>
      </c>
      <c r="P29" s="24">
        <v>9716736900</v>
      </c>
      <c r="Q29" s="15"/>
      <c r="R29" s="24">
        <v>5033785628</v>
      </c>
      <c r="S29" s="35" t="s">
        <v>1126</v>
      </c>
      <c r="T29" s="18">
        <v>2</v>
      </c>
      <c r="U29" s="35" t="s">
        <v>683</v>
      </c>
      <c r="V29" s="15" t="s">
        <v>95</v>
      </c>
      <c r="W29" s="15" t="s">
        <v>96</v>
      </c>
      <c r="X29" s="15" t="s">
        <v>97</v>
      </c>
      <c r="Y29" s="15" t="s">
        <v>74</v>
      </c>
      <c r="Z29" s="15">
        <v>97217</v>
      </c>
      <c r="AA29" s="15" t="s">
        <v>98</v>
      </c>
      <c r="AB29" s="15" t="s">
        <v>1377</v>
      </c>
      <c r="AC29" s="15" t="s">
        <v>1833</v>
      </c>
      <c r="AD29" s="15" t="s">
        <v>1834</v>
      </c>
      <c r="AE29" s="15"/>
      <c r="AF29" s="15"/>
      <c r="AG29" s="15"/>
      <c r="AH29" s="15"/>
      <c r="AI29" s="15"/>
      <c r="AJ29" s="47" t="s">
        <v>1835</v>
      </c>
      <c r="AK29" s="47" t="s">
        <v>1836</v>
      </c>
      <c r="AL29" s="47" t="s">
        <v>1837</v>
      </c>
      <c r="AM29" s="47"/>
      <c r="AN29" s="47"/>
      <c r="AO29" s="15"/>
      <c r="AP29" s="47"/>
      <c r="AQ29" s="47"/>
      <c r="AR29" s="15" t="s">
        <v>76</v>
      </c>
      <c r="AS29" s="15" t="s">
        <v>40</v>
      </c>
      <c r="AT29" s="15" t="s">
        <v>74</v>
      </c>
      <c r="AU29" s="15" t="s">
        <v>77</v>
      </c>
      <c r="AV29" s="15" t="s">
        <v>78</v>
      </c>
      <c r="AW29" s="15" t="s">
        <v>76</v>
      </c>
      <c r="AX29" s="15" t="s">
        <v>40</v>
      </c>
      <c r="AY29" s="15" t="s">
        <v>74</v>
      </c>
      <c r="AZ29" s="15" t="s">
        <v>77</v>
      </c>
      <c r="BA29" s="15" t="s">
        <v>78</v>
      </c>
      <c r="BB29" s="15" t="s">
        <v>79</v>
      </c>
      <c r="BC29" s="15"/>
      <c r="BD29" s="15">
        <v>7</v>
      </c>
      <c r="BE29" s="7">
        <f t="shared" si="1"/>
        <v>5</v>
      </c>
    </row>
    <row r="30" spans="1:57" x14ac:dyDescent="0.25">
      <c r="B30" s="239"/>
      <c r="C30" s="240"/>
      <c r="D30" s="241"/>
      <c r="H30" s="7">
        <f t="shared" si="0"/>
        <v>97</v>
      </c>
      <c r="I30" s="23">
        <v>1401</v>
      </c>
      <c r="J30" s="15" t="s">
        <v>69</v>
      </c>
      <c r="K30" s="15" t="s">
        <v>732</v>
      </c>
      <c r="L30" s="35" t="s">
        <v>1580</v>
      </c>
      <c r="M30" s="16">
        <v>0.33333333333333331</v>
      </c>
      <c r="N30" s="16">
        <v>0.70833333333333337</v>
      </c>
      <c r="O30" s="15" t="s">
        <v>71</v>
      </c>
      <c r="P30" s="24">
        <v>9716732550</v>
      </c>
      <c r="Q30" s="15"/>
      <c r="R30" s="24">
        <v>5033785628</v>
      </c>
      <c r="S30" s="35" t="s">
        <v>1121</v>
      </c>
      <c r="T30" s="18">
        <v>2</v>
      </c>
      <c r="U30" s="35" t="s">
        <v>954</v>
      </c>
      <c r="V30" s="15" t="s">
        <v>99</v>
      </c>
      <c r="W30" s="15"/>
      <c r="X30" s="15" t="s">
        <v>97</v>
      </c>
      <c r="Y30" s="15" t="s">
        <v>74</v>
      </c>
      <c r="Z30" s="15">
        <v>97206</v>
      </c>
      <c r="AA30" s="15" t="s">
        <v>98</v>
      </c>
      <c r="AB30" s="15" t="s">
        <v>1393</v>
      </c>
      <c r="AC30" s="15" t="s">
        <v>1394</v>
      </c>
      <c r="AD30" s="15" t="s">
        <v>1709</v>
      </c>
      <c r="AE30" s="15"/>
      <c r="AF30" s="15"/>
      <c r="AG30" s="15"/>
      <c r="AH30" s="15"/>
      <c r="AI30" s="15"/>
      <c r="AJ30" s="47" t="s">
        <v>1395</v>
      </c>
      <c r="AK30" s="46" t="s">
        <v>1741</v>
      </c>
      <c r="AL30" s="47" t="s">
        <v>1710</v>
      </c>
      <c r="AM30" s="47"/>
      <c r="AN30" s="47"/>
      <c r="AO30" s="15"/>
      <c r="AP30" s="15"/>
      <c r="AQ30" s="15"/>
      <c r="AR30" s="15" t="s">
        <v>76</v>
      </c>
      <c r="AS30" s="15" t="s">
        <v>40</v>
      </c>
      <c r="AT30" s="15" t="s">
        <v>74</v>
      </c>
      <c r="AU30" s="15" t="s">
        <v>77</v>
      </c>
      <c r="AV30" s="15" t="s">
        <v>78</v>
      </c>
      <c r="AW30" s="15" t="s">
        <v>76</v>
      </c>
      <c r="AX30" s="15" t="s">
        <v>40</v>
      </c>
      <c r="AY30" s="15" t="s">
        <v>74</v>
      </c>
      <c r="AZ30" s="15" t="s">
        <v>77</v>
      </c>
      <c r="BA30" s="15" t="s">
        <v>78</v>
      </c>
      <c r="BB30" s="15" t="s">
        <v>79</v>
      </c>
      <c r="BC30" s="15"/>
      <c r="BD30" s="15">
        <v>8</v>
      </c>
      <c r="BE30" s="7">
        <f t="shared" si="1"/>
        <v>8</v>
      </c>
    </row>
    <row r="31" spans="1:57" x14ac:dyDescent="0.25">
      <c r="B31" s="239"/>
      <c r="C31" s="240"/>
      <c r="D31" s="241"/>
      <c r="H31" s="7">
        <f t="shared" si="0"/>
        <v>32</v>
      </c>
      <c r="I31" s="23">
        <v>1402</v>
      </c>
      <c r="J31" s="15" t="s">
        <v>69</v>
      </c>
      <c r="K31" s="15" t="s">
        <v>732</v>
      </c>
      <c r="L31" s="35" t="s">
        <v>1619</v>
      </c>
      <c r="M31" s="16">
        <v>0.33333333333333331</v>
      </c>
      <c r="N31" s="16">
        <v>0.70833333333333337</v>
      </c>
      <c r="O31" s="15" t="s">
        <v>71</v>
      </c>
      <c r="P31" s="24">
        <v>9716731400</v>
      </c>
      <c r="Q31" s="15"/>
      <c r="R31" s="24">
        <v>5033785628</v>
      </c>
      <c r="S31" s="35" t="s">
        <v>1125</v>
      </c>
      <c r="T31" s="18">
        <v>2</v>
      </c>
      <c r="U31" s="35" t="s">
        <v>1135</v>
      </c>
      <c r="V31" s="15" t="s">
        <v>1140</v>
      </c>
      <c r="W31" s="15"/>
      <c r="X31" s="15" t="s">
        <v>97</v>
      </c>
      <c r="Y31" s="15" t="s">
        <v>74</v>
      </c>
      <c r="Z31" s="15">
        <v>97204</v>
      </c>
      <c r="AA31" s="15" t="s">
        <v>98</v>
      </c>
      <c r="AB31" s="15" t="s">
        <v>1663</v>
      </c>
      <c r="AC31" s="68"/>
      <c r="AE31" s="15"/>
      <c r="AF31" s="15"/>
      <c r="AG31" s="15"/>
      <c r="AH31" s="15"/>
      <c r="AI31" s="15"/>
      <c r="AJ31" s="47" t="s">
        <v>1664</v>
      </c>
      <c r="AK31" s="47"/>
      <c r="AM31" s="47"/>
      <c r="AN31" s="47"/>
      <c r="AO31" s="15"/>
      <c r="AP31" s="15"/>
      <c r="AQ31" s="15"/>
      <c r="AR31" s="15" t="s">
        <v>76</v>
      </c>
      <c r="AS31" s="15" t="s">
        <v>40</v>
      </c>
      <c r="AT31" s="15" t="s">
        <v>74</v>
      </c>
      <c r="AU31" s="15" t="s">
        <v>77</v>
      </c>
      <c r="AV31" s="15" t="s">
        <v>78</v>
      </c>
      <c r="AW31" s="15" t="s">
        <v>76</v>
      </c>
      <c r="AX31" s="15" t="s">
        <v>40</v>
      </c>
      <c r="AY31" s="15" t="s">
        <v>74</v>
      </c>
      <c r="AZ31" s="15" t="s">
        <v>77</v>
      </c>
      <c r="BA31" s="15" t="s">
        <v>78</v>
      </c>
      <c r="BB31" s="15" t="s">
        <v>79</v>
      </c>
      <c r="BC31" s="15"/>
      <c r="BD31" s="15">
        <v>9</v>
      </c>
      <c r="BE31" s="7">
        <f t="shared" si="1"/>
        <v>3</v>
      </c>
    </row>
    <row r="32" spans="1:57" x14ac:dyDescent="0.25">
      <c r="B32" s="239"/>
      <c r="C32" s="240"/>
      <c r="D32" s="241"/>
      <c r="H32" s="7">
        <f t="shared" si="0"/>
        <v>0</v>
      </c>
      <c r="I32" s="23">
        <v>1418</v>
      </c>
      <c r="J32" s="15" t="s">
        <v>69</v>
      </c>
      <c r="K32" s="15" t="s">
        <v>80</v>
      </c>
      <c r="L32" s="35" t="s">
        <v>769</v>
      </c>
      <c r="M32" s="16">
        <v>0.33333333333333331</v>
      </c>
      <c r="N32" s="16">
        <v>0.70833333333333337</v>
      </c>
      <c r="O32" s="15" t="s">
        <v>71</v>
      </c>
      <c r="P32" s="24">
        <v>5039883660</v>
      </c>
      <c r="Q32" s="15"/>
      <c r="R32" s="24">
        <v>5033785628</v>
      </c>
      <c r="S32" s="35" t="s">
        <v>1111</v>
      </c>
      <c r="T32" s="18">
        <v>2</v>
      </c>
      <c r="U32" s="35" t="s">
        <v>1153</v>
      </c>
      <c r="V32" s="15" t="s">
        <v>101</v>
      </c>
      <c r="W32" s="15" t="s">
        <v>102</v>
      </c>
      <c r="X32" s="15" t="s">
        <v>97</v>
      </c>
      <c r="Y32" s="15" t="s">
        <v>74</v>
      </c>
      <c r="Z32" s="15">
        <v>97215</v>
      </c>
      <c r="AA32" s="15" t="s">
        <v>98</v>
      </c>
      <c r="AB32" s="15"/>
      <c r="AC32" s="15"/>
      <c r="AD32" s="15"/>
      <c r="AE32" s="15"/>
      <c r="AF32" s="15"/>
      <c r="AG32" s="15"/>
      <c r="AH32" s="15"/>
      <c r="AI32" s="15"/>
      <c r="AJ32" s="47"/>
      <c r="AK32" s="47"/>
      <c r="AL32" s="47"/>
      <c r="AM32" s="47"/>
      <c r="AN32" s="47"/>
      <c r="AO32" s="15"/>
      <c r="AP32" s="15"/>
      <c r="AQ32" s="15"/>
      <c r="AR32" s="15" t="s">
        <v>76</v>
      </c>
      <c r="AS32" s="15" t="s">
        <v>40</v>
      </c>
      <c r="AT32" s="15" t="s">
        <v>74</v>
      </c>
      <c r="AU32" s="15" t="s">
        <v>77</v>
      </c>
      <c r="AV32" s="15" t="s">
        <v>78</v>
      </c>
      <c r="AW32" s="15" t="s">
        <v>76</v>
      </c>
      <c r="AX32" s="15" t="s">
        <v>40</v>
      </c>
      <c r="AY32" s="15" t="s">
        <v>74</v>
      </c>
      <c r="AZ32" s="15" t="s">
        <v>77</v>
      </c>
      <c r="BA32" s="15" t="s">
        <v>78</v>
      </c>
      <c r="BB32" s="15" t="s">
        <v>79</v>
      </c>
      <c r="BC32" s="15"/>
      <c r="BD32" s="15">
        <v>10</v>
      </c>
      <c r="BE32" s="7">
        <f t="shared" si="1"/>
        <v>11</v>
      </c>
    </row>
    <row r="33" spans="2:57" ht="15" customHeight="1" x14ac:dyDescent="0.25">
      <c r="B33" s="242"/>
      <c r="C33" s="243"/>
      <c r="D33" s="244"/>
      <c r="H33" s="7">
        <f t="shared" si="0"/>
        <v>0</v>
      </c>
      <c r="I33" s="23">
        <v>2518</v>
      </c>
      <c r="J33" s="15" t="s">
        <v>69</v>
      </c>
      <c r="K33" s="15" t="s">
        <v>80</v>
      </c>
      <c r="L33" s="35" t="s">
        <v>770</v>
      </c>
      <c r="M33" s="16">
        <v>0.33333333333333331</v>
      </c>
      <c r="N33" s="16">
        <v>0.70833333333333337</v>
      </c>
      <c r="O33" s="15" t="s">
        <v>71</v>
      </c>
      <c r="P33" s="24">
        <v>5039882518</v>
      </c>
      <c r="Q33" s="15"/>
      <c r="R33" s="24">
        <v>5039883560</v>
      </c>
      <c r="S33" s="35" t="s">
        <v>1112</v>
      </c>
      <c r="T33" s="18">
        <v>2</v>
      </c>
      <c r="U33" s="35" t="s">
        <v>1136</v>
      </c>
      <c r="V33" s="15" t="s">
        <v>1117</v>
      </c>
      <c r="W33" s="15" t="s">
        <v>120</v>
      </c>
      <c r="X33" s="15" t="s">
        <v>97</v>
      </c>
      <c r="Y33" s="15" t="s">
        <v>74</v>
      </c>
      <c r="Z33" s="15">
        <v>97204</v>
      </c>
      <c r="AA33" s="15" t="s">
        <v>98</v>
      </c>
      <c r="AB33" s="15"/>
      <c r="AC33" s="15"/>
      <c r="AD33" s="15"/>
      <c r="AE33" s="15"/>
      <c r="AF33" s="15"/>
      <c r="AG33" s="15"/>
      <c r="AH33" s="15"/>
      <c r="AI33" s="15"/>
      <c r="AJ33" s="47"/>
      <c r="AK33" s="47"/>
      <c r="AL33" s="47"/>
      <c r="AM33" s="47"/>
      <c r="AN33" s="47"/>
      <c r="AO33" s="15"/>
      <c r="AP33" s="15"/>
      <c r="AQ33" s="15"/>
      <c r="AR33" s="15" t="s">
        <v>76</v>
      </c>
      <c r="AS33" s="15" t="s">
        <v>40</v>
      </c>
      <c r="AT33" s="15" t="s">
        <v>74</v>
      </c>
      <c r="AU33" s="15" t="s">
        <v>77</v>
      </c>
      <c r="AV33" s="15" t="s">
        <v>78</v>
      </c>
      <c r="AW33" s="15" t="s">
        <v>76</v>
      </c>
      <c r="AX33" s="15" t="s">
        <v>40</v>
      </c>
      <c r="AY33" s="15" t="s">
        <v>74</v>
      </c>
      <c r="AZ33" s="15" t="s">
        <v>77</v>
      </c>
      <c r="BA33" s="15" t="s">
        <v>78</v>
      </c>
      <c r="BB33" s="15" t="s">
        <v>79</v>
      </c>
      <c r="BC33" s="15"/>
      <c r="BD33" s="15">
        <v>11</v>
      </c>
      <c r="BE33" s="7">
        <f t="shared" si="1"/>
        <v>3</v>
      </c>
    </row>
    <row r="34" spans="2:57" x14ac:dyDescent="0.25">
      <c r="B34" s="37"/>
      <c r="C34" s="37"/>
      <c r="D34" s="37"/>
      <c r="H34" s="7">
        <f t="shared" si="0"/>
        <v>71</v>
      </c>
      <c r="I34" s="23">
        <v>2601</v>
      </c>
      <c r="J34" s="15" t="s">
        <v>69</v>
      </c>
      <c r="K34" s="15" t="s">
        <v>732</v>
      </c>
      <c r="L34" s="35" t="s">
        <v>1581</v>
      </c>
      <c r="M34" s="16">
        <v>0.33333333333333331</v>
      </c>
      <c r="N34" s="16">
        <v>0.70833333333333337</v>
      </c>
      <c r="O34" s="15" t="s">
        <v>71</v>
      </c>
      <c r="P34" s="24">
        <v>9716735500</v>
      </c>
      <c r="Q34" s="15"/>
      <c r="R34" s="34" t="s">
        <v>694</v>
      </c>
      <c r="S34" s="35" t="s">
        <v>1124</v>
      </c>
      <c r="T34" s="18">
        <v>2</v>
      </c>
      <c r="U34" s="35" t="s">
        <v>103</v>
      </c>
      <c r="V34" s="15" t="s">
        <v>104</v>
      </c>
      <c r="W34" s="15"/>
      <c r="X34" s="15" t="s">
        <v>97</v>
      </c>
      <c r="Y34" s="15" t="s">
        <v>74</v>
      </c>
      <c r="Z34" s="15">
        <v>97203</v>
      </c>
      <c r="AA34" s="15" t="s">
        <v>98</v>
      </c>
      <c r="AB34" s="15" t="s">
        <v>1504</v>
      </c>
      <c r="AC34" s="15" t="s">
        <v>1505</v>
      </c>
      <c r="AD34" s="15"/>
      <c r="AE34" s="15"/>
      <c r="AF34" s="15"/>
      <c r="AG34" s="15"/>
      <c r="AH34" s="15"/>
      <c r="AI34" s="15"/>
      <c r="AJ34" s="47" t="s">
        <v>1480</v>
      </c>
      <c r="AK34" s="47" t="s">
        <v>1506</v>
      </c>
      <c r="AL34" s="47"/>
      <c r="AM34" s="47"/>
      <c r="AN34" s="47"/>
      <c r="AO34" s="15"/>
      <c r="AP34" s="15"/>
      <c r="AQ34" s="15"/>
      <c r="AR34" s="15" t="s">
        <v>76</v>
      </c>
      <c r="AS34" s="15" t="s">
        <v>40</v>
      </c>
      <c r="AT34" s="15" t="s">
        <v>74</v>
      </c>
      <c r="AU34" s="15" t="s">
        <v>77</v>
      </c>
      <c r="AV34" s="15" t="s">
        <v>78</v>
      </c>
      <c r="AW34" s="15" t="s">
        <v>76</v>
      </c>
      <c r="AX34" s="15" t="s">
        <v>40</v>
      </c>
      <c r="AY34" s="15" t="s">
        <v>74</v>
      </c>
      <c r="AZ34" s="15" t="s">
        <v>77</v>
      </c>
      <c r="BA34" s="15" t="s">
        <v>78</v>
      </c>
      <c r="BB34" s="15" t="s">
        <v>79</v>
      </c>
      <c r="BC34" s="15"/>
      <c r="BD34" s="15">
        <v>12</v>
      </c>
      <c r="BE34" s="7">
        <f t="shared" si="1"/>
        <v>5</v>
      </c>
    </row>
    <row r="35" spans="2:57" x14ac:dyDescent="0.25">
      <c r="B35" s="37" t="s">
        <v>1857</v>
      </c>
      <c r="C35" s="37"/>
      <c r="D35" s="37"/>
      <c r="H35" s="7">
        <f t="shared" si="0"/>
        <v>135</v>
      </c>
      <c r="I35" s="23">
        <v>2801</v>
      </c>
      <c r="J35" s="15" t="s">
        <v>69</v>
      </c>
      <c r="K35" s="15" t="s">
        <v>732</v>
      </c>
      <c r="L35" s="35" t="s">
        <v>1573</v>
      </c>
      <c r="M35" s="16">
        <v>0.33333333333333331</v>
      </c>
      <c r="N35" s="16">
        <v>0.70833333333333337</v>
      </c>
      <c r="O35" s="15" t="s">
        <v>71</v>
      </c>
      <c r="P35" s="24">
        <v>9716735722</v>
      </c>
      <c r="Q35" s="15"/>
      <c r="R35" s="24">
        <v>5033785628</v>
      </c>
      <c r="S35" s="35" t="s">
        <v>1123</v>
      </c>
      <c r="T35" s="18">
        <v>2</v>
      </c>
      <c r="U35" s="35" t="s">
        <v>1416</v>
      </c>
      <c r="V35" s="15" t="s">
        <v>1152</v>
      </c>
      <c r="W35" s="15"/>
      <c r="X35" s="15" t="s">
        <v>97</v>
      </c>
      <c r="Y35" s="15" t="s">
        <v>74</v>
      </c>
      <c r="Z35" s="15">
        <v>97218</v>
      </c>
      <c r="AA35" s="15" t="s">
        <v>98</v>
      </c>
      <c r="AB35" s="15" t="s">
        <v>1749</v>
      </c>
      <c r="AC35" s="15" t="s">
        <v>1750</v>
      </c>
      <c r="AD35" s="15" t="s">
        <v>1751</v>
      </c>
      <c r="AE35" s="15" t="s">
        <v>1752</v>
      </c>
      <c r="AF35" s="15"/>
      <c r="AG35" s="15"/>
      <c r="AH35" s="15"/>
      <c r="AI35" s="15"/>
      <c r="AJ35" s="47" t="s">
        <v>1753</v>
      </c>
      <c r="AK35" s="47" t="s">
        <v>1742</v>
      </c>
      <c r="AL35" s="47" t="s">
        <v>1754</v>
      </c>
      <c r="AM35" s="47" t="s">
        <v>1755</v>
      </c>
      <c r="AN35" s="47"/>
      <c r="AO35" s="15"/>
      <c r="AP35" s="15"/>
      <c r="AQ35" s="15"/>
      <c r="AR35" s="15" t="s">
        <v>76</v>
      </c>
      <c r="AS35" s="15" t="s">
        <v>40</v>
      </c>
      <c r="AT35" s="15" t="s">
        <v>74</v>
      </c>
      <c r="AU35" s="15" t="s">
        <v>77</v>
      </c>
      <c r="AV35" s="15" t="s">
        <v>78</v>
      </c>
      <c r="AW35" s="15" t="s">
        <v>76</v>
      </c>
      <c r="AX35" s="15" t="s">
        <v>40</v>
      </c>
      <c r="AY35" s="15" t="s">
        <v>74</v>
      </c>
      <c r="AZ35" s="15" t="s">
        <v>77</v>
      </c>
      <c r="BA35" s="15" t="s">
        <v>78</v>
      </c>
      <c r="BB35" s="15" t="s">
        <v>79</v>
      </c>
      <c r="BC35" s="15"/>
      <c r="BD35" s="15">
        <v>13</v>
      </c>
      <c r="BE35" s="7">
        <f t="shared" si="1"/>
        <v>6</v>
      </c>
    </row>
    <row r="36" spans="2:57" x14ac:dyDescent="0.25">
      <c r="B36" s="236" t="s">
        <v>1848</v>
      </c>
      <c r="C36" s="237"/>
      <c r="D36" s="238"/>
      <c r="H36" s="7">
        <f t="shared" si="0"/>
        <v>0</v>
      </c>
      <c r="I36" s="23">
        <v>2818</v>
      </c>
      <c r="J36" s="15" t="s">
        <v>69</v>
      </c>
      <c r="K36" s="15" t="s">
        <v>80</v>
      </c>
      <c r="L36" s="35" t="s">
        <v>771</v>
      </c>
      <c r="M36" s="16">
        <v>0.33333333333333331</v>
      </c>
      <c r="N36" s="16">
        <v>0.70833333333333337</v>
      </c>
      <c r="O36" s="15" t="s">
        <v>71</v>
      </c>
      <c r="P36" s="24">
        <v>5039885470</v>
      </c>
      <c r="Q36" s="15"/>
      <c r="R36" s="54">
        <v>5033785628</v>
      </c>
      <c r="S36" s="35" t="s">
        <v>1113</v>
      </c>
      <c r="T36" s="18">
        <v>2</v>
      </c>
      <c r="U36" s="35" t="s">
        <v>684</v>
      </c>
      <c r="V36" s="15" t="s">
        <v>105</v>
      </c>
      <c r="W36" s="15" t="s">
        <v>106</v>
      </c>
      <c r="X36" s="15" t="s">
        <v>97</v>
      </c>
      <c r="Y36" s="15" t="s">
        <v>74</v>
      </c>
      <c r="Z36" s="15">
        <v>97211</v>
      </c>
      <c r="AA36" s="15" t="s">
        <v>98</v>
      </c>
      <c r="AB36" s="15"/>
      <c r="AC36" s="15"/>
      <c r="AD36" s="15"/>
      <c r="AE36" s="15"/>
      <c r="AF36" s="15"/>
      <c r="AG36" s="15"/>
      <c r="AH36" s="15"/>
      <c r="AI36" s="15"/>
      <c r="AJ36" s="47"/>
      <c r="AK36" s="47"/>
      <c r="AL36" s="47"/>
      <c r="AM36" s="47"/>
      <c r="AN36" s="47"/>
      <c r="AO36" s="15"/>
      <c r="AP36" s="15"/>
      <c r="AQ36" s="15"/>
      <c r="AR36" s="15" t="s">
        <v>76</v>
      </c>
      <c r="AS36" s="15" t="s">
        <v>40</v>
      </c>
      <c r="AT36" s="15" t="s">
        <v>74</v>
      </c>
      <c r="AU36" s="15" t="s">
        <v>77</v>
      </c>
      <c r="AV36" s="15" t="s">
        <v>78</v>
      </c>
      <c r="AW36" s="15" t="s">
        <v>76</v>
      </c>
      <c r="AX36" s="15" t="s">
        <v>40</v>
      </c>
      <c r="AY36" s="15" t="s">
        <v>74</v>
      </c>
      <c r="AZ36" s="15" t="s">
        <v>77</v>
      </c>
      <c r="BA36" s="15" t="s">
        <v>78</v>
      </c>
      <c r="BB36" s="15" t="s">
        <v>79</v>
      </c>
      <c r="BC36" s="15"/>
      <c r="BD36" s="15">
        <v>14</v>
      </c>
      <c r="BE36" s="7">
        <f t="shared" si="1"/>
        <v>6</v>
      </c>
    </row>
    <row r="37" spans="2:57" x14ac:dyDescent="0.25">
      <c r="B37" s="239"/>
      <c r="C37" s="240"/>
      <c r="D37" s="241"/>
      <c r="H37" s="7">
        <f t="shared" si="0"/>
        <v>91</v>
      </c>
      <c r="I37" s="23">
        <v>3501</v>
      </c>
      <c r="J37" s="15" t="s">
        <v>69</v>
      </c>
      <c r="K37" s="15" t="s">
        <v>732</v>
      </c>
      <c r="L37" s="35" t="s">
        <v>1582</v>
      </c>
      <c r="M37" s="16">
        <v>0.33333333333333331</v>
      </c>
      <c r="N37" s="16">
        <v>0.70833333333333337</v>
      </c>
      <c r="O37" s="15" t="s">
        <v>71</v>
      </c>
      <c r="P37" s="24">
        <v>9716730909</v>
      </c>
      <c r="Q37" s="15"/>
      <c r="R37" s="54">
        <v>5033785628</v>
      </c>
      <c r="S37" s="35" t="s">
        <v>1127</v>
      </c>
      <c r="T37" s="18">
        <v>2</v>
      </c>
      <c r="U37" s="35" t="s">
        <v>1129</v>
      </c>
      <c r="V37" s="15" t="s">
        <v>107</v>
      </c>
      <c r="W37" s="15"/>
      <c r="X37" s="15" t="s">
        <v>97</v>
      </c>
      <c r="Y37" s="15" t="s">
        <v>74</v>
      </c>
      <c r="Z37" s="15">
        <v>97220</v>
      </c>
      <c r="AA37" s="15" t="s">
        <v>98</v>
      </c>
      <c r="AB37" s="15" t="s">
        <v>1838</v>
      </c>
      <c r="AC37" s="15" t="s">
        <v>1839</v>
      </c>
      <c r="AD37" s="15" t="s">
        <v>1856</v>
      </c>
      <c r="AE37" s="15"/>
      <c r="AF37" s="15"/>
      <c r="AG37" s="15"/>
      <c r="AH37" s="15"/>
      <c r="AI37" s="15"/>
      <c r="AJ37" s="89" t="s">
        <v>1840</v>
      </c>
      <c r="AK37" s="47" t="s">
        <v>1842</v>
      </c>
      <c r="AL37" s="47" t="s">
        <v>1841</v>
      </c>
      <c r="AM37" s="47"/>
      <c r="AN37" s="47"/>
      <c r="AO37" s="47"/>
      <c r="AP37" s="47"/>
      <c r="AQ37" s="47"/>
      <c r="AR37" s="15" t="s">
        <v>76</v>
      </c>
      <c r="AS37" s="15" t="s">
        <v>40</v>
      </c>
      <c r="AT37" s="15" t="s">
        <v>74</v>
      </c>
      <c r="AU37" s="15" t="s">
        <v>77</v>
      </c>
      <c r="AV37" s="15" t="s">
        <v>78</v>
      </c>
      <c r="AW37" s="15" t="s">
        <v>76</v>
      </c>
      <c r="AX37" s="15" t="s">
        <v>40</v>
      </c>
      <c r="AY37" s="15" t="s">
        <v>74</v>
      </c>
      <c r="AZ37" s="15" t="s">
        <v>77</v>
      </c>
      <c r="BA37" s="15" t="s">
        <v>78</v>
      </c>
      <c r="BB37" s="15" t="s">
        <v>79</v>
      </c>
      <c r="BC37" s="15"/>
      <c r="BD37" s="15">
        <v>15</v>
      </c>
      <c r="BE37" s="7">
        <f t="shared" si="1"/>
        <v>7</v>
      </c>
    </row>
    <row r="38" spans="2:57" x14ac:dyDescent="0.25">
      <c r="B38" s="239"/>
      <c r="C38" s="240"/>
      <c r="D38" s="241"/>
      <c r="H38" s="7">
        <f t="shared" si="0"/>
        <v>68</v>
      </c>
      <c r="I38" s="23">
        <v>3502</v>
      </c>
      <c r="J38" s="15" t="s">
        <v>69</v>
      </c>
      <c r="K38" s="15" t="s">
        <v>732</v>
      </c>
      <c r="L38" s="35" t="s">
        <v>1574</v>
      </c>
      <c r="M38" s="16">
        <v>0.33333333333333331</v>
      </c>
      <c r="N38" s="16">
        <v>0.70833333333333337</v>
      </c>
      <c r="O38" s="15" t="s">
        <v>71</v>
      </c>
      <c r="P38" s="24">
        <v>9716738500</v>
      </c>
      <c r="Q38" s="15"/>
      <c r="R38" s="24">
        <v>5034910132</v>
      </c>
      <c r="S38" s="35" t="s">
        <v>1063</v>
      </c>
      <c r="T38" s="18">
        <v>2</v>
      </c>
      <c r="U38" s="35" t="s">
        <v>1130</v>
      </c>
      <c r="V38" s="15" t="s">
        <v>978</v>
      </c>
      <c r="W38" s="15" t="s">
        <v>102</v>
      </c>
      <c r="X38" s="15" t="s">
        <v>306</v>
      </c>
      <c r="Y38" s="15" t="s">
        <v>74</v>
      </c>
      <c r="Z38" s="15">
        <v>97030</v>
      </c>
      <c r="AA38" s="15" t="s">
        <v>98</v>
      </c>
      <c r="AB38" s="15" t="s">
        <v>1515</v>
      </c>
      <c r="AC38" s="15" t="s">
        <v>1378</v>
      </c>
      <c r="AD38" s="15"/>
      <c r="AE38" s="15"/>
      <c r="AF38" s="15"/>
      <c r="AG38" s="15"/>
      <c r="AH38" s="15"/>
      <c r="AI38" s="15"/>
      <c r="AJ38" s="15" t="s">
        <v>1693</v>
      </c>
      <c r="AK38" s="47" t="s">
        <v>1694</v>
      </c>
      <c r="AL38" s="47"/>
      <c r="AM38" s="47"/>
      <c r="AN38" s="47"/>
      <c r="AO38" s="15"/>
      <c r="AP38" s="15"/>
      <c r="AQ38" s="15"/>
      <c r="AR38" s="15" t="s">
        <v>76</v>
      </c>
      <c r="AS38" s="15" t="s">
        <v>40</v>
      </c>
      <c r="AT38" s="15" t="s">
        <v>74</v>
      </c>
      <c r="AU38" s="15" t="s">
        <v>77</v>
      </c>
      <c r="AV38" s="15" t="s">
        <v>78</v>
      </c>
      <c r="AW38" s="15" t="s">
        <v>76</v>
      </c>
      <c r="AX38" s="15" t="s">
        <v>40</v>
      </c>
      <c r="AY38" s="15" t="s">
        <v>74</v>
      </c>
      <c r="AZ38" s="15" t="s">
        <v>77</v>
      </c>
      <c r="BA38" s="15" t="s">
        <v>78</v>
      </c>
      <c r="BB38" s="15" t="s">
        <v>79</v>
      </c>
      <c r="BC38" s="15"/>
      <c r="BD38" s="15"/>
    </row>
    <row r="39" spans="2:57" x14ac:dyDescent="0.25">
      <c r="B39" s="242"/>
      <c r="C39" s="243"/>
      <c r="D39" s="244"/>
      <c r="H39" s="7">
        <f t="shared" si="0"/>
        <v>0</v>
      </c>
      <c r="I39" s="23">
        <v>3515</v>
      </c>
      <c r="J39" s="15" t="s">
        <v>69</v>
      </c>
      <c r="K39" s="15" t="s">
        <v>80</v>
      </c>
      <c r="L39" s="35" t="s">
        <v>772</v>
      </c>
      <c r="M39" s="16">
        <v>0.33333333333333331</v>
      </c>
      <c r="N39" s="16">
        <v>0.70833333333333337</v>
      </c>
      <c r="O39" s="15" t="s">
        <v>71</v>
      </c>
      <c r="P39" s="34" t="s">
        <v>677</v>
      </c>
      <c r="Q39" s="15"/>
      <c r="R39" s="103" t="s">
        <v>678</v>
      </c>
      <c r="S39" s="35" t="s">
        <v>1114</v>
      </c>
      <c r="T39" s="18">
        <v>2</v>
      </c>
      <c r="U39" s="35" t="s">
        <v>1415</v>
      </c>
      <c r="V39" s="35" t="s">
        <v>1277</v>
      </c>
      <c r="W39" s="35"/>
      <c r="X39" s="35" t="s">
        <v>97</v>
      </c>
      <c r="Y39" s="35" t="s">
        <v>74</v>
      </c>
      <c r="Z39" s="15">
        <v>97220</v>
      </c>
      <c r="AA39" s="15" t="s">
        <v>98</v>
      </c>
      <c r="AB39" s="15"/>
      <c r="AC39" s="15"/>
      <c r="AD39" s="15"/>
      <c r="AE39" s="15"/>
      <c r="AF39" s="15"/>
      <c r="AG39" s="15"/>
      <c r="AH39" s="15"/>
      <c r="AI39" s="15"/>
      <c r="AJ39" s="15"/>
      <c r="AK39" s="47"/>
      <c r="AL39" s="47"/>
      <c r="AM39" s="47"/>
      <c r="AN39" s="47"/>
      <c r="AO39" s="15"/>
      <c r="AP39" s="15"/>
      <c r="AQ39" s="15"/>
      <c r="AR39" s="15"/>
      <c r="AS39" s="15"/>
      <c r="AT39" s="15"/>
      <c r="AU39" s="15"/>
      <c r="AV39" s="15"/>
      <c r="AW39" s="15"/>
      <c r="AX39" s="15"/>
      <c r="AY39" s="15"/>
      <c r="AZ39" s="15"/>
      <c r="BA39" s="15"/>
      <c r="BB39" s="15"/>
      <c r="BC39" s="15"/>
      <c r="BD39" s="15"/>
      <c r="BE39" s="7">
        <f>COUNTIF($T$22:$T$126,BD39)</f>
        <v>0</v>
      </c>
    </row>
    <row r="40" spans="2:57" ht="15" customHeight="1" x14ac:dyDescent="0.25">
      <c r="B40" s="37"/>
      <c r="C40" s="37"/>
      <c r="D40" s="37"/>
      <c r="H40" s="7">
        <f t="shared" si="0"/>
        <v>0</v>
      </c>
      <c r="I40" s="23">
        <v>3518</v>
      </c>
      <c r="J40" s="15" t="s">
        <v>69</v>
      </c>
      <c r="K40" s="15" t="s">
        <v>80</v>
      </c>
      <c r="L40" s="35" t="s">
        <v>773</v>
      </c>
      <c r="M40" s="16">
        <v>0.33333333333333331</v>
      </c>
      <c r="N40" s="16">
        <v>0.70833333333333337</v>
      </c>
      <c r="O40" s="15" t="s">
        <v>71</v>
      </c>
      <c r="P40" s="33" t="s">
        <v>675</v>
      </c>
      <c r="Q40" s="15"/>
      <c r="R40" s="55" t="s">
        <v>676</v>
      </c>
      <c r="S40" s="35" t="s">
        <v>1115</v>
      </c>
      <c r="T40" s="18">
        <v>2</v>
      </c>
      <c r="U40" s="36" t="s">
        <v>996</v>
      </c>
      <c r="V40" t="s">
        <v>673</v>
      </c>
      <c r="W40" s="15" t="s">
        <v>674</v>
      </c>
      <c r="X40" t="s">
        <v>306</v>
      </c>
      <c r="Y40" s="15" t="s">
        <v>74</v>
      </c>
      <c r="Z40" s="15">
        <v>97030</v>
      </c>
      <c r="AA40" s="15" t="s">
        <v>98</v>
      </c>
      <c r="AB40" s="15"/>
      <c r="AC40" s="15"/>
      <c r="AD40" s="15"/>
      <c r="AE40" s="15"/>
      <c r="AF40" s="15"/>
      <c r="AG40" s="15"/>
      <c r="AH40" s="15"/>
      <c r="AI40" s="15"/>
      <c r="AJ40" s="15"/>
      <c r="AK40" s="47"/>
      <c r="AL40" s="47"/>
      <c r="AM40" s="47"/>
      <c r="AN40" s="47"/>
      <c r="AO40" s="15"/>
      <c r="AP40" s="15"/>
      <c r="AQ40" s="15"/>
      <c r="AR40" s="15"/>
      <c r="AS40" s="15"/>
      <c r="AT40" s="15"/>
      <c r="AU40" s="15"/>
      <c r="AV40" s="15"/>
      <c r="AW40" s="15"/>
      <c r="AX40" s="15"/>
      <c r="AY40" s="15"/>
      <c r="AZ40" s="15"/>
      <c r="BA40" s="15"/>
      <c r="BB40" s="15"/>
      <c r="BC40" s="15"/>
      <c r="BD40" s="15"/>
      <c r="BE40" s="7">
        <f>COUNTIF($T$22:$T$126,BD41)</f>
        <v>6</v>
      </c>
    </row>
    <row r="41" spans="2:57" x14ac:dyDescent="0.25">
      <c r="B41" s="37" t="s">
        <v>1760</v>
      </c>
      <c r="C41" s="37"/>
      <c r="D41" s="37"/>
      <c r="H41" s="7">
        <f t="shared" si="0"/>
        <v>69</v>
      </c>
      <c r="I41" s="23">
        <v>1901</v>
      </c>
      <c r="J41" s="15" t="s">
        <v>69</v>
      </c>
      <c r="K41" s="15" t="s">
        <v>732</v>
      </c>
      <c r="L41" s="35" t="s">
        <v>1583</v>
      </c>
      <c r="M41" s="16">
        <v>0.33333333333333331</v>
      </c>
      <c r="N41" s="16">
        <v>0.70833333333333337</v>
      </c>
      <c r="O41" s="15" t="s">
        <v>71</v>
      </c>
      <c r="P41" s="24">
        <v>5039806677</v>
      </c>
      <c r="Q41" s="15"/>
      <c r="R41" s="24">
        <v>5033785628</v>
      </c>
      <c r="S41" s="35" t="s">
        <v>1180</v>
      </c>
      <c r="T41" s="18">
        <v>3</v>
      </c>
      <c r="U41" s="35" t="s">
        <v>820</v>
      </c>
      <c r="V41" s="15" t="s">
        <v>108</v>
      </c>
      <c r="W41" s="15" t="s">
        <v>109</v>
      </c>
      <c r="X41" s="15" t="s">
        <v>110</v>
      </c>
      <c r="Y41" s="15" t="s">
        <v>74</v>
      </c>
      <c r="Z41" s="15">
        <v>97071</v>
      </c>
      <c r="AA41" s="15" t="s">
        <v>78</v>
      </c>
      <c r="AB41" s="15" t="s">
        <v>1328</v>
      </c>
      <c r="AC41" s="15" t="s">
        <v>1329</v>
      </c>
      <c r="AD41" s="15"/>
      <c r="AE41" s="15"/>
      <c r="AF41" s="15"/>
      <c r="AG41" s="15"/>
      <c r="AH41" s="15"/>
      <c r="AI41" s="15"/>
      <c r="AJ41" s="47" t="s">
        <v>1330</v>
      </c>
      <c r="AK41" s="47" t="s">
        <v>1331</v>
      </c>
      <c r="AL41" s="15"/>
      <c r="AM41" s="48"/>
      <c r="AN41" s="15"/>
      <c r="AO41" s="15"/>
      <c r="AP41" s="15"/>
      <c r="AQ41" s="15"/>
      <c r="AR41" s="15" t="s">
        <v>76</v>
      </c>
      <c r="AS41" s="15" t="s">
        <v>40</v>
      </c>
      <c r="AT41" s="15" t="s">
        <v>74</v>
      </c>
      <c r="AU41" s="15" t="s">
        <v>77</v>
      </c>
      <c r="AV41" s="15" t="s">
        <v>78</v>
      </c>
      <c r="AW41" s="15" t="s">
        <v>76</v>
      </c>
      <c r="AX41" s="15" t="s">
        <v>40</v>
      </c>
      <c r="AY41" s="15" t="s">
        <v>74</v>
      </c>
      <c r="AZ41" s="15" t="s">
        <v>77</v>
      </c>
      <c r="BA41" s="15" t="s">
        <v>78</v>
      </c>
      <c r="BB41" s="15" t="s">
        <v>83</v>
      </c>
      <c r="BC41" s="15"/>
      <c r="BD41" s="15">
        <v>16</v>
      </c>
    </row>
    <row r="42" spans="2:57" x14ac:dyDescent="0.25">
      <c r="B42" s="236" t="s">
        <v>1813</v>
      </c>
      <c r="C42" s="237"/>
      <c r="D42" s="238"/>
      <c r="H42" s="7">
        <f t="shared" si="0"/>
        <v>0</v>
      </c>
      <c r="I42" s="23">
        <v>1911</v>
      </c>
      <c r="J42" s="15" t="s">
        <v>69</v>
      </c>
      <c r="K42" s="15" t="s">
        <v>734</v>
      </c>
      <c r="L42" s="35" t="s">
        <v>736</v>
      </c>
      <c r="M42" s="16">
        <v>0.33333333333333331</v>
      </c>
      <c r="N42" s="16">
        <v>0.70833333333333337</v>
      </c>
      <c r="O42" s="15" t="s">
        <v>71</v>
      </c>
      <c r="P42" s="24">
        <v>5039815138</v>
      </c>
      <c r="Q42" s="15"/>
      <c r="R42" s="24">
        <v>5033785628</v>
      </c>
      <c r="S42" s="35" t="s">
        <v>1217</v>
      </c>
      <c r="T42" s="18">
        <v>3</v>
      </c>
      <c r="U42" s="35" t="s">
        <v>1507</v>
      </c>
      <c r="V42" s="15" t="s">
        <v>111</v>
      </c>
      <c r="W42" s="15"/>
      <c r="X42" s="15" t="s">
        <v>110</v>
      </c>
      <c r="Y42" s="15" t="s">
        <v>74</v>
      </c>
      <c r="Z42" s="15">
        <v>97071</v>
      </c>
      <c r="AA42" s="15" t="s">
        <v>78</v>
      </c>
      <c r="AB42" s="15"/>
      <c r="AC42" s="15"/>
      <c r="AD42" s="15"/>
      <c r="AE42" s="15"/>
      <c r="AF42" s="15"/>
      <c r="AG42" s="15"/>
      <c r="AH42" s="15"/>
      <c r="AI42" s="15"/>
      <c r="AJ42" s="15"/>
      <c r="AK42" s="15"/>
      <c r="AL42" s="15"/>
      <c r="AM42" s="48"/>
      <c r="AN42" s="15"/>
      <c r="AO42" s="15"/>
      <c r="AP42" s="15"/>
      <c r="AQ42" s="15"/>
      <c r="AR42" s="15" t="s">
        <v>76</v>
      </c>
      <c r="AS42" s="15" t="s">
        <v>40</v>
      </c>
      <c r="AT42" s="15" t="s">
        <v>74</v>
      </c>
      <c r="AU42" s="15" t="s">
        <v>77</v>
      </c>
      <c r="AV42" s="15" t="s">
        <v>78</v>
      </c>
      <c r="AW42" s="15" t="s">
        <v>76</v>
      </c>
      <c r="AX42" s="15" t="s">
        <v>40</v>
      </c>
      <c r="AY42" s="15" t="s">
        <v>74</v>
      </c>
      <c r="AZ42" s="15" t="s">
        <v>77</v>
      </c>
      <c r="BA42" s="15" t="s">
        <v>78</v>
      </c>
      <c r="BB42" s="15" t="s">
        <v>83</v>
      </c>
      <c r="BC42" s="15"/>
      <c r="BD42" s="15">
        <v>17</v>
      </c>
    </row>
    <row r="43" spans="2:57" x14ac:dyDescent="0.25">
      <c r="B43" s="239"/>
      <c r="C43" s="240"/>
      <c r="D43" s="241"/>
      <c r="H43" s="7">
        <f t="shared" si="0"/>
        <v>160</v>
      </c>
      <c r="I43" s="23">
        <v>2401</v>
      </c>
      <c r="J43" s="15" t="s">
        <v>69</v>
      </c>
      <c r="K43" s="15" t="s">
        <v>732</v>
      </c>
      <c r="L43" s="35" t="s">
        <v>1584</v>
      </c>
      <c r="M43" s="16">
        <v>0.33333333333333331</v>
      </c>
      <c r="N43" s="16">
        <v>0.70833333333333337</v>
      </c>
      <c r="O43" s="15" t="s">
        <v>71</v>
      </c>
      <c r="P43" s="24">
        <v>5033786327</v>
      </c>
      <c r="Q43" s="15"/>
      <c r="R43" s="24">
        <v>5033785628</v>
      </c>
      <c r="S43" s="35" t="s">
        <v>1183</v>
      </c>
      <c r="T43" s="18">
        <v>3</v>
      </c>
      <c r="U43" s="35" t="s">
        <v>1209</v>
      </c>
      <c r="V43" s="15" t="s">
        <v>1097</v>
      </c>
      <c r="W43" s="15" t="s">
        <v>112</v>
      </c>
      <c r="X43" s="15" t="s">
        <v>40</v>
      </c>
      <c r="Y43" s="15" t="s">
        <v>74</v>
      </c>
      <c r="Z43" s="15">
        <v>97301</v>
      </c>
      <c r="AA43" s="15" t="s">
        <v>78</v>
      </c>
      <c r="AB43" s="15" t="s">
        <v>1849</v>
      </c>
      <c r="AC43" s="15" t="s">
        <v>1684</v>
      </c>
      <c r="AD43" s="15" t="s">
        <v>1850</v>
      </c>
      <c r="AE43" s="15" t="s">
        <v>1851</v>
      </c>
      <c r="AF43" s="15" t="s">
        <v>1852</v>
      </c>
      <c r="AG43" s="15"/>
      <c r="AH43" s="15"/>
      <c r="AI43" s="15"/>
      <c r="AJ43" s="47" t="s">
        <v>1685</v>
      </c>
      <c r="AK43" s="47" t="s">
        <v>1686</v>
      </c>
      <c r="AL43" s="15" t="s">
        <v>1853</v>
      </c>
      <c r="AM43" s="48" t="s">
        <v>1854</v>
      </c>
      <c r="AN43" s="15" t="s">
        <v>1855</v>
      </c>
      <c r="AO43" s="15"/>
      <c r="AP43" s="15"/>
      <c r="AQ43" s="15"/>
      <c r="AR43" s="15" t="s">
        <v>76</v>
      </c>
      <c r="AS43" s="15" t="s">
        <v>40</v>
      </c>
      <c r="AT43" s="15" t="s">
        <v>74</v>
      </c>
      <c r="AU43" s="15" t="s">
        <v>77</v>
      </c>
      <c r="AV43" s="15" t="s">
        <v>78</v>
      </c>
      <c r="AW43" s="15" t="s">
        <v>76</v>
      </c>
      <c r="AX43" s="15" t="s">
        <v>40</v>
      </c>
      <c r="AY43" s="15" t="s">
        <v>74</v>
      </c>
      <c r="AZ43" s="15" t="s">
        <v>77</v>
      </c>
      <c r="BA43" s="15" t="s">
        <v>78</v>
      </c>
      <c r="BB43" s="15" t="s">
        <v>83</v>
      </c>
      <c r="BC43" s="15"/>
      <c r="BD43" s="15">
        <v>18</v>
      </c>
    </row>
    <row r="44" spans="2:57" x14ac:dyDescent="0.25">
      <c r="B44" s="239"/>
      <c r="C44" s="240"/>
      <c r="D44" s="241"/>
      <c r="H44" s="7">
        <f t="shared" si="0"/>
        <v>154</v>
      </c>
      <c r="I44" s="23">
        <v>2402</v>
      </c>
      <c r="J44" s="15" t="s">
        <v>69</v>
      </c>
      <c r="K44" s="15" t="s">
        <v>732</v>
      </c>
      <c r="L44" s="35" t="s">
        <v>1585</v>
      </c>
      <c r="M44" s="16">
        <v>0.33333333333333331</v>
      </c>
      <c r="N44" s="16">
        <v>0.70833333333333337</v>
      </c>
      <c r="O44" s="15" t="s">
        <v>71</v>
      </c>
      <c r="P44" s="24">
        <v>5033782731</v>
      </c>
      <c r="Q44" s="15"/>
      <c r="R44" s="24">
        <v>5033785095</v>
      </c>
      <c r="S44" s="35" t="s">
        <v>1218</v>
      </c>
      <c r="T44" s="18">
        <v>3</v>
      </c>
      <c r="U44" s="35" t="s">
        <v>693</v>
      </c>
      <c r="V44" s="15" t="s">
        <v>113</v>
      </c>
      <c r="W44" s="15" t="s">
        <v>114</v>
      </c>
      <c r="X44" s="15" t="s">
        <v>40</v>
      </c>
      <c r="Y44" s="15" t="s">
        <v>74</v>
      </c>
      <c r="Z44" s="15">
        <v>97305</v>
      </c>
      <c r="AA44" s="15" t="s">
        <v>78</v>
      </c>
      <c r="AB44" s="15" t="s">
        <v>1863</v>
      </c>
      <c r="AC44" s="15" t="s">
        <v>1864</v>
      </c>
      <c r="AD44" s="15" t="s">
        <v>1418</v>
      </c>
      <c r="AE44" s="15" t="s">
        <v>1476</v>
      </c>
      <c r="AF44" s="15" t="s">
        <v>1477</v>
      </c>
      <c r="AG44" s="15"/>
      <c r="AH44" s="15"/>
      <c r="AI44" s="15"/>
      <c r="AJ44" s="47" t="s">
        <v>1865</v>
      </c>
      <c r="AK44" s="47" t="s">
        <v>1866</v>
      </c>
      <c r="AL44" s="15" t="s">
        <v>1419</v>
      </c>
      <c r="AM44" s="48" t="s">
        <v>1478</v>
      </c>
      <c r="AN44" s="15" t="s">
        <v>1479</v>
      </c>
      <c r="AO44" s="15"/>
      <c r="AP44" s="15"/>
      <c r="AQ44" s="15"/>
      <c r="AR44" s="15" t="s">
        <v>76</v>
      </c>
      <c r="AS44" s="15" t="s">
        <v>40</v>
      </c>
      <c r="AT44" s="15" t="s">
        <v>74</v>
      </c>
      <c r="AU44" s="15" t="s">
        <v>77</v>
      </c>
      <c r="AV44" s="15" t="s">
        <v>78</v>
      </c>
      <c r="AW44" s="15" t="s">
        <v>76</v>
      </c>
      <c r="AX44" s="15" t="s">
        <v>40</v>
      </c>
      <c r="AY44" s="15" t="s">
        <v>74</v>
      </c>
      <c r="AZ44" s="15" t="s">
        <v>77</v>
      </c>
      <c r="BA44" s="15" t="s">
        <v>78</v>
      </c>
      <c r="BB44" s="15" t="s">
        <v>83</v>
      </c>
      <c r="BC44" s="15"/>
      <c r="BD44" s="15">
        <v>20</v>
      </c>
    </row>
    <row r="45" spans="2:57" x14ac:dyDescent="0.25">
      <c r="B45" s="239"/>
      <c r="C45" s="240"/>
      <c r="D45" s="241"/>
      <c r="H45" s="7">
        <f t="shared" si="0"/>
        <v>32</v>
      </c>
      <c r="I45" s="23">
        <v>2404</v>
      </c>
      <c r="J45" s="15" t="s">
        <v>69</v>
      </c>
      <c r="K45" s="15" t="s">
        <v>732</v>
      </c>
      <c r="L45" s="35" t="s">
        <v>1812</v>
      </c>
      <c r="M45" s="16">
        <v>0.33333333333333331</v>
      </c>
      <c r="N45" s="16">
        <v>0.70833333333333337</v>
      </c>
      <c r="O45" s="15" t="s">
        <v>71</v>
      </c>
      <c r="P45" s="24">
        <v>5039455631</v>
      </c>
      <c r="Q45" s="15"/>
      <c r="R45" s="24">
        <v>5039455642</v>
      </c>
      <c r="S45" s="35" t="s">
        <v>1219</v>
      </c>
      <c r="T45" s="18">
        <v>3</v>
      </c>
      <c r="U45" s="35" t="s">
        <v>115</v>
      </c>
      <c r="V45" s="15" t="s">
        <v>116</v>
      </c>
      <c r="W45" s="15" t="s">
        <v>72</v>
      </c>
      <c r="X45" s="15" t="s">
        <v>117</v>
      </c>
      <c r="Y45" s="15" t="s">
        <v>74</v>
      </c>
      <c r="Z45" s="15">
        <v>97385</v>
      </c>
      <c r="AA45" s="15" t="s">
        <v>78</v>
      </c>
      <c r="AB45" s="15" t="s">
        <v>1859</v>
      </c>
      <c r="AC45" s="15"/>
      <c r="AD45" s="15"/>
      <c r="AE45" s="15"/>
      <c r="AF45" s="15"/>
      <c r="AG45" s="15"/>
      <c r="AH45" s="15"/>
      <c r="AI45" s="15"/>
      <c r="AJ45" s="47" t="s">
        <v>1286</v>
      </c>
      <c r="AK45" s="15"/>
      <c r="AL45" s="15"/>
      <c r="AM45" s="15"/>
      <c r="AN45" s="15"/>
      <c r="AO45" s="15"/>
      <c r="AP45" s="15"/>
      <c r="AQ45" s="15"/>
      <c r="AR45" s="15" t="s">
        <v>76</v>
      </c>
      <c r="AS45" s="15" t="s">
        <v>40</v>
      </c>
      <c r="AT45" s="15" t="s">
        <v>74</v>
      </c>
      <c r="AU45" s="15" t="s">
        <v>77</v>
      </c>
      <c r="AV45" s="15" t="s">
        <v>78</v>
      </c>
      <c r="AW45" s="15" t="s">
        <v>76</v>
      </c>
      <c r="AX45" s="15" t="s">
        <v>40</v>
      </c>
      <c r="AY45" s="15" t="s">
        <v>74</v>
      </c>
      <c r="AZ45" s="15" t="s">
        <v>77</v>
      </c>
      <c r="BA45" s="15" t="s">
        <v>78</v>
      </c>
      <c r="BB45" s="15" t="s">
        <v>83</v>
      </c>
      <c r="BC45" s="15"/>
      <c r="BD45" s="15">
        <v>20</v>
      </c>
    </row>
    <row r="46" spans="2:57" x14ac:dyDescent="0.25">
      <c r="B46" s="239"/>
      <c r="C46" s="240"/>
      <c r="D46" s="241"/>
      <c r="H46" s="7">
        <f t="shared" si="0"/>
        <v>64</v>
      </c>
      <c r="I46" s="23">
        <v>2405</v>
      </c>
      <c r="J46" s="15" t="s">
        <v>69</v>
      </c>
      <c r="K46" s="15" t="s">
        <v>732</v>
      </c>
      <c r="L46" s="35" t="s">
        <v>1586</v>
      </c>
      <c r="M46" s="16">
        <v>0.33333333333333331</v>
      </c>
      <c r="N46" s="16">
        <v>0.70833333333333337</v>
      </c>
      <c r="O46" s="15" t="s">
        <v>71</v>
      </c>
      <c r="P46" s="24">
        <v>5033730808</v>
      </c>
      <c r="Q46" s="15"/>
      <c r="R46" s="24">
        <v>5033785628</v>
      </c>
      <c r="S46" s="35" t="s">
        <v>1184</v>
      </c>
      <c r="T46" s="18">
        <v>3</v>
      </c>
      <c r="U46" s="35" t="s">
        <v>118</v>
      </c>
      <c r="V46" s="15" t="s">
        <v>119</v>
      </c>
      <c r="W46" s="15" t="s">
        <v>120</v>
      </c>
      <c r="X46" s="15" t="s">
        <v>40</v>
      </c>
      <c r="Y46" s="15" t="s">
        <v>74</v>
      </c>
      <c r="Z46" s="15">
        <v>97303</v>
      </c>
      <c r="AA46" s="15" t="s">
        <v>78</v>
      </c>
      <c r="AB46" s="15" t="s">
        <v>1284</v>
      </c>
      <c r="AC46" s="15" t="s">
        <v>1860</v>
      </c>
      <c r="AD46" s="15"/>
      <c r="AE46" s="15"/>
      <c r="AF46" s="15"/>
      <c r="AG46" s="15"/>
      <c r="AH46" s="15"/>
      <c r="AI46" s="15"/>
      <c r="AJ46" s="47" t="s">
        <v>1861</v>
      </c>
      <c r="AK46" s="15" t="s">
        <v>1862</v>
      </c>
      <c r="AL46" s="15"/>
      <c r="AM46" s="48"/>
      <c r="AN46" s="15"/>
      <c r="AO46" s="15"/>
      <c r="AP46" s="15"/>
      <c r="AQ46" s="15"/>
      <c r="AR46" s="15" t="s">
        <v>76</v>
      </c>
      <c r="AS46" s="15" t="s">
        <v>40</v>
      </c>
      <c r="AT46" s="15" t="s">
        <v>74</v>
      </c>
      <c r="AU46" s="15" t="s">
        <v>77</v>
      </c>
      <c r="AV46" s="15" t="s">
        <v>78</v>
      </c>
      <c r="AW46" s="15" t="s">
        <v>76</v>
      </c>
      <c r="AX46" s="15" t="s">
        <v>40</v>
      </c>
      <c r="AY46" s="15" t="s">
        <v>74</v>
      </c>
      <c r="AZ46" s="15" t="s">
        <v>77</v>
      </c>
      <c r="BA46" s="15" t="s">
        <v>78</v>
      </c>
      <c r="BB46" s="15" t="s">
        <v>83</v>
      </c>
      <c r="BC46" s="15"/>
      <c r="BD46" s="15">
        <v>21</v>
      </c>
    </row>
    <row r="47" spans="2:57" x14ac:dyDescent="0.25">
      <c r="B47" s="239"/>
      <c r="C47" s="240"/>
      <c r="D47" s="241"/>
      <c r="H47" s="7">
        <f t="shared" si="0"/>
        <v>0</v>
      </c>
      <c r="I47" s="23">
        <v>2411</v>
      </c>
      <c r="J47" s="15" t="s">
        <v>69</v>
      </c>
      <c r="K47" s="15" t="s">
        <v>734</v>
      </c>
      <c r="L47" s="35" t="s">
        <v>737</v>
      </c>
      <c r="M47" s="16">
        <v>0.33333333333333331</v>
      </c>
      <c r="N47" s="16">
        <v>0.70833333333333337</v>
      </c>
      <c r="O47" s="15" t="s">
        <v>71</v>
      </c>
      <c r="P47" s="24">
        <v>5033043400</v>
      </c>
      <c r="Q47" s="15"/>
      <c r="R47" s="24">
        <v>5033785628</v>
      </c>
      <c r="S47" s="35" t="s">
        <v>1220</v>
      </c>
      <c r="T47" s="18">
        <v>3</v>
      </c>
      <c r="U47" s="35" t="s">
        <v>1208</v>
      </c>
      <c r="V47" s="15" t="s">
        <v>121</v>
      </c>
      <c r="W47" s="15"/>
      <c r="X47" s="15" t="s">
        <v>40</v>
      </c>
      <c r="Y47" s="15" t="s">
        <v>74</v>
      </c>
      <c r="Z47" s="15">
        <v>97303</v>
      </c>
      <c r="AA47" s="15" t="s">
        <v>78</v>
      </c>
      <c r="AB47" s="15"/>
      <c r="AC47" s="15"/>
      <c r="AD47" s="15"/>
      <c r="AE47" s="15"/>
      <c r="AF47" s="15"/>
      <c r="AG47" s="15"/>
      <c r="AH47" s="15"/>
      <c r="AI47" s="15"/>
      <c r="AJ47" s="15"/>
      <c r="AK47" s="15"/>
      <c r="AL47" s="15"/>
      <c r="AM47" s="48"/>
      <c r="AN47" s="15"/>
      <c r="AO47" s="15"/>
      <c r="AP47" s="15"/>
      <c r="AQ47" s="15"/>
      <c r="AR47" s="15" t="s">
        <v>76</v>
      </c>
      <c r="AS47" s="15" t="s">
        <v>40</v>
      </c>
      <c r="AT47" s="15" t="s">
        <v>74</v>
      </c>
      <c r="AU47" s="15" t="s">
        <v>77</v>
      </c>
      <c r="AV47" s="15" t="s">
        <v>78</v>
      </c>
      <c r="AW47" s="15" t="s">
        <v>76</v>
      </c>
      <c r="AX47" s="15" t="s">
        <v>40</v>
      </c>
      <c r="AY47" s="15" t="s">
        <v>74</v>
      </c>
      <c r="AZ47" s="15" t="s">
        <v>77</v>
      </c>
      <c r="BA47" s="15" t="s">
        <v>78</v>
      </c>
      <c r="BB47" s="15" t="s">
        <v>83</v>
      </c>
      <c r="BC47" s="15"/>
      <c r="BD47" s="15">
        <v>22</v>
      </c>
    </row>
    <row r="48" spans="2:57" x14ac:dyDescent="0.25">
      <c r="B48" s="239"/>
      <c r="C48" s="240"/>
      <c r="D48" s="241"/>
      <c r="H48" s="7">
        <f t="shared" si="0"/>
        <v>59</v>
      </c>
      <c r="I48" s="23">
        <v>2701</v>
      </c>
      <c r="J48" s="15" t="s">
        <v>69</v>
      </c>
      <c r="K48" s="15" t="s">
        <v>732</v>
      </c>
      <c r="L48" s="35" t="s">
        <v>1587</v>
      </c>
      <c r="M48" s="16">
        <v>0.33333333333333331</v>
      </c>
      <c r="N48" s="16">
        <v>0.70833333333333337</v>
      </c>
      <c r="O48" s="15" t="s">
        <v>71</v>
      </c>
      <c r="P48" s="24">
        <v>5036235526</v>
      </c>
      <c r="Q48" s="15"/>
      <c r="R48" s="24">
        <v>5033785628</v>
      </c>
      <c r="S48" s="35" t="s">
        <v>1181</v>
      </c>
      <c r="T48" s="18">
        <v>3</v>
      </c>
      <c r="U48" s="35" t="s">
        <v>821</v>
      </c>
      <c r="V48" s="15" t="s">
        <v>804</v>
      </c>
      <c r="W48" s="15"/>
      <c r="X48" s="15" t="s">
        <v>122</v>
      </c>
      <c r="Y48" s="15" t="s">
        <v>74</v>
      </c>
      <c r="Z48" s="15">
        <v>97338</v>
      </c>
      <c r="AA48" s="15" t="s">
        <v>123</v>
      </c>
      <c r="AB48" s="15" t="s">
        <v>1287</v>
      </c>
      <c r="AC48" s="15" t="s">
        <v>1288</v>
      </c>
      <c r="AD48" s="15"/>
      <c r="AE48" s="15"/>
      <c r="AF48" s="15"/>
      <c r="AG48" s="15"/>
      <c r="AH48" s="15"/>
      <c r="AI48" s="15"/>
      <c r="AJ48" s="46" t="s">
        <v>1289</v>
      </c>
      <c r="AK48" s="15" t="s">
        <v>1290</v>
      </c>
      <c r="AL48" s="15"/>
      <c r="AM48" s="48"/>
      <c r="AN48" s="15"/>
      <c r="AO48" s="15"/>
      <c r="AP48" s="15"/>
      <c r="AQ48" s="15"/>
      <c r="AR48" s="15" t="s">
        <v>76</v>
      </c>
      <c r="AS48" s="15" t="s">
        <v>40</v>
      </c>
      <c r="AT48" s="15" t="s">
        <v>74</v>
      </c>
      <c r="AU48" s="15" t="s">
        <v>77</v>
      </c>
      <c r="AV48" s="15" t="s">
        <v>78</v>
      </c>
      <c r="AW48" s="15" t="s">
        <v>76</v>
      </c>
      <c r="AX48" s="15" t="s">
        <v>40</v>
      </c>
      <c r="AY48" s="15" t="s">
        <v>74</v>
      </c>
      <c r="AZ48" s="15" t="s">
        <v>77</v>
      </c>
      <c r="BA48" s="15" t="s">
        <v>78</v>
      </c>
      <c r="BB48" s="15" t="s">
        <v>83</v>
      </c>
      <c r="BC48" s="15"/>
      <c r="BD48" s="15">
        <v>23</v>
      </c>
    </row>
    <row r="49" spans="2:56" x14ac:dyDescent="0.25">
      <c r="B49" s="242"/>
      <c r="C49" s="243"/>
      <c r="D49" s="244"/>
      <c r="H49" s="7">
        <f t="shared" si="0"/>
        <v>0</v>
      </c>
      <c r="I49" s="23">
        <v>2711</v>
      </c>
      <c r="J49" s="15" t="s">
        <v>69</v>
      </c>
      <c r="K49" s="15" t="s">
        <v>739</v>
      </c>
      <c r="L49" s="35" t="s">
        <v>738</v>
      </c>
      <c r="M49" s="16">
        <v>0.33333333333333331</v>
      </c>
      <c r="N49" s="16">
        <v>0.70833333333333337</v>
      </c>
      <c r="O49" s="15" t="s">
        <v>71</v>
      </c>
      <c r="P49" s="24">
        <v>5038310581</v>
      </c>
      <c r="Q49" s="15"/>
      <c r="R49" s="24">
        <v>5033785628</v>
      </c>
      <c r="S49" s="35" t="s">
        <v>1221</v>
      </c>
      <c r="T49" s="18">
        <v>3</v>
      </c>
      <c r="U49" s="35" t="s">
        <v>834</v>
      </c>
      <c r="V49" s="15" t="s">
        <v>124</v>
      </c>
      <c r="W49" s="15"/>
      <c r="X49" s="15" t="s">
        <v>122</v>
      </c>
      <c r="Y49" s="15" t="s">
        <v>74</v>
      </c>
      <c r="Z49" s="15">
        <v>97338</v>
      </c>
      <c r="AA49" s="15" t="s">
        <v>123</v>
      </c>
      <c r="AB49" s="15"/>
      <c r="AC49" s="15"/>
      <c r="AD49" s="15"/>
      <c r="AE49" s="15"/>
      <c r="AF49" s="15"/>
      <c r="AG49" s="15"/>
      <c r="AH49" s="15"/>
      <c r="AI49" s="15"/>
      <c r="AJ49" s="15"/>
      <c r="AK49" s="15"/>
      <c r="AL49" s="15"/>
      <c r="AM49" s="48"/>
      <c r="AN49" s="15"/>
      <c r="AO49" s="15"/>
      <c r="AP49" s="15"/>
      <c r="AQ49" s="15"/>
      <c r="AR49" s="15" t="s">
        <v>76</v>
      </c>
      <c r="AS49" s="15" t="s">
        <v>40</v>
      </c>
      <c r="AT49" s="15" t="s">
        <v>74</v>
      </c>
      <c r="AU49" s="15" t="s">
        <v>77</v>
      </c>
      <c r="AV49" s="15" t="s">
        <v>78</v>
      </c>
      <c r="AW49" s="15" t="s">
        <v>76</v>
      </c>
      <c r="AX49" s="15" t="s">
        <v>40</v>
      </c>
      <c r="AY49" s="15" t="s">
        <v>74</v>
      </c>
      <c r="AZ49" s="15" t="s">
        <v>77</v>
      </c>
      <c r="BA49" s="15" t="s">
        <v>78</v>
      </c>
      <c r="BB49" s="15" t="s">
        <v>83</v>
      </c>
      <c r="BC49" s="15"/>
      <c r="BD49" s="15">
        <v>24</v>
      </c>
    </row>
    <row r="50" spans="2:56" x14ac:dyDescent="0.25">
      <c r="B50" s="37"/>
      <c r="C50" s="37"/>
      <c r="D50" s="37"/>
      <c r="H50" s="7">
        <f t="shared" si="0"/>
        <v>66</v>
      </c>
      <c r="I50" s="23">
        <v>3601</v>
      </c>
      <c r="J50" s="15" t="s">
        <v>69</v>
      </c>
      <c r="K50" s="15" t="s">
        <v>732</v>
      </c>
      <c r="L50" s="35" t="s">
        <v>1588</v>
      </c>
      <c r="M50" s="16">
        <v>0.33333333333333331</v>
      </c>
      <c r="N50" s="16">
        <v>0.70833333333333337</v>
      </c>
      <c r="O50" s="15" t="s">
        <v>71</v>
      </c>
      <c r="P50" s="24">
        <v>5034720311</v>
      </c>
      <c r="Q50" s="15"/>
      <c r="R50" s="24">
        <v>5033785628</v>
      </c>
      <c r="S50" s="35" t="s">
        <v>1182</v>
      </c>
      <c r="T50" s="18">
        <v>3</v>
      </c>
      <c r="U50" s="35" t="s">
        <v>685</v>
      </c>
      <c r="V50" s="15" t="s">
        <v>125</v>
      </c>
      <c r="W50" s="15"/>
      <c r="X50" s="15" t="s">
        <v>126</v>
      </c>
      <c r="Y50" s="15" t="s">
        <v>74</v>
      </c>
      <c r="Z50" s="15">
        <v>97128</v>
      </c>
      <c r="AA50" s="15" t="s">
        <v>127</v>
      </c>
      <c r="AB50" s="68" t="s">
        <v>1677</v>
      </c>
      <c r="AC50" s="68" t="s">
        <v>1285</v>
      </c>
      <c r="AD50" s="15"/>
      <c r="AE50" s="15"/>
      <c r="AF50" s="15"/>
      <c r="AG50" s="15"/>
      <c r="AH50" s="15"/>
      <c r="AI50" s="15"/>
      <c r="AJ50" s="47" t="s">
        <v>1403</v>
      </c>
      <c r="AK50" s="47" t="s">
        <v>1403</v>
      </c>
      <c r="AL50" s="47"/>
      <c r="AM50" s="48"/>
      <c r="AN50" s="15"/>
      <c r="AO50" s="15"/>
      <c r="AP50" s="15"/>
      <c r="AQ50" s="15"/>
      <c r="AR50" s="15" t="s">
        <v>76</v>
      </c>
      <c r="AS50" s="15" t="s">
        <v>40</v>
      </c>
      <c r="AT50" s="15" t="s">
        <v>74</v>
      </c>
      <c r="AU50" s="15" t="s">
        <v>77</v>
      </c>
      <c r="AV50" s="15" t="s">
        <v>78</v>
      </c>
      <c r="AW50" s="15" t="s">
        <v>76</v>
      </c>
      <c r="AX50" s="15" t="s">
        <v>40</v>
      </c>
      <c r="AY50" s="15" t="s">
        <v>74</v>
      </c>
      <c r="AZ50" s="15" t="s">
        <v>77</v>
      </c>
      <c r="BA50" s="15" t="s">
        <v>78</v>
      </c>
      <c r="BB50" s="15" t="s">
        <v>83</v>
      </c>
      <c r="BC50" s="15"/>
      <c r="BD50" s="15">
        <v>25</v>
      </c>
    </row>
    <row r="51" spans="2:56" x14ac:dyDescent="0.25">
      <c r="B51" s="37" t="s">
        <v>1744</v>
      </c>
      <c r="C51" s="37"/>
      <c r="D51" s="37"/>
      <c r="H51" s="7">
        <f t="shared" si="0"/>
        <v>0</v>
      </c>
      <c r="I51" s="23">
        <v>3617</v>
      </c>
      <c r="J51" s="15" t="s">
        <v>69</v>
      </c>
      <c r="K51" s="15" t="s">
        <v>739</v>
      </c>
      <c r="L51" s="35" t="s">
        <v>740</v>
      </c>
      <c r="M51" s="16">
        <v>0.33333333333333331</v>
      </c>
      <c r="N51" s="16">
        <v>0.70833333333333337</v>
      </c>
      <c r="O51" s="15" t="s">
        <v>71</v>
      </c>
      <c r="P51" s="24">
        <v>5034729441</v>
      </c>
      <c r="Q51" s="15"/>
      <c r="R51" s="24">
        <v>5033785628</v>
      </c>
      <c r="S51" s="35" t="s">
        <v>1222</v>
      </c>
      <c r="T51" s="18">
        <v>3</v>
      </c>
      <c r="U51" s="35" t="s">
        <v>685</v>
      </c>
      <c r="V51" s="15" t="s">
        <v>128</v>
      </c>
      <c r="W51" s="15"/>
      <c r="X51" s="15" t="s">
        <v>126</v>
      </c>
      <c r="Y51" s="15" t="s">
        <v>74</v>
      </c>
      <c r="Z51" s="15">
        <v>97128</v>
      </c>
      <c r="AA51" s="15" t="s">
        <v>127</v>
      </c>
      <c r="AB51" s="15"/>
      <c r="AC51" s="15"/>
      <c r="AD51" s="15"/>
      <c r="AE51" s="15"/>
      <c r="AF51" s="15"/>
      <c r="AG51" s="15"/>
      <c r="AH51" s="15"/>
      <c r="AI51" s="15"/>
      <c r="AJ51" s="15"/>
      <c r="AK51" s="15"/>
      <c r="AL51" s="15"/>
      <c r="AM51" s="48"/>
      <c r="AN51" s="15"/>
      <c r="AO51" s="15"/>
      <c r="AP51" s="15"/>
      <c r="AQ51" s="15"/>
      <c r="AR51" s="15" t="s">
        <v>76</v>
      </c>
      <c r="AS51" s="15" t="s">
        <v>40</v>
      </c>
      <c r="AT51" s="15" t="s">
        <v>74</v>
      </c>
      <c r="AU51" s="15" t="s">
        <v>77</v>
      </c>
      <c r="AV51" s="15" t="s">
        <v>78</v>
      </c>
      <c r="AW51" s="15" t="s">
        <v>76</v>
      </c>
      <c r="AX51" s="15" t="s">
        <v>40</v>
      </c>
      <c r="AY51" s="15" t="s">
        <v>74</v>
      </c>
      <c r="AZ51" s="15" t="s">
        <v>77</v>
      </c>
      <c r="BA51" s="15" t="s">
        <v>78</v>
      </c>
      <c r="BB51" s="15" t="s">
        <v>83</v>
      </c>
      <c r="BC51" s="15"/>
      <c r="BD51" s="15">
        <v>26</v>
      </c>
    </row>
    <row r="52" spans="2:56" x14ac:dyDescent="0.25">
      <c r="B52" s="236" t="s">
        <v>1757</v>
      </c>
      <c r="C52" s="237"/>
      <c r="D52" s="238"/>
      <c r="G52" s="104"/>
      <c r="H52" s="7">
        <f t="shared" si="0"/>
        <v>189</v>
      </c>
      <c r="I52" s="23">
        <v>201</v>
      </c>
      <c r="J52" s="15" t="s">
        <v>69</v>
      </c>
      <c r="K52" s="15" t="s">
        <v>732</v>
      </c>
      <c r="L52" s="35" t="s">
        <v>1589</v>
      </c>
      <c r="M52" s="16">
        <v>0.33333333333333331</v>
      </c>
      <c r="N52" s="16">
        <v>0.70833333333333337</v>
      </c>
      <c r="O52" s="15" t="s">
        <v>71</v>
      </c>
      <c r="P52" s="24">
        <v>5417574201</v>
      </c>
      <c r="Q52" s="15"/>
      <c r="R52" s="24">
        <v>5033785628</v>
      </c>
      <c r="S52" s="46" t="s">
        <v>1524</v>
      </c>
      <c r="T52" s="18">
        <v>4</v>
      </c>
      <c r="U52" s="35" t="s">
        <v>129</v>
      </c>
      <c r="V52" s="15" t="s">
        <v>130</v>
      </c>
      <c r="W52" s="15" t="s">
        <v>109</v>
      </c>
      <c r="X52" s="15" t="s">
        <v>131</v>
      </c>
      <c r="Y52" s="15" t="s">
        <v>74</v>
      </c>
      <c r="Z52" s="15">
        <v>97333</v>
      </c>
      <c r="AA52" s="15" t="s">
        <v>132</v>
      </c>
      <c r="AB52" s="15" t="s">
        <v>1389</v>
      </c>
      <c r="AC52" s="15" t="s">
        <v>1527</v>
      </c>
      <c r="AD52" s="15" t="s">
        <v>1528</v>
      </c>
      <c r="AE52" s="15" t="s">
        <v>1529</v>
      </c>
      <c r="AF52" s="15" t="s">
        <v>1530</v>
      </c>
      <c r="AG52" s="15" t="s">
        <v>1390</v>
      </c>
      <c r="AH52" s="15"/>
      <c r="AI52" s="15"/>
      <c r="AJ52" s="47" t="s">
        <v>1531</v>
      </c>
      <c r="AK52" s="47" t="s">
        <v>1532</v>
      </c>
      <c r="AL52" s="15" t="s">
        <v>1533</v>
      </c>
      <c r="AM52" s="48" t="s">
        <v>1534</v>
      </c>
      <c r="AN52" s="15" t="s">
        <v>1535</v>
      </c>
      <c r="AO52" s="15" t="s">
        <v>1536</v>
      </c>
      <c r="AP52" s="15"/>
      <c r="AQ52" s="15"/>
      <c r="AR52" s="15" t="s">
        <v>76</v>
      </c>
      <c r="AS52" s="15" t="s">
        <v>40</v>
      </c>
      <c r="AT52" s="15" t="s">
        <v>74</v>
      </c>
      <c r="AU52" s="15" t="s">
        <v>77</v>
      </c>
      <c r="AV52" s="15" t="s">
        <v>78</v>
      </c>
      <c r="AW52" s="15" t="s">
        <v>76</v>
      </c>
      <c r="AX52" s="15" t="s">
        <v>40</v>
      </c>
      <c r="AY52" s="15" t="s">
        <v>74</v>
      </c>
      <c r="AZ52" s="15" t="s">
        <v>77</v>
      </c>
      <c r="BA52" s="15" t="s">
        <v>78</v>
      </c>
      <c r="BB52" s="15" t="s">
        <v>83</v>
      </c>
      <c r="BC52" s="15"/>
      <c r="BD52" s="15">
        <v>27</v>
      </c>
    </row>
    <row r="53" spans="2:56" x14ac:dyDescent="0.25">
      <c r="B53" s="239"/>
      <c r="C53" s="240"/>
      <c r="D53" s="241"/>
      <c r="H53" s="7">
        <f t="shared" si="0"/>
        <v>78</v>
      </c>
      <c r="I53" s="23">
        <v>2101</v>
      </c>
      <c r="J53" s="15" t="s">
        <v>69</v>
      </c>
      <c r="K53" s="15" t="s">
        <v>732</v>
      </c>
      <c r="L53" s="35" t="s">
        <v>1591</v>
      </c>
      <c r="M53" s="16">
        <v>0.33333333333333331</v>
      </c>
      <c r="N53" s="16">
        <v>0.70833333333333337</v>
      </c>
      <c r="O53" s="15" t="s">
        <v>71</v>
      </c>
      <c r="P53" s="24">
        <v>5412652248</v>
      </c>
      <c r="Q53" s="15"/>
      <c r="R53" s="24">
        <v>5033785628</v>
      </c>
      <c r="S53" s="35" t="s">
        <v>1071</v>
      </c>
      <c r="T53" s="18">
        <v>4</v>
      </c>
      <c r="U53" s="35" t="s">
        <v>1048</v>
      </c>
      <c r="V53" s="15" t="s">
        <v>133</v>
      </c>
      <c r="W53" s="15"/>
      <c r="X53" s="15" t="s">
        <v>134</v>
      </c>
      <c r="Y53" s="15" t="s">
        <v>74</v>
      </c>
      <c r="Z53" s="15">
        <v>97365</v>
      </c>
      <c r="AA53" s="15" t="s">
        <v>135</v>
      </c>
      <c r="AB53" s="15" t="s">
        <v>1327</v>
      </c>
      <c r="AC53" s="15" t="s">
        <v>1306</v>
      </c>
      <c r="AD53" s="15" t="s">
        <v>1451</v>
      </c>
      <c r="AE53" s="15" t="s">
        <v>1450</v>
      </c>
      <c r="AF53" s="15" t="s">
        <v>1307</v>
      </c>
      <c r="AG53" s="15"/>
      <c r="AH53" s="15"/>
      <c r="AI53" s="15"/>
      <c r="AJ53" s="47" t="s">
        <v>1745</v>
      </c>
      <c r="AK53" s="47" t="s">
        <v>1306</v>
      </c>
      <c r="AL53" s="15" t="s">
        <v>1746</v>
      </c>
      <c r="AM53" s="48" t="s">
        <v>1747</v>
      </c>
      <c r="AN53" s="15" t="s">
        <v>1748</v>
      </c>
      <c r="AO53" s="15"/>
      <c r="AP53" s="46"/>
      <c r="AQ53" s="180"/>
      <c r="AR53" s="15" t="s">
        <v>76</v>
      </c>
      <c r="AS53" s="15" t="s">
        <v>40</v>
      </c>
      <c r="AT53" s="15" t="s">
        <v>74</v>
      </c>
      <c r="AU53" s="15" t="s">
        <v>77</v>
      </c>
      <c r="AV53" s="15" t="s">
        <v>78</v>
      </c>
      <c r="AW53" s="15" t="s">
        <v>76</v>
      </c>
      <c r="AX53" s="15" t="s">
        <v>40</v>
      </c>
      <c r="AY53" s="15" t="s">
        <v>74</v>
      </c>
      <c r="AZ53" s="15" t="s">
        <v>77</v>
      </c>
      <c r="BA53" s="15" t="s">
        <v>78</v>
      </c>
      <c r="BB53" s="15" t="s">
        <v>83</v>
      </c>
      <c r="BC53" s="15"/>
      <c r="BD53" s="15">
        <v>28</v>
      </c>
    </row>
    <row r="54" spans="2:56" x14ac:dyDescent="0.25">
      <c r="B54" s="239"/>
      <c r="C54" s="240"/>
      <c r="D54" s="241"/>
      <c r="H54" s="7">
        <f t="shared" si="0"/>
        <v>0</v>
      </c>
      <c r="I54" s="23">
        <v>2111</v>
      </c>
      <c r="J54" s="15" t="s">
        <v>69</v>
      </c>
      <c r="K54" s="15" t="s">
        <v>80</v>
      </c>
      <c r="L54" s="35" t="s">
        <v>774</v>
      </c>
      <c r="M54" s="16">
        <v>0.33333333333333331</v>
      </c>
      <c r="N54" s="16">
        <v>0.70833333333333337</v>
      </c>
      <c r="O54" s="15" t="s">
        <v>71</v>
      </c>
      <c r="P54" s="24">
        <v>5413362289</v>
      </c>
      <c r="Q54" s="15"/>
      <c r="R54" s="24">
        <v>5413361510</v>
      </c>
      <c r="S54" s="35" t="s">
        <v>1223</v>
      </c>
      <c r="T54" s="18">
        <v>4</v>
      </c>
      <c r="U54" s="35" t="s">
        <v>1049</v>
      </c>
      <c r="V54" s="15" t="s">
        <v>136</v>
      </c>
      <c r="W54" s="15"/>
      <c r="X54" s="15" t="s">
        <v>137</v>
      </c>
      <c r="Y54" s="15" t="s">
        <v>74</v>
      </c>
      <c r="Z54" s="15">
        <v>97391</v>
      </c>
      <c r="AA54" s="15" t="s">
        <v>135</v>
      </c>
      <c r="AB54" s="15"/>
      <c r="AC54" s="15"/>
      <c r="AD54" s="15"/>
      <c r="AE54" s="15"/>
      <c r="AF54" s="15"/>
      <c r="AG54" s="15"/>
      <c r="AH54" s="15"/>
      <c r="AI54" s="15"/>
      <c r="AJ54" s="15"/>
      <c r="AK54" s="15"/>
      <c r="AL54" s="15"/>
      <c r="AM54" s="48"/>
      <c r="AN54" s="15"/>
      <c r="AO54" s="15"/>
      <c r="AP54" s="15"/>
      <c r="AQ54" s="15"/>
      <c r="AR54" s="15" t="s">
        <v>76</v>
      </c>
      <c r="AS54" s="15" t="s">
        <v>40</v>
      </c>
      <c r="AT54" s="15" t="s">
        <v>74</v>
      </c>
      <c r="AU54" s="15" t="s">
        <v>77</v>
      </c>
      <c r="AV54" s="15" t="s">
        <v>78</v>
      </c>
      <c r="AW54" s="15" t="s">
        <v>76</v>
      </c>
      <c r="AX54" s="15" t="s">
        <v>40</v>
      </c>
      <c r="AY54" s="15" t="s">
        <v>74</v>
      </c>
      <c r="AZ54" s="15" t="s">
        <v>77</v>
      </c>
      <c r="BA54" s="15" t="s">
        <v>78</v>
      </c>
      <c r="BB54" s="15" t="s">
        <v>83</v>
      </c>
      <c r="BC54" s="15"/>
      <c r="BD54" s="15">
        <v>29</v>
      </c>
    </row>
    <row r="55" spans="2:56" x14ac:dyDescent="0.25">
      <c r="B55" s="239"/>
      <c r="C55" s="240"/>
      <c r="D55" s="241"/>
      <c r="H55" s="7">
        <f t="shared" si="0"/>
        <v>184</v>
      </c>
      <c r="I55" s="23">
        <v>2201</v>
      </c>
      <c r="J55" s="15" t="s">
        <v>69</v>
      </c>
      <c r="K55" s="15" t="s">
        <v>732</v>
      </c>
      <c r="L55" s="35" t="s">
        <v>1590</v>
      </c>
      <c r="M55" s="16">
        <v>0.33333333333333331</v>
      </c>
      <c r="N55" s="16">
        <v>0.70833333333333337</v>
      </c>
      <c r="O55" s="15" t="s">
        <v>71</v>
      </c>
      <c r="P55" s="24">
        <v>5419672078</v>
      </c>
      <c r="Q55" s="15"/>
      <c r="R55" s="24">
        <v>5419672096</v>
      </c>
      <c r="S55" s="46" t="s">
        <v>1522</v>
      </c>
      <c r="T55" s="18">
        <v>4</v>
      </c>
      <c r="U55" s="35" t="s">
        <v>807</v>
      </c>
      <c r="V55" s="15" t="s">
        <v>138</v>
      </c>
      <c r="W55" s="15"/>
      <c r="X55" s="15" t="s">
        <v>139</v>
      </c>
      <c r="Y55" s="15" t="s">
        <v>74</v>
      </c>
      <c r="Z55" s="15">
        <v>97321</v>
      </c>
      <c r="AA55" s="15" t="s">
        <v>140</v>
      </c>
      <c r="AB55" s="15" t="s">
        <v>1628</v>
      </c>
      <c r="AC55" s="15" t="s">
        <v>1629</v>
      </c>
      <c r="AD55" s="15" t="s">
        <v>1420</v>
      </c>
      <c r="AE55" s="15" t="s">
        <v>1421</v>
      </c>
      <c r="AF55" s="15" t="s">
        <v>1630</v>
      </c>
      <c r="AG55" s="15" t="s">
        <v>1348</v>
      </c>
      <c r="AH55" s="15"/>
      <c r="AI55" s="15"/>
      <c r="AJ55" s="47" t="s">
        <v>1631</v>
      </c>
      <c r="AK55" s="47" t="s">
        <v>1632</v>
      </c>
      <c r="AL55" s="15" t="s">
        <v>1633</v>
      </c>
      <c r="AM55" s="48" t="s">
        <v>1634</v>
      </c>
      <c r="AN55" s="15" t="s">
        <v>1635</v>
      </c>
      <c r="AO55" s="15" t="s">
        <v>1636</v>
      </c>
      <c r="AP55" s="15"/>
      <c r="AQ55" s="15"/>
      <c r="AR55" s="15" t="s">
        <v>76</v>
      </c>
      <c r="AS55" s="15" t="s">
        <v>40</v>
      </c>
      <c r="AT55" s="15" t="s">
        <v>74</v>
      </c>
      <c r="AU55" s="15" t="s">
        <v>77</v>
      </c>
      <c r="AV55" s="15" t="s">
        <v>78</v>
      </c>
      <c r="AW55" s="15" t="s">
        <v>76</v>
      </c>
      <c r="AX55" s="15" t="s">
        <v>40</v>
      </c>
      <c r="AY55" s="15" t="s">
        <v>74</v>
      </c>
      <c r="AZ55" s="15" t="s">
        <v>77</v>
      </c>
      <c r="BA55" s="15" t="s">
        <v>78</v>
      </c>
      <c r="BB55" s="15" t="s">
        <v>83</v>
      </c>
      <c r="BC55" s="15"/>
      <c r="BD55" s="15">
        <v>30</v>
      </c>
    </row>
    <row r="56" spans="2:56" x14ac:dyDescent="0.25">
      <c r="B56" s="239"/>
      <c r="C56" s="240"/>
      <c r="D56" s="241"/>
      <c r="H56" s="7">
        <f t="shared" si="0"/>
        <v>177</v>
      </c>
      <c r="I56" s="23">
        <v>2202</v>
      </c>
      <c r="J56" s="15" t="s">
        <v>69</v>
      </c>
      <c r="K56" s="15" t="s">
        <v>732</v>
      </c>
      <c r="L56" s="35" t="s">
        <v>1592</v>
      </c>
      <c r="M56" s="16">
        <v>0.33333333333333331</v>
      </c>
      <c r="N56" s="16">
        <v>0.70833333333333337</v>
      </c>
      <c r="O56" s="15" t="s">
        <v>71</v>
      </c>
      <c r="P56" s="24">
        <v>5412595860</v>
      </c>
      <c r="Q56" s="15"/>
      <c r="R56" s="24">
        <v>5033785628</v>
      </c>
      <c r="S56" s="46" t="s">
        <v>1523</v>
      </c>
      <c r="T56" s="18">
        <v>4</v>
      </c>
      <c r="U56" s="35" t="s">
        <v>141</v>
      </c>
      <c r="V56" s="15" t="s">
        <v>142</v>
      </c>
      <c r="W56" s="15" t="s">
        <v>143</v>
      </c>
      <c r="X56" s="15" t="s">
        <v>144</v>
      </c>
      <c r="Y56" s="15" t="s">
        <v>74</v>
      </c>
      <c r="Z56" s="15">
        <v>97355</v>
      </c>
      <c r="AA56" s="15" t="s">
        <v>140</v>
      </c>
      <c r="AB56" s="15" t="s">
        <v>1350</v>
      </c>
      <c r="AC56" s="15" t="s">
        <v>1351</v>
      </c>
      <c r="AD56" s="15" t="s">
        <v>1352</v>
      </c>
      <c r="AE56" s="15" t="s">
        <v>1353</v>
      </c>
      <c r="AF56" s="15" t="s">
        <v>1354</v>
      </c>
      <c r="AG56" s="15" t="s">
        <v>1347</v>
      </c>
      <c r="AH56" s="15"/>
      <c r="AI56" s="15"/>
      <c r="AJ56" s="47" t="s">
        <v>1355</v>
      </c>
      <c r="AK56" s="47" t="s">
        <v>1356</v>
      </c>
      <c r="AL56" s="47" t="s">
        <v>1357</v>
      </c>
      <c r="AM56" s="47" t="s">
        <v>1358</v>
      </c>
      <c r="AN56" s="47" t="s">
        <v>1359</v>
      </c>
      <c r="AO56" s="47" t="s">
        <v>1349</v>
      </c>
      <c r="AP56" s="46"/>
      <c r="AQ56" s="15"/>
      <c r="AR56" s="15" t="s">
        <v>76</v>
      </c>
      <c r="AS56" s="15" t="s">
        <v>40</v>
      </c>
      <c r="AT56" s="15" t="s">
        <v>74</v>
      </c>
      <c r="AU56" s="15" t="s">
        <v>77</v>
      </c>
      <c r="AV56" s="15" t="s">
        <v>78</v>
      </c>
      <c r="AW56" s="15" t="s">
        <v>76</v>
      </c>
      <c r="AX56" s="15" t="s">
        <v>40</v>
      </c>
      <c r="AY56" s="15" t="s">
        <v>74</v>
      </c>
      <c r="AZ56" s="15" t="s">
        <v>77</v>
      </c>
      <c r="BA56" s="15" t="s">
        <v>78</v>
      </c>
      <c r="BB56" s="15" t="s">
        <v>83</v>
      </c>
      <c r="BC56" s="15"/>
      <c r="BD56" s="15">
        <v>31</v>
      </c>
    </row>
    <row r="57" spans="2:56" x14ac:dyDescent="0.25">
      <c r="B57" s="239"/>
      <c r="C57" s="240"/>
      <c r="D57" s="241"/>
      <c r="H57" s="7">
        <f t="shared" si="0"/>
        <v>0</v>
      </c>
      <c r="I57" s="23">
        <v>2211</v>
      </c>
      <c r="J57" s="15" t="s">
        <v>69</v>
      </c>
      <c r="K57" s="15" t="s">
        <v>80</v>
      </c>
      <c r="L57" s="35" t="s">
        <v>775</v>
      </c>
      <c r="M57" s="16">
        <v>0.33333333333333331</v>
      </c>
      <c r="N57" s="16">
        <v>0.70833333333333337</v>
      </c>
      <c r="O57" s="15" t="s">
        <v>71</v>
      </c>
      <c r="P57" s="24">
        <v>5419678630</v>
      </c>
      <c r="Q57" s="15"/>
      <c r="R57" s="24">
        <v>5419283729</v>
      </c>
      <c r="S57" s="35" t="s">
        <v>1224</v>
      </c>
      <c r="T57" s="18">
        <v>4</v>
      </c>
      <c r="U57" s="35" t="s">
        <v>1758</v>
      </c>
      <c r="V57" s="15" t="s">
        <v>145</v>
      </c>
      <c r="W57" s="15" t="s">
        <v>146</v>
      </c>
      <c r="X57" s="15" t="s">
        <v>139</v>
      </c>
      <c r="Y57" s="15" t="s">
        <v>74</v>
      </c>
      <c r="Z57" s="15">
        <v>97322</v>
      </c>
      <c r="AA57" s="15" t="s">
        <v>140</v>
      </c>
      <c r="AB57" s="15"/>
      <c r="AC57" s="15"/>
      <c r="AD57" s="15"/>
      <c r="AE57" s="15"/>
      <c r="AF57" s="15"/>
      <c r="AG57" s="15"/>
      <c r="AH57" s="15"/>
      <c r="AI57" s="15"/>
      <c r="AJ57" s="15"/>
      <c r="AK57" s="15"/>
      <c r="AL57" s="15"/>
      <c r="AM57" s="15"/>
      <c r="AN57" s="15"/>
      <c r="AO57" s="15"/>
      <c r="AP57" s="15"/>
      <c r="AQ57" s="15"/>
      <c r="AR57" s="15" t="s">
        <v>76</v>
      </c>
      <c r="AS57" s="15" t="s">
        <v>40</v>
      </c>
      <c r="AT57" s="15" t="s">
        <v>74</v>
      </c>
      <c r="AU57" s="15" t="s">
        <v>77</v>
      </c>
      <c r="AV57" s="15" t="s">
        <v>78</v>
      </c>
      <c r="AW57" s="15" t="s">
        <v>76</v>
      </c>
      <c r="AX57" s="15" t="s">
        <v>40</v>
      </c>
      <c r="AY57" s="15" t="s">
        <v>74</v>
      </c>
      <c r="AZ57" s="15" t="s">
        <v>77</v>
      </c>
      <c r="BA57" s="15" t="s">
        <v>78</v>
      </c>
      <c r="BB57" s="15" t="s">
        <v>83</v>
      </c>
      <c r="BC57" s="15"/>
      <c r="BD57" s="15">
        <v>32</v>
      </c>
    </row>
    <row r="58" spans="2:56" x14ac:dyDescent="0.25">
      <c r="B58" s="239"/>
      <c r="C58" s="240"/>
      <c r="D58" s="241"/>
      <c r="H58" s="7">
        <f t="shared" si="0"/>
        <v>175</v>
      </c>
      <c r="I58" s="23">
        <v>1101</v>
      </c>
      <c r="J58" s="15" t="s">
        <v>69</v>
      </c>
      <c r="K58" s="15" t="s">
        <v>732</v>
      </c>
      <c r="L58" s="35" t="s">
        <v>1593</v>
      </c>
      <c r="M58" s="16">
        <v>0.33333333333333331</v>
      </c>
      <c r="N58" s="16">
        <v>0.70833333333333337</v>
      </c>
      <c r="O58" s="15" t="s">
        <v>71</v>
      </c>
      <c r="P58" s="24">
        <v>5417263525</v>
      </c>
      <c r="Q58" s="15"/>
      <c r="R58" s="24">
        <v>5033785628</v>
      </c>
      <c r="S58" s="35" t="s">
        <v>1064</v>
      </c>
      <c r="T58" s="18">
        <v>5</v>
      </c>
      <c r="U58" s="35" t="s">
        <v>1160</v>
      </c>
      <c r="V58" s="15" t="s">
        <v>147</v>
      </c>
      <c r="W58" s="15"/>
      <c r="X58" s="15" t="s">
        <v>148</v>
      </c>
      <c r="Y58" s="15" t="s">
        <v>74</v>
      </c>
      <c r="Z58" s="15">
        <v>97478</v>
      </c>
      <c r="AA58" s="15" t="s">
        <v>149</v>
      </c>
      <c r="AB58" s="15" t="s">
        <v>1537</v>
      </c>
      <c r="AC58" s="15" t="s">
        <v>1382</v>
      </c>
      <c r="AD58" s="15" t="s">
        <v>1384</v>
      </c>
      <c r="AE58" s="15" t="s">
        <v>1385</v>
      </c>
      <c r="AF58" s="15" t="s">
        <v>1383</v>
      </c>
      <c r="AG58" s="15" t="s">
        <v>1538</v>
      </c>
      <c r="AH58" s="15"/>
      <c r="AI58" s="15"/>
      <c r="AJ58" s="47" t="s">
        <v>1539</v>
      </c>
      <c r="AK58" s="47" t="s">
        <v>1540</v>
      </c>
      <c r="AL58" s="47" t="s">
        <v>1541</v>
      </c>
      <c r="AM58" s="47" t="s">
        <v>1542</v>
      </c>
      <c r="AN58" s="15" t="s">
        <v>1543</v>
      </c>
      <c r="AO58" s="46" t="s">
        <v>1544</v>
      </c>
      <c r="AP58" s="15"/>
      <c r="AQ58" s="15"/>
      <c r="AR58" s="15" t="s">
        <v>76</v>
      </c>
      <c r="AS58" s="15" t="s">
        <v>40</v>
      </c>
      <c r="AT58" s="15" t="s">
        <v>74</v>
      </c>
      <c r="AU58" s="15" t="s">
        <v>77</v>
      </c>
      <c r="AV58" s="15" t="s">
        <v>78</v>
      </c>
      <c r="AW58" s="15" t="s">
        <v>76</v>
      </c>
      <c r="AX58" s="15" t="s">
        <v>40</v>
      </c>
      <c r="AY58" s="15" t="s">
        <v>74</v>
      </c>
      <c r="AZ58" s="15" t="s">
        <v>77</v>
      </c>
      <c r="BA58" s="15" t="s">
        <v>78</v>
      </c>
      <c r="BB58" s="15" t="s">
        <v>83</v>
      </c>
      <c r="BC58" s="15"/>
      <c r="BD58" s="15">
        <v>34</v>
      </c>
    </row>
    <row r="59" spans="2:56" x14ac:dyDescent="0.25">
      <c r="B59" s="239"/>
      <c r="C59" s="240"/>
      <c r="D59" s="241"/>
      <c r="H59" s="7">
        <f t="shared" si="0"/>
        <v>185</v>
      </c>
      <c r="I59" s="23">
        <v>2001</v>
      </c>
      <c r="J59" s="15" t="s">
        <v>69</v>
      </c>
      <c r="K59" s="15" t="s">
        <v>732</v>
      </c>
      <c r="L59" s="35" t="s">
        <v>1811</v>
      </c>
      <c r="M59" s="16">
        <v>0.33333333333333331</v>
      </c>
      <c r="N59" s="16">
        <v>0.70833333333333337</v>
      </c>
      <c r="O59" s="15" t="s">
        <v>71</v>
      </c>
      <c r="P59" s="24">
        <v>5416867878</v>
      </c>
      <c r="Q59" s="15"/>
      <c r="R59" s="24">
        <v>5413430919</v>
      </c>
      <c r="S59" s="35" t="s">
        <v>1093</v>
      </c>
      <c r="T59" s="18">
        <v>5</v>
      </c>
      <c r="U59" s="35" t="s">
        <v>1033</v>
      </c>
      <c r="V59" s="15" t="s">
        <v>150</v>
      </c>
      <c r="W59" s="15"/>
      <c r="X59" s="15" t="s">
        <v>151</v>
      </c>
      <c r="Y59" s="15" t="s">
        <v>74</v>
      </c>
      <c r="Z59" s="15">
        <v>97408</v>
      </c>
      <c r="AA59" s="15" t="s">
        <v>149</v>
      </c>
      <c r="AB59" s="15" t="s">
        <v>1516</v>
      </c>
      <c r="AC59" s="15" t="s">
        <v>1498</v>
      </c>
      <c r="AD59" s="15" t="s">
        <v>1499</v>
      </c>
      <c r="AE59" s="15" t="s">
        <v>1517</v>
      </c>
      <c r="AF59" s="15" t="s">
        <v>1518</v>
      </c>
      <c r="AG59" s="15" t="s">
        <v>1706</v>
      </c>
      <c r="AH59" s="15"/>
      <c r="AI59" s="15"/>
      <c r="AJ59" s="47" t="s">
        <v>1707</v>
      </c>
      <c r="AK59" s="47" t="s">
        <v>1500</v>
      </c>
      <c r="AL59" s="47" t="s">
        <v>1519</v>
      </c>
      <c r="AM59" s="47" t="s">
        <v>1520</v>
      </c>
      <c r="AN59" s="15" t="s">
        <v>1521</v>
      </c>
      <c r="AO59" s="15" t="s">
        <v>1708</v>
      </c>
      <c r="AP59" s="15"/>
      <c r="AQ59" s="15"/>
      <c r="AR59" s="15" t="s">
        <v>76</v>
      </c>
      <c r="AS59" s="15" t="s">
        <v>40</v>
      </c>
      <c r="AT59" s="15" t="s">
        <v>74</v>
      </c>
      <c r="AU59" s="15" t="s">
        <v>77</v>
      </c>
      <c r="AV59" s="15" t="s">
        <v>78</v>
      </c>
      <c r="AW59" s="15" t="s">
        <v>76</v>
      </c>
      <c r="AX59" s="15" t="s">
        <v>40</v>
      </c>
      <c r="AY59" s="15" t="s">
        <v>74</v>
      </c>
      <c r="AZ59" s="15" t="s">
        <v>77</v>
      </c>
      <c r="BA59" s="15" t="s">
        <v>78</v>
      </c>
      <c r="BB59" s="15" t="s">
        <v>83</v>
      </c>
      <c r="BC59" s="15"/>
      <c r="BD59" s="15">
        <v>35</v>
      </c>
    </row>
    <row r="60" spans="2:56" x14ac:dyDescent="0.25">
      <c r="B60" s="242"/>
      <c r="C60" s="243"/>
      <c r="D60" s="244"/>
      <c r="H60" s="7">
        <f t="shared" si="0"/>
        <v>185</v>
      </c>
      <c r="I60" s="23">
        <v>2002</v>
      </c>
      <c r="J60" s="15" t="s">
        <v>69</v>
      </c>
      <c r="K60" s="15" t="s">
        <v>732</v>
      </c>
      <c r="L60" s="35" t="s">
        <v>1594</v>
      </c>
      <c r="M60" s="16">
        <v>0.33333333333333331</v>
      </c>
      <c r="N60" s="16">
        <v>0.70833333333333337</v>
      </c>
      <c r="O60" s="15" t="s">
        <v>71</v>
      </c>
      <c r="P60" s="24">
        <v>5416867722</v>
      </c>
      <c r="Q60" s="15"/>
      <c r="R60" s="24">
        <v>5033785628</v>
      </c>
      <c r="S60" s="35" t="s">
        <v>1095</v>
      </c>
      <c r="T60" s="18">
        <v>5</v>
      </c>
      <c r="U60" s="35" t="s">
        <v>815</v>
      </c>
      <c r="V60" s="15" t="s">
        <v>152</v>
      </c>
      <c r="W60" s="15"/>
      <c r="X60" s="15" t="s">
        <v>151</v>
      </c>
      <c r="Y60" s="15" t="s">
        <v>74</v>
      </c>
      <c r="Z60" s="15">
        <v>97402</v>
      </c>
      <c r="AA60" s="15" t="s">
        <v>149</v>
      </c>
      <c r="AB60" s="15" t="s">
        <v>1386</v>
      </c>
      <c r="AC60" s="15" t="s">
        <v>1867</v>
      </c>
      <c r="AD60" s="15" t="s">
        <v>1569</v>
      </c>
      <c r="AE60" s="15" t="s">
        <v>1868</v>
      </c>
      <c r="AF60" s="15" t="s">
        <v>1869</v>
      </c>
      <c r="AG60" s="15" t="s">
        <v>1870</v>
      </c>
      <c r="AH60" s="15"/>
      <c r="AI60" s="15"/>
      <c r="AJ60" s="47" t="s">
        <v>1871</v>
      </c>
      <c r="AK60" s="47" t="s">
        <v>1872</v>
      </c>
      <c r="AL60" s="47" t="s">
        <v>1570</v>
      </c>
      <c r="AM60" s="47" t="s">
        <v>1873</v>
      </c>
      <c r="AN60" s="15" t="s">
        <v>1874</v>
      </c>
      <c r="AO60" s="15" t="s">
        <v>1875</v>
      </c>
      <c r="AP60" s="15"/>
      <c r="AQ60" s="15"/>
      <c r="AR60" s="15" t="s">
        <v>76</v>
      </c>
      <c r="AS60" s="15" t="s">
        <v>40</v>
      </c>
      <c r="AT60" s="15" t="s">
        <v>74</v>
      </c>
      <c r="AU60" s="15" t="s">
        <v>77</v>
      </c>
      <c r="AV60" s="15" t="s">
        <v>78</v>
      </c>
      <c r="AW60" s="15" t="s">
        <v>76</v>
      </c>
      <c r="AX60" s="15" t="s">
        <v>40</v>
      </c>
      <c r="AY60" s="15" t="s">
        <v>74</v>
      </c>
      <c r="AZ60" s="15" t="s">
        <v>77</v>
      </c>
      <c r="BA60" s="15" t="s">
        <v>78</v>
      </c>
      <c r="BB60" s="15" t="s">
        <v>83</v>
      </c>
      <c r="BC60" s="15"/>
      <c r="BD60" s="15">
        <v>36</v>
      </c>
    </row>
    <row r="61" spans="2:56" x14ac:dyDescent="0.25">
      <c r="B61" s="37"/>
      <c r="C61" s="37"/>
      <c r="D61" s="37"/>
      <c r="H61" s="7">
        <f t="shared" si="0"/>
        <v>156</v>
      </c>
      <c r="I61" s="23">
        <v>2003</v>
      </c>
      <c r="J61" s="15" t="s">
        <v>69</v>
      </c>
      <c r="K61" s="15" t="s">
        <v>732</v>
      </c>
      <c r="L61" s="35" t="s">
        <v>1595</v>
      </c>
      <c r="M61" s="16">
        <v>0.33333333333333331</v>
      </c>
      <c r="N61" s="16">
        <v>0.70833333333333337</v>
      </c>
      <c r="O61" s="15" t="s">
        <v>71</v>
      </c>
      <c r="P61" s="24">
        <v>5419429186</v>
      </c>
      <c r="Q61" s="15"/>
      <c r="R61" s="24">
        <v>5419421306</v>
      </c>
      <c r="S61" s="35" t="s">
        <v>1185</v>
      </c>
      <c r="T61" s="18">
        <v>5</v>
      </c>
      <c r="U61" s="35" t="s">
        <v>1107</v>
      </c>
      <c r="V61" s="15" t="s">
        <v>153</v>
      </c>
      <c r="W61" s="15"/>
      <c r="X61" s="15" t="s">
        <v>154</v>
      </c>
      <c r="Y61" s="15" t="s">
        <v>74</v>
      </c>
      <c r="Z61" s="15">
        <v>97424</v>
      </c>
      <c r="AA61" s="15" t="s">
        <v>149</v>
      </c>
      <c r="AB61" s="15" t="s">
        <v>1360</v>
      </c>
      <c r="AC61" s="15" t="s">
        <v>1361</v>
      </c>
      <c r="AD61" s="15" t="s">
        <v>1362</v>
      </c>
      <c r="AE61" s="15" t="s">
        <v>1363</v>
      </c>
      <c r="AF61" s="15" t="s">
        <v>1364</v>
      </c>
      <c r="AG61" s="15"/>
      <c r="AH61" s="15"/>
      <c r="AI61" s="15"/>
      <c r="AJ61" s="47" t="s">
        <v>1365</v>
      </c>
      <c r="AK61" s="47" t="s">
        <v>1366</v>
      </c>
      <c r="AL61" s="47" t="s">
        <v>1367</v>
      </c>
      <c r="AM61" s="47" t="s">
        <v>1368</v>
      </c>
      <c r="AN61" s="15" t="s">
        <v>1369</v>
      </c>
      <c r="AO61" s="15"/>
      <c r="AP61" s="15"/>
      <c r="AQ61" s="15"/>
      <c r="AR61" s="15" t="s">
        <v>76</v>
      </c>
      <c r="AS61" s="15" t="s">
        <v>40</v>
      </c>
      <c r="AT61" s="15" t="s">
        <v>74</v>
      </c>
      <c r="AU61" s="15" t="s">
        <v>77</v>
      </c>
      <c r="AV61" s="15" t="s">
        <v>78</v>
      </c>
      <c r="AW61" s="15" t="s">
        <v>76</v>
      </c>
      <c r="AX61" s="15" t="s">
        <v>40</v>
      </c>
      <c r="AY61" s="15" t="s">
        <v>74</v>
      </c>
      <c r="AZ61" s="15" t="s">
        <v>77</v>
      </c>
      <c r="BA61" s="15" t="s">
        <v>78</v>
      </c>
      <c r="BB61" s="15" t="s">
        <v>83</v>
      </c>
      <c r="BC61" s="15"/>
      <c r="BD61" s="15">
        <v>37</v>
      </c>
    </row>
    <row r="62" spans="2:56" x14ac:dyDescent="0.25">
      <c r="B62" s="37" t="s">
        <v>1727</v>
      </c>
      <c r="C62" s="37"/>
      <c r="D62" s="37"/>
      <c r="H62" s="7">
        <f t="shared" si="0"/>
        <v>0</v>
      </c>
      <c r="I62" s="23">
        <v>2011</v>
      </c>
      <c r="J62" s="15" t="s">
        <v>69</v>
      </c>
      <c r="K62" s="15" t="s">
        <v>80</v>
      </c>
      <c r="L62" s="35" t="s">
        <v>809</v>
      </c>
      <c r="M62" s="16">
        <v>0.33333333333333331</v>
      </c>
      <c r="N62" s="16">
        <v>0.70833333333333337</v>
      </c>
      <c r="O62" s="15" t="s">
        <v>71</v>
      </c>
      <c r="P62" s="24">
        <v>5416824038</v>
      </c>
      <c r="Q62" s="15"/>
      <c r="R62" s="24">
        <v>5033785628</v>
      </c>
      <c r="S62" s="35" t="s">
        <v>1225</v>
      </c>
      <c r="T62" s="18">
        <v>5</v>
      </c>
      <c r="U62" s="35" t="s">
        <v>1035</v>
      </c>
      <c r="V62" s="15" t="s">
        <v>155</v>
      </c>
      <c r="W62" s="15"/>
      <c r="X62" s="15" t="s">
        <v>151</v>
      </c>
      <c r="Y62" s="15" t="s">
        <v>74</v>
      </c>
      <c r="Z62" s="15">
        <v>97401</v>
      </c>
      <c r="AA62" s="15" t="s">
        <v>149</v>
      </c>
      <c r="AB62" s="15"/>
      <c r="AC62" s="15"/>
      <c r="AD62" s="15"/>
      <c r="AE62" s="15"/>
      <c r="AF62" s="15"/>
      <c r="AG62" s="15"/>
      <c r="AH62" s="15"/>
      <c r="AI62" s="15"/>
      <c r="AJ62" s="47"/>
      <c r="AK62" s="47"/>
      <c r="AL62" s="47"/>
      <c r="AM62" s="47"/>
      <c r="AN62" s="15"/>
      <c r="AO62" s="15"/>
      <c r="AP62" s="15"/>
      <c r="AQ62" s="15"/>
      <c r="AR62" s="15" t="s">
        <v>76</v>
      </c>
      <c r="AS62" s="15" t="s">
        <v>40</v>
      </c>
      <c r="AT62" s="15" t="s">
        <v>74</v>
      </c>
      <c r="AU62" s="15" t="s">
        <v>77</v>
      </c>
      <c r="AV62" s="15" t="s">
        <v>78</v>
      </c>
      <c r="AW62" s="15" t="s">
        <v>76</v>
      </c>
      <c r="AX62" s="15" t="s">
        <v>40</v>
      </c>
      <c r="AY62" s="15" t="s">
        <v>74</v>
      </c>
      <c r="AZ62" s="15" t="s">
        <v>77</v>
      </c>
      <c r="BA62" s="15" t="s">
        <v>78</v>
      </c>
      <c r="BB62" s="15" t="s">
        <v>83</v>
      </c>
      <c r="BC62" s="15"/>
      <c r="BD62" s="15">
        <v>38</v>
      </c>
    </row>
    <row r="63" spans="2:56" x14ac:dyDescent="0.25">
      <c r="B63" s="236" t="s">
        <v>1740</v>
      </c>
      <c r="C63" s="237"/>
      <c r="D63" s="238"/>
      <c r="H63" s="7">
        <f t="shared" si="0"/>
        <v>93</v>
      </c>
      <c r="I63" s="23">
        <v>3201</v>
      </c>
      <c r="J63" s="15" t="s">
        <v>69</v>
      </c>
      <c r="K63" s="15" t="s">
        <v>1104</v>
      </c>
      <c r="L63" s="35" t="s">
        <v>1596</v>
      </c>
      <c r="M63" s="16">
        <v>0.33333333333333331</v>
      </c>
      <c r="N63" s="16">
        <v>0.70833333333333337</v>
      </c>
      <c r="O63" s="15" t="s">
        <v>71</v>
      </c>
      <c r="P63" s="24">
        <v>5419978251</v>
      </c>
      <c r="Q63" s="15"/>
      <c r="R63" s="24">
        <v>5419979137</v>
      </c>
      <c r="S63" s="35" t="s">
        <v>1226</v>
      </c>
      <c r="T63" s="18">
        <v>5</v>
      </c>
      <c r="U63" s="35" t="s">
        <v>1487</v>
      </c>
      <c r="V63" s="15" t="s">
        <v>156</v>
      </c>
      <c r="W63" s="15"/>
      <c r="X63" s="15" t="s">
        <v>157</v>
      </c>
      <c r="Y63" s="15" t="s">
        <v>74</v>
      </c>
      <c r="Z63" s="15">
        <v>97439</v>
      </c>
      <c r="AA63" s="15" t="s">
        <v>149</v>
      </c>
      <c r="AB63" s="15" t="s">
        <v>1678</v>
      </c>
      <c r="AC63" s="15" t="s">
        <v>1679</v>
      </c>
      <c r="AD63" s="15" t="s">
        <v>1680</v>
      </c>
      <c r="AE63" s="15"/>
      <c r="AF63" s="15"/>
      <c r="AG63" s="15"/>
      <c r="AH63" s="15"/>
      <c r="AI63" s="15"/>
      <c r="AJ63" s="47" t="s">
        <v>1681</v>
      </c>
      <c r="AK63" s="47" t="s">
        <v>1682</v>
      </c>
      <c r="AL63" s="47" t="s">
        <v>1683</v>
      </c>
      <c r="AM63" s="47"/>
      <c r="AN63" s="15"/>
      <c r="AO63" s="15"/>
      <c r="AP63" s="15"/>
      <c r="AQ63" s="15"/>
      <c r="AR63" s="15" t="s">
        <v>76</v>
      </c>
      <c r="AS63" s="15" t="s">
        <v>40</v>
      </c>
      <c r="AT63" s="15" t="s">
        <v>74</v>
      </c>
      <c r="AU63" s="15" t="s">
        <v>77</v>
      </c>
      <c r="AV63" s="15" t="s">
        <v>78</v>
      </c>
      <c r="AW63" s="15" t="s">
        <v>76</v>
      </c>
      <c r="AX63" s="15" t="s">
        <v>40</v>
      </c>
      <c r="AY63" s="15" t="s">
        <v>74</v>
      </c>
      <c r="AZ63" s="15" t="s">
        <v>77</v>
      </c>
      <c r="BA63" s="15" t="s">
        <v>78</v>
      </c>
      <c r="BB63" s="15" t="s">
        <v>83</v>
      </c>
      <c r="BC63" s="15"/>
      <c r="BD63" s="15">
        <v>39</v>
      </c>
    </row>
    <row r="64" spans="2:56" x14ac:dyDescent="0.25">
      <c r="B64" s="239"/>
      <c r="C64" s="240"/>
      <c r="D64" s="241"/>
      <c r="H64" s="7">
        <f t="shared" si="0"/>
        <v>0</v>
      </c>
      <c r="I64" s="23">
        <v>3211</v>
      </c>
      <c r="J64" s="15" t="s">
        <v>69</v>
      </c>
      <c r="K64" s="15" t="s">
        <v>1104</v>
      </c>
      <c r="L64" s="35" t="s">
        <v>1051</v>
      </c>
      <c r="M64" s="16">
        <v>0.33333333333333331</v>
      </c>
      <c r="N64" s="16">
        <v>0.70833333333333337</v>
      </c>
      <c r="O64" s="15" t="s">
        <v>71</v>
      </c>
      <c r="P64" s="24">
        <v>5419029430</v>
      </c>
      <c r="Q64" s="15"/>
      <c r="R64" s="24">
        <v>5033785628</v>
      </c>
      <c r="S64" s="35" t="s">
        <v>1227</v>
      </c>
      <c r="T64" s="18">
        <v>5</v>
      </c>
      <c r="U64" s="35" t="s">
        <v>1047</v>
      </c>
      <c r="V64" s="15" t="s">
        <v>156</v>
      </c>
      <c r="W64" s="15"/>
      <c r="X64" s="15" t="s">
        <v>157</v>
      </c>
      <c r="Y64" s="15" t="s">
        <v>74</v>
      </c>
      <c r="Z64" s="15">
        <v>97439</v>
      </c>
      <c r="AA64" s="15" t="s">
        <v>149</v>
      </c>
      <c r="AB64" s="15"/>
      <c r="AC64" s="15"/>
      <c r="AD64" s="15"/>
      <c r="AE64" s="15"/>
      <c r="AF64" s="15"/>
      <c r="AG64" s="15"/>
      <c r="AH64" s="15"/>
      <c r="AI64" s="15"/>
      <c r="AJ64" s="47"/>
      <c r="AK64" s="47"/>
      <c r="AL64" s="47"/>
      <c r="AM64" s="47"/>
      <c r="AN64" s="15"/>
      <c r="AO64" s="15"/>
      <c r="AP64" s="15"/>
      <c r="AQ64" s="15"/>
      <c r="AR64" s="15" t="s">
        <v>76</v>
      </c>
      <c r="AS64" s="15" t="s">
        <v>40</v>
      </c>
      <c r="AT64" s="15" t="s">
        <v>74</v>
      </c>
      <c r="AU64" s="15" t="s">
        <v>77</v>
      </c>
      <c r="AV64" s="15" t="s">
        <v>78</v>
      </c>
      <c r="AW64" s="15" t="s">
        <v>76</v>
      </c>
      <c r="AX64" s="15" t="s">
        <v>40</v>
      </c>
      <c r="AY64" s="15" t="s">
        <v>74</v>
      </c>
      <c r="AZ64" s="15" t="s">
        <v>77</v>
      </c>
      <c r="BA64" s="15" t="s">
        <v>78</v>
      </c>
      <c r="BB64" s="15" t="s">
        <v>83</v>
      </c>
      <c r="BC64" s="15"/>
      <c r="BD64" s="15">
        <v>40</v>
      </c>
    </row>
    <row r="65" spans="2:56" x14ac:dyDescent="0.25">
      <c r="B65" s="239"/>
      <c r="C65" s="240"/>
      <c r="D65" s="241"/>
      <c r="H65" s="7">
        <f t="shared" si="0"/>
        <v>92</v>
      </c>
      <c r="I65" s="82">
        <v>1001</v>
      </c>
      <c r="J65" s="15" t="s">
        <v>69</v>
      </c>
      <c r="K65" s="15" t="s">
        <v>1104</v>
      </c>
      <c r="L65" s="35" t="s">
        <v>1597</v>
      </c>
      <c r="M65" s="16">
        <v>0.33333333333333331</v>
      </c>
      <c r="N65" s="16">
        <v>0.70833333333333337</v>
      </c>
      <c r="O65" s="15" t="s">
        <v>71</v>
      </c>
      <c r="P65" s="24">
        <v>5414403301</v>
      </c>
      <c r="Q65" s="15"/>
      <c r="R65" s="24">
        <v>5033785628</v>
      </c>
      <c r="S65" s="35" t="s">
        <v>1072</v>
      </c>
      <c r="T65" s="18">
        <v>6</v>
      </c>
      <c r="U65" s="35" t="s">
        <v>1162</v>
      </c>
      <c r="V65" s="15" t="s">
        <v>158</v>
      </c>
      <c r="W65" s="15" t="s">
        <v>159</v>
      </c>
      <c r="X65" s="15" t="s">
        <v>160</v>
      </c>
      <c r="Y65" s="15" t="s">
        <v>74</v>
      </c>
      <c r="Z65" s="15">
        <v>97471</v>
      </c>
      <c r="AA65" s="15" t="s">
        <v>161</v>
      </c>
      <c r="AB65" s="15" t="s">
        <v>1370</v>
      </c>
      <c r="AC65" s="15" t="s">
        <v>1371</v>
      </c>
      <c r="AD65" s="15" t="s">
        <v>1372</v>
      </c>
      <c r="AE65" s="15"/>
      <c r="AF65" s="15"/>
      <c r="AG65" s="15"/>
      <c r="AH65" s="15"/>
      <c r="AI65" s="15"/>
      <c r="AJ65" s="46" t="s">
        <v>1373</v>
      </c>
      <c r="AK65" s="47" t="s">
        <v>1374</v>
      </c>
      <c r="AL65" s="47" t="s">
        <v>1375</v>
      </c>
      <c r="AM65" s="46"/>
      <c r="AN65" s="15"/>
      <c r="AO65" s="15"/>
      <c r="AP65" s="15"/>
      <c r="AQ65" s="15"/>
      <c r="AR65" s="15" t="s">
        <v>76</v>
      </c>
      <c r="AS65" s="15" t="s">
        <v>40</v>
      </c>
      <c r="AT65" s="15" t="s">
        <v>74</v>
      </c>
      <c r="AU65" s="15" t="s">
        <v>77</v>
      </c>
      <c r="AV65" s="15" t="s">
        <v>78</v>
      </c>
      <c r="AW65" s="15" t="s">
        <v>76</v>
      </c>
      <c r="AX65" s="15" t="s">
        <v>40</v>
      </c>
      <c r="AY65" s="15" t="s">
        <v>74</v>
      </c>
      <c r="AZ65" s="15" t="s">
        <v>77</v>
      </c>
      <c r="BA65" s="15" t="s">
        <v>78</v>
      </c>
      <c r="BB65" s="15" t="s">
        <v>83</v>
      </c>
      <c r="BC65" s="15"/>
      <c r="BD65" s="15">
        <v>41</v>
      </c>
    </row>
    <row r="66" spans="2:56" x14ac:dyDescent="0.25">
      <c r="B66" s="239"/>
      <c r="C66" s="240"/>
      <c r="D66" s="241"/>
      <c r="H66" s="7">
        <f t="shared" si="0"/>
        <v>0</v>
      </c>
      <c r="I66" s="23">
        <v>1017</v>
      </c>
      <c r="J66" s="15" t="s">
        <v>69</v>
      </c>
      <c r="K66" s="15" t="s">
        <v>1104</v>
      </c>
      <c r="L66" s="35" t="s">
        <v>741</v>
      </c>
      <c r="M66" s="16">
        <v>0.33333333333333331</v>
      </c>
      <c r="N66" s="16">
        <v>0.70833333333333337</v>
      </c>
      <c r="O66" s="15" t="s">
        <v>71</v>
      </c>
      <c r="P66" s="24">
        <v>5414403580</v>
      </c>
      <c r="Q66" s="15"/>
      <c r="R66" s="24">
        <v>5414403599</v>
      </c>
      <c r="S66" s="35" t="s">
        <v>1065</v>
      </c>
      <c r="T66" s="18">
        <v>6</v>
      </c>
      <c r="U66" s="35" t="s">
        <v>1562</v>
      </c>
      <c r="V66" s="15" t="s">
        <v>158</v>
      </c>
      <c r="W66" s="15" t="s">
        <v>162</v>
      </c>
      <c r="X66" s="15" t="s">
        <v>160</v>
      </c>
      <c r="Y66" s="15" t="s">
        <v>74</v>
      </c>
      <c r="Z66" s="15">
        <v>97471</v>
      </c>
      <c r="AA66" s="15" t="s">
        <v>161</v>
      </c>
      <c r="AB66" s="15"/>
      <c r="AC66" s="15"/>
      <c r="AD66" s="15"/>
      <c r="AE66" s="15"/>
      <c r="AF66" s="15"/>
      <c r="AG66" s="15"/>
      <c r="AH66" s="15"/>
      <c r="AI66" s="15"/>
      <c r="AJ66" s="47"/>
      <c r="AK66" s="47"/>
      <c r="AL66" s="47"/>
      <c r="AM66" s="47"/>
      <c r="AN66" s="15"/>
      <c r="AO66" s="15"/>
      <c r="AP66" s="15"/>
      <c r="AQ66" s="15"/>
      <c r="AR66" s="15" t="s">
        <v>76</v>
      </c>
      <c r="AS66" s="15" t="s">
        <v>40</v>
      </c>
      <c r="AT66" s="15" t="s">
        <v>74</v>
      </c>
      <c r="AU66" s="15" t="s">
        <v>77</v>
      </c>
      <c r="AV66" s="15" t="s">
        <v>78</v>
      </c>
      <c r="AW66" s="15" t="s">
        <v>76</v>
      </c>
      <c r="AX66" s="15" t="s">
        <v>40</v>
      </c>
      <c r="AY66" s="15" t="s">
        <v>74</v>
      </c>
      <c r="AZ66" s="15" t="s">
        <v>77</v>
      </c>
      <c r="BA66" s="15" t="s">
        <v>78</v>
      </c>
      <c r="BB66" s="15" t="s">
        <v>83</v>
      </c>
      <c r="BC66" s="15"/>
      <c r="BD66" s="15">
        <v>42</v>
      </c>
    </row>
    <row r="67" spans="2:56" x14ac:dyDescent="0.25">
      <c r="B67" s="239"/>
      <c r="C67" s="240"/>
      <c r="D67" s="241"/>
      <c r="H67" s="7">
        <f t="shared" si="0"/>
        <v>56</v>
      </c>
      <c r="I67" s="23">
        <v>601</v>
      </c>
      <c r="J67" s="15" t="s">
        <v>69</v>
      </c>
      <c r="K67" s="15" t="s">
        <v>732</v>
      </c>
      <c r="L67" s="35" t="s">
        <v>1598</v>
      </c>
      <c r="M67" s="16">
        <v>0.33333333333333331</v>
      </c>
      <c r="N67" s="16">
        <v>0.70833333333333337</v>
      </c>
      <c r="O67" s="15" t="s">
        <v>71</v>
      </c>
      <c r="P67" s="24">
        <v>5418086155</v>
      </c>
      <c r="Q67" s="15"/>
      <c r="R67" s="24">
        <v>5033785628</v>
      </c>
      <c r="S67" s="35" t="s">
        <v>1186</v>
      </c>
      <c r="T67" s="18">
        <v>7</v>
      </c>
      <c r="U67" s="35" t="s">
        <v>1486</v>
      </c>
      <c r="V67" s="15" t="s">
        <v>163</v>
      </c>
      <c r="W67" s="15"/>
      <c r="X67" s="15" t="s">
        <v>164</v>
      </c>
      <c r="Y67" s="15" t="s">
        <v>74</v>
      </c>
      <c r="Z67" s="15">
        <v>97459</v>
      </c>
      <c r="AA67" s="15" t="s">
        <v>165</v>
      </c>
      <c r="AB67" s="15" t="s">
        <v>1334</v>
      </c>
      <c r="AC67" s="15" t="s">
        <v>1843</v>
      </c>
      <c r="AD67" s="15"/>
      <c r="AE67" s="15"/>
      <c r="AF67" s="15"/>
      <c r="AG67" s="15"/>
      <c r="AH67" s="15"/>
      <c r="AI67" s="15"/>
      <c r="AJ67" s="47" t="s">
        <v>1844</v>
      </c>
      <c r="AK67" s="47" t="s">
        <v>1845</v>
      </c>
      <c r="AL67" s="47"/>
      <c r="AM67" s="47"/>
      <c r="AN67" s="15"/>
      <c r="AO67" s="15"/>
      <c r="AP67" s="15"/>
      <c r="AQ67" s="15"/>
      <c r="AR67" s="15" t="s">
        <v>76</v>
      </c>
      <c r="AS67" s="15" t="s">
        <v>40</v>
      </c>
      <c r="AT67" s="15" t="s">
        <v>74</v>
      </c>
      <c r="AU67" s="15" t="s">
        <v>77</v>
      </c>
      <c r="AV67" s="15" t="s">
        <v>78</v>
      </c>
      <c r="AW67" s="15" t="s">
        <v>76</v>
      </c>
      <c r="AX67" s="15" t="s">
        <v>40</v>
      </c>
      <c r="AY67" s="15" t="s">
        <v>74</v>
      </c>
      <c r="AZ67" s="15" t="s">
        <v>77</v>
      </c>
      <c r="BA67" s="15" t="s">
        <v>78</v>
      </c>
      <c r="BB67" s="15" t="s">
        <v>83</v>
      </c>
      <c r="BC67" s="15"/>
      <c r="BD67" s="15">
        <v>43</v>
      </c>
    </row>
    <row r="68" spans="2:56" x14ac:dyDescent="0.25">
      <c r="B68" s="242"/>
      <c r="C68" s="243"/>
      <c r="D68" s="244"/>
      <c r="H68" s="7">
        <f t="shared" si="0"/>
        <v>0</v>
      </c>
      <c r="I68" s="23">
        <v>611</v>
      </c>
      <c r="J68" s="15" t="s">
        <v>69</v>
      </c>
      <c r="K68" s="15" t="s">
        <v>731</v>
      </c>
      <c r="L68" s="35" t="s">
        <v>1599</v>
      </c>
      <c r="M68" s="16">
        <v>0.33333333333333331</v>
      </c>
      <c r="N68" s="16">
        <v>0.70833333333333337</v>
      </c>
      <c r="O68" s="15" t="s">
        <v>71</v>
      </c>
      <c r="P68" s="24">
        <v>5417562017</v>
      </c>
      <c r="Q68" s="15"/>
      <c r="R68" s="24">
        <v>5033785628</v>
      </c>
      <c r="S68" s="35" t="s">
        <v>1073</v>
      </c>
      <c r="T68" s="18">
        <v>7</v>
      </c>
      <c r="U68" s="35" t="s">
        <v>1561</v>
      </c>
      <c r="V68" s="15" t="s">
        <v>166</v>
      </c>
      <c r="W68" s="15"/>
      <c r="X68" s="15" t="s">
        <v>164</v>
      </c>
      <c r="Y68" s="15" t="s">
        <v>74</v>
      </c>
      <c r="Z68" s="15">
        <v>97459</v>
      </c>
      <c r="AA68" s="15" t="s">
        <v>165</v>
      </c>
      <c r="AB68" s="15"/>
      <c r="AC68" s="15"/>
      <c r="AD68" s="15"/>
      <c r="AE68" s="15"/>
      <c r="AF68" s="15"/>
      <c r="AG68" s="15"/>
      <c r="AH68" s="15"/>
      <c r="AI68" s="15"/>
      <c r="AJ68" s="47"/>
      <c r="AK68" s="47"/>
      <c r="AL68" s="47"/>
      <c r="AM68" s="47"/>
      <c r="AN68" s="15"/>
      <c r="AO68" s="15"/>
      <c r="AP68" s="15"/>
      <c r="AQ68" s="15"/>
      <c r="AR68" s="15" t="s">
        <v>76</v>
      </c>
      <c r="AS68" s="15" t="s">
        <v>40</v>
      </c>
      <c r="AT68" s="15" t="s">
        <v>74</v>
      </c>
      <c r="AU68" s="15" t="s">
        <v>77</v>
      </c>
      <c r="AV68" s="15" t="s">
        <v>78</v>
      </c>
      <c r="AW68" s="15" t="s">
        <v>76</v>
      </c>
      <c r="AX68" s="15" t="s">
        <v>40</v>
      </c>
      <c r="AY68" s="15" t="s">
        <v>74</v>
      </c>
      <c r="AZ68" s="15" t="s">
        <v>77</v>
      </c>
      <c r="BA68" s="15" t="s">
        <v>78</v>
      </c>
      <c r="BB68" s="15" t="s">
        <v>83</v>
      </c>
      <c r="BC68" s="15"/>
      <c r="BD68" s="15">
        <v>44</v>
      </c>
    </row>
    <row r="69" spans="2:56" x14ac:dyDescent="0.25">
      <c r="B69" s="37"/>
      <c r="C69" s="37"/>
      <c r="D69" s="37"/>
      <c r="H69" s="7">
        <f t="shared" si="0"/>
        <v>56</v>
      </c>
      <c r="I69" s="23">
        <v>801</v>
      </c>
      <c r="J69" s="15" t="s">
        <v>69</v>
      </c>
      <c r="K69" s="15" t="s">
        <v>1104</v>
      </c>
      <c r="L69" s="35" t="s">
        <v>1600</v>
      </c>
      <c r="M69" s="16">
        <v>0.33333333333333331</v>
      </c>
      <c r="N69" s="16">
        <v>0.70833333333333337</v>
      </c>
      <c r="O69" s="15" t="s">
        <v>71</v>
      </c>
      <c r="P69" s="24">
        <v>5412477036</v>
      </c>
      <c r="Q69" s="15"/>
      <c r="R69" s="24">
        <v>5033785628</v>
      </c>
      <c r="S69" s="35" t="s">
        <v>1074</v>
      </c>
      <c r="T69" s="18">
        <v>7</v>
      </c>
      <c r="U69" s="35" t="s">
        <v>686</v>
      </c>
      <c r="V69" s="15" t="s">
        <v>167</v>
      </c>
      <c r="W69" s="15"/>
      <c r="X69" s="15" t="s">
        <v>168</v>
      </c>
      <c r="Y69" s="15" t="s">
        <v>74</v>
      </c>
      <c r="Z69" s="15">
        <v>97444</v>
      </c>
      <c r="AA69" s="15" t="s">
        <v>169</v>
      </c>
      <c r="AB69" s="15" t="s">
        <v>1334</v>
      </c>
      <c r="AC69" s="15" t="s">
        <v>1843</v>
      </c>
      <c r="AD69" s="15"/>
      <c r="AE69" s="15"/>
      <c r="AF69" s="15"/>
      <c r="AG69" s="15"/>
      <c r="AH69" s="15"/>
      <c r="AI69" s="15"/>
      <c r="AJ69" s="47" t="s">
        <v>1844</v>
      </c>
      <c r="AK69" s="47" t="s">
        <v>1845</v>
      </c>
      <c r="AL69" s="47"/>
      <c r="AM69" s="47"/>
      <c r="AN69" s="15"/>
      <c r="AO69" s="15"/>
      <c r="AP69" s="15"/>
      <c r="AQ69" s="15"/>
      <c r="AR69" s="15" t="s">
        <v>76</v>
      </c>
      <c r="AS69" s="15" t="s">
        <v>40</v>
      </c>
      <c r="AT69" s="15" t="s">
        <v>74</v>
      </c>
      <c r="AU69" s="15" t="s">
        <v>77</v>
      </c>
      <c r="AV69" s="15" t="s">
        <v>78</v>
      </c>
      <c r="AW69" s="15" t="s">
        <v>76</v>
      </c>
      <c r="AX69" s="15" t="s">
        <v>40</v>
      </c>
      <c r="AY69" s="15" t="s">
        <v>74</v>
      </c>
      <c r="AZ69" s="15" t="s">
        <v>77</v>
      </c>
      <c r="BA69" s="15" t="s">
        <v>78</v>
      </c>
      <c r="BB69" s="15" t="s">
        <v>83</v>
      </c>
      <c r="BC69" s="15"/>
      <c r="BD69" s="15">
        <v>45</v>
      </c>
    </row>
    <row r="70" spans="2:56" x14ac:dyDescent="0.25">
      <c r="B70" s="37" t="s">
        <v>1657</v>
      </c>
      <c r="C70" s="37"/>
      <c r="D70" s="37"/>
      <c r="H70" s="7">
        <f t="shared" si="0"/>
        <v>56</v>
      </c>
      <c r="I70" s="109">
        <v>802</v>
      </c>
      <c r="J70" s="35" t="s">
        <v>69</v>
      </c>
      <c r="K70" s="35" t="s">
        <v>732</v>
      </c>
      <c r="L70" s="35" t="s">
        <v>1601</v>
      </c>
      <c r="M70" s="110">
        <v>0.33333333333333331</v>
      </c>
      <c r="N70" s="110">
        <v>0.70833333333333337</v>
      </c>
      <c r="O70" s="35" t="s">
        <v>71</v>
      </c>
      <c r="P70" s="111">
        <v>5414699299</v>
      </c>
      <c r="Q70" s="35"/>
      <c r="R70" s="111">
        <v>5414690788</v>
      </c>
      <c r="S70" s="35"/>
      <c r="T70" s="112">
        <v>7</v>
      </c>
      <c r="U70" s="36" t="s">
        <v>1514</v>
      </c>
      <c r="V70" s="35" t="s">
        <v>1294</v>
      </c>
      <c r="W70" s="35"/>
      <c r="X70" s="35" t="s">
        <v>410</v>
      </c>
      <c r="Y70" s="35" t="s">
        <v>74</v>
      </c>
      <c r="Z70" s="35">
        <v>97415</v>
      </c>
      <c r="AA70" s="35" t="s">
        <v>169</v>
      </c>
      <c r="AB70" s="35" t="s">
        <v>1334</v>
      </c>
      <c r="AC70" s="35" t="s">
        <v>1843</v>
      </c>
      <c r="AD70" s="35"/>
      <c r="AE70" s="35"/>
      <c r="AF70" s="35"/>
      <c r="AG70" s="35"/>
      <c r="AH70" s="35"/>
      <c r="AI70" s="35"/>
      <c r="AJ70" s="35" t="s">
        <v>1844</v>
      </c>
      <c r="AK70" s="35" t="s">
        <v>1845</v>
      </c>
      <c r="AL70" s="35"/>
      <c r="AM70" s="35"/>
      <c r="AN70" s="35"/>
      <c r="AO70" s="35"/>
      <c r="AP70" s="35"/>
      <c r="AQ70" s="35"/>
      <c r="AR70" s="35"/>
      <c r="AS70" s="35"/>
      <c r="AT70" s="35"/>
      <c r="AU70" s="35"/>
      <c r="AV70" s="35"/>
      <c r="AW70" s="35"/>
      <c r="AX70" s="35"/>
      <c r="AY70" s="35"/>
      <c r="AZ70" s="35"/>
      <c r="BA70" s="35"/>
      <c r="BB70" s="35"/>
      <c r="BC70" s="35"/>
      <c r="BD70" s="15">
        <v>46</v>
      </c>
    </row>
    <row r="71" spans="2:56" x14ac:dyDescent="0.25">
      <c r="B71" s="236" t="s">
        <v>1665</v>
      </c>
      <c r="C71" s="237"/>
      <c r="D71" s="238"/>
      <c r="H71" s="7">
        <f t="shared" si="0"/>
        <v>0</v>
      </c>
      <c r="I71" s="23">
        <v>811</v>
      </c>
      <c r="J71" s="15" t="s">
        <v>69</v>
      </c>
      <c r="K71" s="15" t="s">
        <v>1104</v>
      </c>
      <c r="L71" s="35" t="s">
        <v>1131</v>
      </c>
      <c r="M71" s="16">
        <v>0.33333333333333331</v>
      </c>
      <c r="N71" s="16">
        <v>0.70833333333333337</v>
      </c>
      <c r="O71" s="15" t="s">
        <v>71</v>
      </c>
      <c r="P71" s="24">
        <v>5412474515</v>
      </c>
      <c r="Q71" s="15"/>
      <c r="R71" s="24">
        <v>5033785628</v>
      </c>
      <c r="S71" s="35" t="s">
        <v>1075</v>
      </c>
      <c r="T71" s="18">
        <v>7</v>
      </c>
      <c r="U71" s="35" t="s">
        <v>686</v>
      </c>
      <c r="V71" s="15" t="s">
        <v>167</v>
      </c>
      <c r="W71" s="15"/>
      <c r="X71" s="15" t="s">
        <v>168</v>
      </c>
      <c r="Y71" s="15" t="s">
        <v>74</v>
      </c>
      <c r="Z71" s="15">
        <v>97444</v>
      </c>
      <c r="AA71" s="15" t="s">
        <v>169</v>
      </c>
      <c r="AB71" s="15"/>
      <c r="AC71" s="15"/>
      <c r="AD71" s="15"/>
      <c r="AE71" s="15"/>
      <c r="AF71" s="15"/>
      <c r="AG71" s="15"/>
      <c r="AH71" s="15"/>
      <c r="AI71" s="15"/>
      <c r="AJ71" s="47"/>
      <c r="AK71" s="47"/>
      <c r="AL71" s="47"/>
      <c r="AM71" s="47"/>
      <c r="AN71" s="15"/>
      <c r="AO71" s="15"/>
      <c r="AP71" s="15"/>
      <c r="AQ71" s="15"/>
      <c r="AR71" s="15" t="s">
        <v>76</v>
      </c>
      <c r="AS71" s="15" t="s">
        <v>40</v>
      </c>
      <c r="AT71" s="15" t="s">
        <v>74</v>
      </c>
      <c r="AU71" s="15" t="s">
        <v>77</v>
      </c>
      <c r="AV71" s="15" t="s">
        <v>78</v>
      </c>
      <c r="AW71" s="15" t="s">
        <v>76</v>
      </c>
      <c r="AX71" s="15" t="s">
        <v>40</v>
      </c>
      <c r="AY71" s="15" t="s">
        <v>74</v>
      </c>
      <c r="AZ71" s="15" t="s">
        <v>77</v>
      </c>
      <c r="BA71" s="15" t="s">
        <v>78</v>
      </c>
      <c r="BB71" s="15" t="s">
        <v>83</v>
      </c>
      <c r="BC71" s="15"/>
      <c r="BD71" s="15">
        <v>47</v>
      </c>
    </row>
    <row r="72" spans="2:56" x14ac:dyDescent="0.25">
      <c r="B72" s="242"/>
      <c r="C72" s="243"/>
      <c r="D72" s="244"/>
      <c r="H72" s="7">
        <f t="shared" si="0"/>
        <v>181</v>
      </c>
      <c r="I72" s="23">
        <v>1501</v>
      </c>
      <c r="J72" s="15" t="s">
        <v>69</v>
      </c>
      <c r="K72" s="15" t="s">
        <v>732</v>
      </c>
      <c r="L72" s="35" t="s">
        <v>742</v>
      </c>
      <c r="M72" s="16">
        <v>0.33333333333333331</v>
      </c>
      <c r="N72" s="16">
        <v>0.70833333333333337</v>
      </c>
      <c r="O72" s="15" t="s">
        <v>71</v>
      </c>
      <c r="P72" s="24">
        <v>5417766172</v>
      </c>
      <c r="Q72" s="15"/>
      <c r="R72" s="24">
        <v>5033785628</v>
      </c>
      <c r="S72" s="46" t="s">
        <v>1465</v>
      </c>
      <c r="T72" s="18">
        <v>8</v>
      </c>
      <c r="U72" s="35" t="s">
        <v>1098</v>
      </c>
      <c r="V72" s="15" t="s">
        <v>170</v>
      </c>
      <c r="W72" s="15"/>
      <c r="X72" s="15" t="s">
        <v>171</v>
      </c>
      <c r="Y72" s="15" t="s">
        <v>74</v>
      </c>
      <c r="Z72" s="15">
        <v>97504</v>
      </c>
      <c r="AA72" s="15" t="s">
        <v>172</v>
      </c>
      <c r="AB72" s="15" t="s">
        <v>1781</v>
      </c>
      <c r="AC72" s="68" t="s">
        <v>1782</v>
      </c>
      <c r="AD72" s="15" t="s">
        <v>1783</v>
      </c>
      <c r="AE72" s="15" t="s">
        <v>1784</v>
      </c>
      <c r="AF72" s="15" t="s">
        <v>1785</v>
      </c>
      <c r="AG72" s="15" t="s">
        <v>1786</v>
      </c>
      <c r="AH72" s="15"/>
      <c r="AI72" s="15"/>
      <c r="AJ72" s="47" t="s">
        <v>1787</v>
      </c>
      <c r="AK72" s="47" t="s">
        <v>1788</v>
      </c>
      <c r="AL72" s="47" t="s">
        <v>1789</v>
      </c>
      <c r="AM72" s="47" t="s">
        <v>1790</v>
      </c>
      <c r="AN72" s="15" t="s">
        <v>1791</v>
      </c>
      <c r="AO72" s="15" t="s">
        <v>1792</v>
      </c>
      <c r="AP72" s="15"/>
      <c r="AQ72" s="15"/>
      <c r="AR72" s="15" t="s">
        <v>76</v>
      </c>
      <c r="AS72" s="15" t="s">
        <v>40</v>
      </c>
      <c r="AT72" s="15" t="s">
        <v>74</v>
      </c>
      <c r="AU72" s="15" t="s">
        <v>77</v>
      </c>
      <c r="AV72" s="15" t="s">
        <v>78</v>
      </c>
      <c r="AW72" s="15" t="s">
        <v>76</v>
      </c>
      <c r="AX72" s="15" t="s">
        <v>40</v>
      </c>
      <c r="AY72" s="15" t="s">
        <v>74</v>
      </c>
      <c r="AZ72" s="15" t="s">
        <v>77</v>
      </c>
      <c r="BA72" s="15" t="s">
        <v>78</v>
      </c>
      <c r="BB72" s="15" t="s">
        <v>83</v>
      </c>
      <c r="BC72" s="15"/>
      <c r="BD72" s="15">
        <v>48</v>
      </c>
    </row>
    <row r="73" spans="2:56" x14ac:dyDescent="0.25">
      <c r="B73" s="37"/>
      <c r="C73" s="37"/>
      <c r="D73" s="37"/>
      <c r="H73" s="7">
        <f t="shared" si="0"/>
        <v>183</v>
      </c>
      <c r="I73" s="23">
        <v>1502</v>
      </c>
      <c r="J73" s="15" t="s">
        <v>69</v>
      </c>
      <c r="K73" s="15" t="s">
        <v>732</v>
      </c>
      <c r="L73" s="35" t="s">
        <v>743</v>
      </c>
      <c r="M73" s="16">
        <v>0.33333333333333331</v>
      </c>
      <c r="N73" s="16">
        <v>0.70833333333333337</v>
      </c>
      <c r="O73" s="15" t="s">
        <v>71</v>
      </c>
      <c r="P73" s="24">
        <v>5414822041</v>
      </c>
      <c r="Q73" s="15"/>
      <c r="R73" s="24">
        <v>5033785628</v>
      </c>
      <c r="S73" s="35" t="s">
        <v>1076</v>
      </c>
      <c r="T73" s="18">
        <v>8</v>
      </c>
      <c r="U73" s="35" t="s">
        <v>687</v>
      </c>
      <c r="V73" s="15" t="s">
        <v>173</v>
      </c>
      <c r="W73" s="15"/>
      <c r="X73" s="15" t="s">
        <v>174</v>
      </c>
      <c r="Y73" s="15" t="s">
        <v>74</v>
      </c>
      <c r="Z73" s="15">
        <v>97520</v>
      </c>
      <c r="AA73" s="15" t="s">
        <v>172</v>
      </c>
      <c r="AB73" s="15" t="s">
        <v>1814</v>
      </c>
      <c r="AC73" s="15" t="s">
        <v>1815</v>
      </c>
      <c r="AD73" s="15" t="s">
        <v>1816</v>
      </c>
      <c r="AE73" s="15" t="s">
        <v>1817</v>
      </c>
      <c r="AF73" s="15" t="s">
        <v>1818</v>
      </c>
      <c r="AG73" s="15" t="s">
        <v>1819</v>
      </c>
      <c r="AH73" s="15"/>
      <c r="AI73" s="15"/>
      <c r="AJ73" s="47" t="s">
        <v>1820</v>
      </c>
      <c r="AK73" s="47" t="s">
        <v>1821</v>
      </c>
      <c r="AL73" s="47" t="s">
        <v>1822</v>
      </c>
      <c r="AM73" s="47" t="s">
        <v>1823</v>
      </c>
      <c r="AN73" s="15" t="s">
        <v>1824</v>
      </c>
      <c r="AO73" s="15" t="s">
        <v>1825</v>
      </c>
      <c r="AP73" s="15"/>
      <c r="AQ73" s="15"/>
      <c r="AR73" s="15" t="s">
        <v>76</v>
      </c>
      <c r="AS73" s="15" t="s">
        <v>40</v>
      </c>
      <c r="AT73" s="15" t="s">
        <v>74</v>
      </c>
      <c r="AU73" s="15" t="s">
        <v>77</v>
      </c>
      <c r="AV73" s="15" t="s">
        <v>78</v>
      </c>
      <c r="AW73" s="15" t="s">
        <v>76</v>
      </c>
      <c r="AX73" s="15" t="s">
        <v>40</v>
      </c>
      <c r="AY73" s="15" t="s">
        <v>74</v>
      </c>
      <c r="AZ73" s="15" t="s">
        <v>77</v>
      </c>
      <c r="BA73" s="15" t="s">
        <v>78</v>
      </c>
      <c r="BB73" s="15" t="s">
        <v>83</v>
      </c>
      <c r="BC73" s="15"/>
      <c r="BD73" s="15">
        <v>49</v>
      </c>
    </row>
    <row r="74" spans="2:56" x14ac:dyDescent="0.25">
      <c r="B74" s="37" t="s">
        <v>1650</v>
      </c>
      <c r="C74" s="37"/>
      <c r="D74" s="37"/>
      <c r="H74" s="7">
        <f t="shared" si="0"/>
        <v>58</v>
      </c>
      <c r="I74" s="23">
        <v>1505</v>
      </c>
      <c r="J74" s="15" t="s">
        <v>69</v>
      </c>
      <c r="K74" s="15" t="s">
        <v>732</v>
      </c>
      <c r="L74" s="35" t="s">
        <v>744</v>
      </c>
      <c r="M74" s="16">
        <v>0.33333333333333331</v>
      </c>
      <c r="N74" s="16">
        <v>0.70833333333333337</v>
      </c>
      <c r="O74" s="15" t="s">
        <v>71</v>
      </c>
      <c r="P74" s="24">
        <v>5417766160</v>
      </c>
      <c r="Q74" s="15"/>
      <c r="R74" s="24">
        <v>5033785628</v>
      </c>
      <c r="S74" s="35" t="s">
        <v>1228</v>
      </c>
      <c r="T74" s="18">
        <v>8</v>
      </c>
      <c r="U74" s="35" t="s">
        <v>1163</v>
      </c>
      <c r="V74" s="15" t="s">
        <v>175</v>
      </c>
      <c r="W74" s="15"/>
      <c r="X74" s="15" t="s">
        <v>176</v>
      </c>
      <c r="Y74" s="15" t="s">
        <v>74</v>
      </c>
      <c r="Z74" s="15">
        <v>97503</v>
      </c>
      <c r="AA74" s="15" t="s">
        <v>172</v>
      </c>
      <c r="AB74" s="15" t="s">
        <v>1422</v>
      </c>
      <c r="AC74" s="15" t="s">
        <v>1423</v>
      </c>
      <c r="AD74" s="15"/>
      <c r="AE74" s="68"/>
      <c r="AF74" s="15"/>
      <c r="AG74" s="15"/>
      <c r="AH74" s="15"/>
      <c r="AI74" s="15"/>
      <c r="AJ74" s="47" t="s">
        <v>1424</v>
      </c>
      <c r="AK74" s="47" t="s">
        <v>1425</v>
      </c>
      <c r="AL74" s="47"/>
      <c r="AM74" s="47"/>
      <c r="AN74" s="15"/>
      <c r="AO74" s="15"/>
      <c r="AP74" s="15"/>
      <c r="AQ74" s="15"/>
      <c r="AR74" s="15" t="s">
        <v>76</v>
      </c>
      <c r="AS74" s="15" t="s">
        <v>40</v>
      </c>
      <c r="AT74" s="15" t="s">
        <v>74</v>
      </c>
      <c r="AU74" s="15" t="s">
        <v>77</v>
      </c>
      <c r="AV74" s="15" t="s">
        <v>78</v>
      </c>
      <c r="AW74" s="15" t="s">
        <v>76</v>
      </c>
      <c r="AX74" s="15" t="s">
        <v>40</v>
      </c>
      <c r="AY74" s="15" t="s">
        <v>74</v>
      </c>
      <c r="AZ74" s="15" t="s">
        <v>77</v>
      </c>
      <c r="BA74" s="15" t="s">
        <v>78</v>
      </c>
      <c r="BB74" s="15" t="s">
        <v>83</v>
      </c>
      <c r="BC74" s="15"/>
      <c r="BD74" s="15">
        <v>50</v>
      </c>
    </row>
    <row r="75" spans="2:56" x14ac:dyDescent="0.25">
      <c r="B75" s="236" t="s">
        <v>1649</v>
      </c>
      <c r="C75" s="237"/>
      <c r="D75" s="238"/>
      <c r="H75" s="7">
        <f t="shared" si="0"/>
        <v>0</v>
      </c>
      <c r="I75" s="23">
        <v>1513</v>
      </c>
      <c r="J75" s="15" t="s">
        <v>69</v>
      </c>
      <c r="K75" s="15" t="s">
        <v>731</v>
      </c>
      <c r="L75" s="35" t="s">
        <v>745</v>
      </c>
      <c r="M75" s="16">
        <v>0.33333333333333331</v>
      </c>
      <c r="N75" s="16">
        <v>0.70833333333333337</v>
      </c>
      <c r="O75" s="15" t="s">
        <v>71</v>
      </c>
      <c r="P75" s="24">
        <v>5417766222</v>
      </c>
      <c r="Q75" s="15"/>
      <c r="R75" s="24">
        <v>5033785628</v>
      </c>
      <c r="S75" s="35" t="s">
        <v>1229</v>
      </c>
      <c r="T75" s="18">
        <v>8</v>
      </c>
      <c r="U75" s="35" t="s">
        <v>695</v>
      </c>
      <c r="V75" s="15" t="s">
        <v>177</v>
      </c>
      <c r="W75" s="15"/>
      <c r="X75" s="15" t="s">
        <v>171</v>
      </c>
      <c r="Y75" s="15" t="s">
        <v>74</v>
      </c>
      <c r="Z75" s="15">
        <v>97504</v>
      </c>
      <c r="AA75" s="15" t="s">
        <v>172</v>
      </c>
      <c r="AB75" s="15"/>
      <c r="AC75" s="15"/>
      <c r="AD75" s="15"/>
      <c r="AE75" s="15"/>
      <c r="AF75" s="15"/>
      <c r="AG75" s="15"/>
      <c r="AH75" s="15"/>
      <c r="AI75" s="15"/>
      <c r="AJ75" s="47"/>
      <c r="AK75" s="47"/>
      <c r="AL75" s="47"/>
      <c r="AM75" s="47"/>
      <c r="AN75" s="15"/>
      <c r="AO75" s="15"/>
      <c r="AP75" s="15"/>
      <c r="AQ75" s="15"/>
      <c r="AR75" s="15" t="s">
        <v>76</v>
      </c>
      <c r="AS75" s="15" t="s">
        <v>40</v>
      </c>
      <c r="AT75" s="15" t="s">
        <v>74</v>
      </c>
      <c r="AU75" s="15" t="s">
        <v>77</v>
      </c>
      <c r="AV75" s="15" t="s">
        <v>78</v>
      </c>
      <c r="AW75" s="15" t="s">
        <v>76</v>
      </c>
      <c r="AX75" s="15" t="s">
        <v>40</v>
      </c>
      <c r="AY75" s="15" t="s">
        <v>74</v>
      </c>
      <c r="AZ75" s="15" t="s">
        <v>77</v>
      </c>
      <c r="BA75" s="15" t="s">
        <v>78</v>
      </c>
      <c r="BB75" s="15" t="s">
        <v>83</v>
      </c>
      <c r="BC75" s="15"/>
      <c r="BD75" s="15">
        <v>51</v>
      </c>
    </row>
    <row r="76" spans="2:56" x14ac:dyDescent="0.25">
      <c r="B76" s="239"/>
      <c r="C76" s="240"/>
      <c r="D76" s="241"/>
      <c r="H76" s="7">
        <f t="shared" si="0"/>
        <v>0</v>
      </c>
      <c r="I76" s="23">
        <v>1517</v>
      </c>
      <c r="J76" s="15" t="s">
        <v>69</v>
      </c>
      <c r="K76" s="15" t="s">
        <v>731</v>
      </c>
      <c r="L76" s="35" t="s">
        <v>746</v>
      </c>
      <c r="M76" s="16">
        <v>0.33333333333333331</v>
      </c>
      <c r="N76" s="16">
        <v>0.70833333333333337</v>
      </c>
      <c r="O76" s="15" t="s">
        <v>71</v>
      </c>
      <c r="P76" s="24">
        <v>5417766210</v>
      </c>
      <c r="Q76" s="15"/>
      <c r="R76" s="24">
        <v>5033785628</v>
      </c>
      <c r="S76" s="35" t="s">
        <v>1077</v>
      </c>
      <c r="T76" s="18">
        <v>8</v>
      </c>
      <c r="U76" s="35" t="s">
        <v>695</v>
      </c>
      <c r="V76" s="15" t="s">
        <v>178</v>
      </c>
      <c r="W76" s="15" t="s">
        <v>143</v>
      </c>
      <c r="X76" s="15" t="s">
        <v>171</v>
      </c>
      <c r="Y76" s="15" t="s">
        <v>74</v>
      </c>
      <c r="Z76" s="15">
        <v>97501</v>
      </c>
      <c r="AA76" s="15" t="s">
        <v>172</v>
      </c>
      <c r="AB76" s="15"/>
      <c r="AC76" s="15"/>
      <c r="AD76" s="15"/>
      <c r="AE76" s="15"/>
      <c r="AF76" s="15"/>
      <c r="AG76" s="15"/>
      <c r="AH76" s="15"/>
      <c r="AI76" s="15"/>
      <c r="AJ76" s="47"/>
      <c r="AK76" s="47"/>
      <c r="AL76" s="47"/>
      <c r="AM76" s="47"/>
      <c r="AN76" s="15"/>
      <c r="AO76" s="15"/>
      <c r="AP76" s="15"/>
      <c r="AQ76" s="15"/>
      <c r="AR76" s="15" t="s">
        <v>76</v>
      </c>
      <c r="AS76" s="15" t="s">
        <v>40</v>
      </c>
      <c r="AT76" s="15" t="s">
        <v>74</v>
      </c>
      <c r="AU76" s="15" t="s">
        <v>77</v>
      </c>
      <c r="AV76" s="15" t="s">
        <v>78</v>
      </c>
      <c r="AW76" s="15" t="s">
        <v>76</v>
      </c>
      <c r="AX76" s="15" t="s">
        <v>40</v>
      </c>
      <c r="AY76" s="15" t="s">
        <v>74</v>
      </c>
      <c r="AZ76" s="15" t="s">
        <v>77</v>
      </c>
      <c r="BA76" s="15" t="s">
        <v>78</v>
      </c>
      <c r="BB76" s="15" t="s">
        <v>83</v>
      </c>
      <c r="BC76" s="15"/>
      <c r="BD76" s="15">
        <v>52</v>
      </c>
    </row>
    <row r="77" spans="2:56" x14ac:dyDescent="0.25">
      <c r="B77" s="239"/>
      <c r="C77" s="240"/>
      <c r="D77" s="241"/>
      <c r="H77" s="7">
        <f t="shared" si="0"/>
        <v>178</v>
      </c>
      <c r="I77" s="23">
        <v>1701</v>
      </c>
      <c r="J77" s="15" t="s">
        <v>69</v>
      </c>
      <c r="K77" s="15" t="s">
        <v>732</v>
      </c>
      <c r="L77" s="35" t="s">
        <v>747</v>
      </c>
      <c r="M77" s="16">
        <v>0.33333333333333331</v>
      </c>
      <c r="N77" s="16">
        <v>0.70833333333333337</v>
      </c>
      <c r="O77" s="15" t="s">
        <v>71</v>
      </c>
      <c r="P77" s="24">
        <v>5414743101</v>
      </c>
      <c r="Q77" s="15"/>
      <c r="R77" s="24">
        <v>5033785628</v>
      </c>
      <c r="S77" s="35" t="s">
        <v>1187</v>
      </c>
      <c r="T77" s="18">
        <v>8</v>
      </c>
      <c r="U77" s="35" t="s">
        <v>1099</v>
      </c>
      <c r="V77" s="15" t="s">
        <v>179</v>
      </c>
      <c r="W77" s="15" t="s">
        <v>180</v>
      </c>
      <c r="X77" s="15" t="s">
        <v>181</v>
      </c>
      <c r="Y77" s="15" t="s">
        <v>74</v>
      </c>
      <c r="Z77" s="15">
        <v>97526</v>
      </c>
      <c r="AA77" s="15" t="s">
        <v>182</v>
      </c>
      <c r="AB77" s="15" t="s">
        <v>1470</v>
      </c>
      <c r="AC77" s="15" t="s">
        <v>1471</v>
      </c>
      <c r="AD77" s="15" t="s">
        <v>1472</v>
      </c>
      <c r="AE77" s="15" t="s">
        <v>1775</v>
      </c>
      <c r="AF77" s="15" t="s">
        <v>1776</v>
      </c>
      <c r="AG77" s="15" t="s">
        <v>1777</v>
      </c>
      <c r="AH77" s="15"/>
      <c r="AI77" s="15"/>
      <c r="AJ77" s="47" t="s">
        <v>1473</v>
      </c>
      <c r="AK77" s="47" t="s">
        <v>1474</v>
      </c>
      <c r="AL77" s="47" t="s">
        <v>1475</v>
      </c>
      <c r="AM77" s="47" t="s">
        <v>1778</v>
      </c>
      <c r="AN77" s="15" t="s">
        <v>1779</v>
      </c>
      <c r="AO77" s="15" t="s">
        <v>1780</v>
      </c>
      <c r="AP77" s="15"/>
      <c r="AQ77" s="15"/>
      <c r="AR77" s="15" t="s">
        <v>76</v>
      </c>
      <c r="AS77" s="15" t="s">
        <v>40</v>
      </c>
      <c r="AT77" s="15" t="s">
        <v>74</v>
      </c>
      <c r="AU77" s="15" t="s">
        <v>77</v>
      </c>
      <c r="AV77" s="15" t="s">
        <v>78</v>
      </c>
      <c r="AW77" s="15" t="s">
        <v>76</v>
      </c>
      <c r="AX77" s="15" t="s">
        <v>40</v>
      </c>
      <c r="AY77" s="15" t="s">
        <v>74</v>
      </c>
      <c r="AZ77" s="15" t="s">
        <v>77</v>
      </c>
      <c r="BA77" s="15" t="s">
        <v>78</v>
      </c>
      <c r="BB77" s="15" t="s">
        <v>83</v>
      </c>
      <c r="BC77" s="15"/>
      <c r="BD77" s="15">
        <v>53</v>
      </c>
    </row>
    <row r="78" spans="2:56" x14ac:dyDescent="0.25">
      <c r="B78" s="239"/>
      <c r="C78" s="240"/>
      <c r="D78" s="241"/>
      <c r="H78" s="7">
        <f t="shared" si="0"/>
        <v>183</v>
      </c>
      <c r="I78" s="23">
        <v>1702</v>
      </c>
      <c r="J78" s="15" t="s">
        <v>69</v>
      </c>
      <c r="K78" s="15" t="s">
        <v>732</v>
      </c>
      <c r="L78" s="35" t="s">
        <v>748</v>
      </c>
      <c r="M78" s="16">
        <v>0.33333333333333331</v>
      </c>
      <c r="N78" s="16">
        <v>0.70833333333333337</v>
      </c>
      <c r="O78" s="15" t="s">
        <v>71</v>
      </c>
      <c r="P78" s="24">
        <v>5415924149</v>
      </c>
      <c r="Q78" s="15"/>
      <c r="R78" s="24">
        <v>5033785628</v>
      </c>
      <c r="S78" s="35" t="s">
        <v>1188</v>
      </c>
      <c r="T78" s="18">
        <v>8</v>
      </c>
      <c r="U78" s="35" t="s">
        <v>183</v>
      </c>
      <c r="V78" s="15" t="s">
        <v>184</v>
      </c>
      <c r="W78" s="15"/>
      <c r="X78" s="15" t="s">
        <v>185</v>
      </c>
      <c r="Y78" s="15" t="s">
        <v>74</v>
      </c>
      <c r="Z78" s="15">
        <v>97523</v>
      </c>
      <c r="AA78" s="15" t="s">
        <v>182</v>
      </c>
      <c r="AB78" s="15" t="s">
        <v>1728</v>
      </c>
      <c r="AC78" s="15" t="s">
        <v>1729</v>
      </c>
      <c r="AD78" s="15" t="s">
        <v>1730</v>
      </c>
      <c r="AE78" s="15" t="s">
        <v>1731</v>
      </c>
      <c r="AF78" s="15" t="s">
        <v>1732</v>
      </c>
      <c r="AG78" s="15" t="s">
        <v>1733</v>
      </c>
      <c r="AH78" s="15"/>
      <c r="AI78" s="15"/>
      <c r="AJ78" s="47" t="s">
        <v>1734</v>
      </c>
      <c r="AK78" s="47" t="s">
        <v>1735</v>
      </c>
      <c r="AL78" s="47" t="s">
        <v>1736</v>
      </c>
      <c r="AM78" s="47" t="s">
        <v>1737</v>
      </c>
      <c r="AN78" s="15" t="s">
        <v>1738</v>
      </c>
      <c r="AO78" s="46" t="s">
        <v>1739</v>
      </c>
      <c r="AP78" s="15"/>
      <c r="AQ78" s="15"/>
      <c r="AR78" s="15" t="s">
        <v>76</v>
      </c>
      <c r="AS78" s="15" t="s">
        <v>40</v>
      </c>
      <c r="AT78" s="15" t="s">
        <v>74</v>
      </c>
      <c r="AU78" s="15" t="s">
        <v>77</v>
      </c>
      <c r="AV78" s="15" t="s">
        <v>78</v>
      </c>
      <c r="AW78" s="15" t="s">
        <v>76</v>
      </c>
      <c r="AX78" s="15" t="s">
        <v>40</v>
      </c>
      <c r="AY78" s="15" t="s">
        <v>74</v>
      </c>
      <c r="AZ78" s="15" t="s">
        <v>77</v>
      </c>
      <c r="BA78" s="15" t="s">
        <v>78</v>
      </c>
      <c r="BB78" s="15" t="s">
        <v>83</v>
      </c>
      <c r="BC78" s="15"/>
      <c r="BD78" s="15">
        <v>54</v>
      </c>
    </row>
    <row r="79" spans="2:56" x14ac:dyDescent="0.25">
      <c r="B79" s="239"/>
      <c r="C79" s="240"/>
      <c r="D79" s="241"/>
      <c r="H79" s="7">
        <f t="shared" si="0"/>
        <v>0</v>
      </c>
      <c r="I79" s="23">
        <v>1717</v>
      </c>
      <c r="J79" s="15" t="s">
        <v>69</v>
      </c>
      <c r="K79" s="15" t="s">
        <v>731</v>
      </c>
      <c r="L79" s="35" t="s">
        <v>749</v>
      </c>
      <c r="M79" s="16">
        <v>0.33333333333333331</v>
      </c>
      <c r="N79" s="16">
        <v>0.70833333333333337</v>
      </c>
      <c r="O79" s="15" t="s">
        <v>71</v>
      </c>
      <c r="P79" s="24">
        <v>5414743110</v>
      </c>
      <c r="Q79" s="15"/>
      <c r="R79" s="24">
        <v>5414743125</v>
      </c>
      <c r="S79" s="35" t="s">
        <v>1230</v>
      </c>
      <c r="T79" s="18">
        <v>8</v>
      </c>
      <c r="U79" s="35" t="s">
        <v>1161</v>
      </c>
      <c r="V79" s="15" t="s">
        <v>179</v>
      </c>
      <c r="W79" s="15" t="s">
        <v>96</v>
      </c>
      <c r="X79" s="15" t="s">
        <v>181</v>
      </c>
      <c r="Y79" s="15" t="s">
        <v>74</v>
      </c>
      <c r="Z79" s="15">
        <v>97526</v>
      </c>
      <c r="AA79" s="15" t="s">
        <v>182</v>
      </c>
      <c r="AB79" s="15"/>
      <c r="AC79" s="15"/>
      <c r="AD79" s="15"/>
      <c r="AE79" s="15"/>
      <c r="AF79" s="15"/>
      <c r="AG79" s="15"/>
      <c r="AH79" s="15"/>
      <c r="AI79" s="15"/>
      <c r="AJ79" s="47"/>
      <c r="AK79" s="47"/>
      <c r="AL79" s="47"/>
      <c r="AM79" s="47"/>
      <c r="AN79" s="15"/>
      <c r="AO79" s="15"/>
      <c r="AP79" s="15"/>
      <c r="AQ79" s="15"/>
      <c r="AR79" s="15" t="s">
        <v>76</v>
      </c>
      <c r="AS79" s="15" t="s">
        <v>40</v>
      </c>
      <c r="AT79" s="15" t="s">
        <v>74</v>
      </c>
      <c r="AU79" s="15" t="s">
        <v>77</v>
      </c>
      <c r="AV79" s="15" t="s">
        <v>78</v>
      </c>
      <c r="AW79" s="15" t="s">
        <v>76</v>
      </c>
      <c r="AX79" s="15" t="s">
        <v>40</v>
      </c>
      <c r="AY79" s="15" t="s">
        <v>74</v>
      </c>
      <c r="AZ79" s="15" t="s">
        <v>77</v>
      </c>
      <c r="BA79" s="15" t="s">
        <v>78</v>
      </c>
      <c r="BB79" s="15" t="s">
        <v>83</v>
      </c>
      <c r="BC79" s="15"/>
      <c r="BD79" s="15">
        <v>55</v>
      </c>
    </row>
    <row r="80" spans="2:56" x14ac:dyDescent="0.25">
      <c r="B80" s="239"/>
      <c r="C80" s="240"/>
      <c r="D80" s="241"/>
      <c r="H80" s="7">
        <f t="shared" si="0"/>
        <v>96</v>
      </c>
      <c r="I80" s="23">
        <v>3301</v>
      </c>
      <c r="J80" s="15" t="s">
        <v>69</v>
      </c>
      <c r="K80" s="15" t="s">
        <v>732</v>
      </c>
      <c r="L80" s="35" t="s">
        <v>1602</v>
      </c>
      <c r="M80" s="16">
        <v>0.33333333333333331</v>
      </c>
      <c r="N80" s="16">
        <v>0.70833333333333337</v>
      </c>
      <c r="O80" s="15" t="s">
        <v>71</v>
      </c>
      <c r="P80" s="24">
        <v>5412964661</v>
      </c>
      <c r="Q80" s="15"/>
      <c r="R80" s="24">
        <v>5412961834</v>
      </c>
      <c r="S80" s="35" t="s">
        <v>1231</v>
      </c>
      <c r="T80" s="18">
        <v>9</v>
      </c>
      <c r="U80" s="35" t="s">
        <v>799</v>
      </c>
      <c r="V80" s="15" t="s">
        <v>186</v>
      </c>
      <c r="W80" s="15" t="s">
        <v>187</v>
      </c>
      <c r="X80" s="15" t="s">
        <v>188</v>
      </c>
      <c r="Y80" s="15" t="s">
        <v>74</v>
      </c>
      <c r="Z80" s="15">
        <v>97058</v>
      </c>
      <c r="AA80" s="15" t="s">
        <v>189</v>
      </c>
      <c r="AB80" s="15" t="s">
        <v>1658</v>
      </c>
      <c r="AC80" s="15" t="s">
        <v>1659</v>
      </c>
      <c r="AD80" s="15" t="s">
        <v>1324</v>
      </c>
      <c r="AE80" s="15"/>
      <c r="AF80" s="15"/>
      <c r="AG80" s="15"/>
      <c r="AH80" s="15"/>
      <c r="AI80" s="15"/>
      <c r="AJ80" s="47" t="s">
        <v>1326</v>
      </c>
      <c r="AK80" s="47" t="s">
        <v>1660</v>
      </c>
      <c r="AL80" s="47" t="s">
        <v>1325</v>
      </c>
      <c r="AM80" s="47"/>
      <c r="AN80" s="47"/>
      <c r="AO80" s="15"/>
      <c r="AP80" s="47"/>
      <c r="AQ80" s="47"/>
      <c r="AR80" s="15" t="s">
        <v>76</v>
      </c>
      <c r="AS80" s="15" t="s">
        <v>40</v>
      </c>
      <c r="AT80" s="15" t="s">
        <v>74</v>
      </c>
      <c r="AU80" s="15" t="s">
        <v>77</v>
      </c>
      <c r="AV80" s="15" t="s">
        <v>78</v>
      </c>
      <c r="AW80" s="15" t="s">
        <v>76</v>
      </c>
      <c r="AX80" s="15" t="s">
        <v>40</v>
      </c>
      <c r="AY80" s="15" t="s">
        <v>74</v>
      </c>
      <c r="AZ80" s="15" t="s">
        <v>77</v>
      </c>
      <c r="BA80" s="15" t="s">
        <v>78</v>
      </c>
      <c r="BB80" s="15" t="s">
        <v>79</v>
      </c>
      <c r="BC80" s="15"/>
      <c r="BD80" s="15">
        <v>56</v>
      </c>
    </row>
    <row r="81" spans="2:56" x14ac:dyDescent="0.25">
      <c r="B81" s="239"/>
      <c r="C81" s="240"/>
      <c r="D81" s="241"/>
      <c r="H81" s="7">
        <f t="shared" si="0"/>
        <v>99</v>
      </c>
      <c r="I81" s="23">
        <v>3302</v>
      </c>
      <c r="J81" s="15" t="s">
        <v>69</v>
      </c>
      <c r="K81" s="15" t="s">
        <v>732</v>
      </c>
      <c r="L81" s="35" t="s">
        <v>1603</v>
      </c>
      <c r="M81" s="16">
        <v>0.33333333333333331</v>
      </c>
      <c r="N81" s="16">
        <v>0.70833333333333337</v>
      </c>
      <c r="O81" s="15" t="s">
        <v>71</v>
      </c>
      <c r="P81" s="24">
        <v>5413863199</v>
      </c>
      <c r="Q81" s="15"/>
      <c r="R81" s="24">
        <v>5413866458</v>
      </c>
      <c r="S81" s="35" t="s">
        <v>1232</v>
      </c>
      <c r="T81" s="18">
        <v>9</v>
      </c>
      <c r="U81" s="35" t="s">
        <v>798</v>
      </c>
      <c r="V81" s="15" t="s">
        <v>190</v>
      </c>
      <c r="W81" s="15"/>
      <c r="X81" s="15" t="s">
        <v>191</v>
      </c>
      <c r="Y81" s="15" t="s">
        <v>74</v>
      </c>
      <c r="Z81" s="15">
        <v>97031</v>
      </c>
      <c r="AA81" s="15" t="s">
        <v>191</v>
      </c>
      <c r="AB81" s="15" t="s">
        <v>1658</v>
      </c>
      <c r="AC81" s="15" t="s">
        <v>1661</v>
      </c>
      <c r="AD81" s="15" t="s">
        <v>1324</v>
      </c>
      <c r="AE81" s="15"/>
      <c r="AF81" s="15"/>
      <c r="AG81" s="15"/>
      <c r="AH81" s="15"/>
      <c r="AI81" s="15"/>
      <c r="AJ81" s="47" t="s">
        <v>1326</v>
      </c>
      <c r="AK81" s="47" t="s">
        <v>1662</v>
      </c>
      <c r="AL81" s="47" t="s">
        <v>1325</v>
      </c>
      <c r="AM81" s="47"/>
      <c r="AN81" s="47"/>
      <c r="AO81" s="15"/>
      <c r="AP81" s="47"/>
      <c r="AQ81" s="47"/>
      <c r="AR81" s="15" t="s">
        <v>76</v>
      </c>
      <c r="AS81" s="15" t="s">
        <v>40</v>
      </c>
      <c r="AT81" s="15" t="s">
        <v>74</v>
      </c>
      <c r="AU81" s="15" t="s">
        <v>77</v>
      </c>
      <c r="AV81" s="15" t="s">
        <v>78</v>
      </c>
      <c r="AW81" s="15" t="s">
        <v>76</v>
      </c>
      <c r="AX81" s="15" t="s">
        <v>40</v>
      </c>
      <c r="AY81" s="15" t="s">
        <v>74</v>
      </c>
      <c r="AZ81" s="15" t="s">
        <v>77</v>
      </c>
      <c r="BA81" s="15" t="s">
        <v>78</v>
      </c>
      <c r="BB81" s="15" t="s">
        <v>79</v>
      </c>
      <c r="BC81" s="15"/>
      <c r="BD81" s="15">
        <v>57</v>
      </c>
    </row>
    <row r="82" spans="2:56" x14ac:dyDescent="0.25">
      <c r="B82" s="239"/>
      <c r="C82" s="240"/>
      <c r="D82" s="241"/>
      <c r="H82" s="7">
        <f t="shared" si="0"/>
        <v>0</v>
      </c>
      <c r="I82" s="23">
        <v>3311</v>
      </c>
      <c r="J82" s="15" t="s">
        <v>69</v>
      </c>
      <c r="K82" s="15" t="s">
        <v>731</v>
      </c>
      <c r="L82" s="35" t="s">
        <v>1604</v>
      </c>
      <c r="M82" s="16">
        <v>0.33333333333333331</v>
      </c>
      <c r="N82" s="16">
        <v>0.70833333333333337</v>
      </c>
      <c r="O82" s="15" t="s">
        <v>71</v>
      </c>
      <c r="P82" s="24">
        <v>5412984114</v>
      </c>
      <c r="Q82" s="15"/>
      <c r="R82" s="24">
        <v>5412981251</v>
      </c>
      <c r="S82" s="35" t="s">
        <v>1233</v>
      </c>
      <c r="T82" s="18">
        <v>9</v>
      </c>
      <c r="U82" s="35" t="s">
        <v>1143</v>
      </c>
      <c r="V82" s="15" t="s">
        <v>192</v>
      </c>
      <c r="W82" s="15"/>
      <c r="X82" s="15" t="s">
        <v>188</v>
      </c>
      <c r="Y82" s="15" t="s">
        <v>74</v>
      </c>
      <c r="Z82" s="15">
        <v>97058</v>
      </c>
      <c r="AA82" s="15" t="s">
        <v>189</v>
      </c>
      <c r="AB82" s="15"/>
      <c r="AC82" s="15"/>
      <c r="AD82" s="15"/>
      <c r="AE82" s="15"/>
      <c r="AF82" s="15"/>
      <c r="AG82" s="15"/>
      <c r="AH82" s="15"/>
      <c r="AI82" s="15"/>
      <c r="AJ82" s="47"/>
      <c r="AK82" s="47"/>
      <c r="AL82" s="47"/>
      <c r="AM82" s="47"/>
      <c r="AN82" s="15"/>
      <c r="AO82" s="15"/>
      <c r="AP82" s="15"/>
      <c r="AQ82" s="15"/>
      <c r="AR82" s="15" t="s">
        <v>76</v>
      </c>
      <c r="AS82" s="15" t="s">
        <v>40</v>
      </c>
      <c r="AT82" s="15" t="s">
        <v>74</v>
      </c>
      <c r="AU82" s="15" t="s">
        <v>77</v>
      </c>
      <c r="AV82" s="15" t="s">
        <v>78</v>
      </c>
      <c r="AW82" s="15" t="s">
        <v>76</v>
      </c>
      <c r="AX82" s="15" t="s">
        <v>40</v>
      </c>
      <c r="AY82" s="15" t="s">
        <v>74</v>
      </c>
      <c r="AZ82" s="15" t="s">
        <v>77</v>
      </c>
      <c r="BA82" s="15" t="s">
        <v>78</v>
      </c>
      <c r="BB82" s="15" t="s">
        <v>79</v>
      </c>
      <c r="BC82" s="15"/>
      <c r="BD82" s="15">
        <v>58</v>
      </c>
    </row>
    <row r="83" spans="2:56" ht="15.75" x14ac:dyDescent="0.25">
      <c r="B83" s="239"/>
      <c r="C83" s="240"/>
      <c r="D83" s="241"/>
      <c r="H83" s="7">
        <f t="shared" si="0"/>
        <v>70</v>
      </c>
      <c r="I83" s="23">
        <v>901</v>
      </c>
      <c r="J83" s="15" t="s">
        <v>69</v>
      </c>
      <c r="K83" s="15" t="s">
        <v>732</v>
      </c>
      <c r="L83" s="35" t="s">
        <v>1743</v>
      </c>
      <c r="M83" s="16">
        <v>0.33333333333333331</v>
      </c>
      <c r="N83" s="16">
        <v>0.70833333333333337</v>
      </c>
      <c r="O83" s="15" t="s">
        <v>71</v>
      </c>
      <c r="P83" s="24">
        <v>5413886010</v>
      </c>
      <c r="Q83" s="15"/>
      <c r="R83" s="24">
        <v>5033785628</v>
      </c>
      <c r="S83" s="35" t="s">
        <v>1078</v>
      </c>
      <c r="T83" s="18">
        <v>10</v>
      </c>
      <c r="U83" s="35" t="s">
        <v>193</v>
      </c>
      <c r="V83" s="15" t="s">
        <v>194</v>
      </c>
      <c r="W83" s="15" t="s">
        <v>195</v>
      </c>
      <c r="X83" s="15" t="s">
        <v>196</v>
      </c>
      <c r="Y83" s="15" t="s">
        <v>74</v>
      </c>
      <c r="Z83" s="15">
        <v>97701</v>
      </c>
      <c r="AA83" s="15" t="s">
        <v>197</v>
      </c>
      <c r="AB83" s="15" t="s">
        <v>1793</v>
      </c>
      <c r="AC83" s="15" t="s">
        <v>1794</v>
      </c>
      <c r="AD83" s="15"/>
      <c r="AE83" s="15"/>
      <c r="AF83" s="15"/>
      <c r="AG83" s="15"/>
      <c r="AH83" s="15"/>
      <c r="AI83" s="15"/>
      <c r="AJ83" s="47" t="s">
        <v>1304</v>
      </c>
      <c r="AK83" s="47" t="s">
        <v>1795</v>
      </c>
      <c r="AL83" s="47"/>
      <c r="AM83" s="47"/>
      <c r="AN83" s="15"/>
      <c r="AO83" s="15"/>
      <c r="AP83" s="15"/>
      <c r="AQ83" s="15"/>
      <c r="AR83" s="15" t="s">
        <v>76</v>
      </c>
      <c r="AS83" s="15" t="s">
        <v>40</v>
      </c>
      <c r="AT83" s="15" t="s">
        <v>74</v>
      </c>
      <c r="AU83" s="15" t="s">
        <v>77</v>
      </c>
      <c r="AV83" s="15" t="s">
        <v>78</v>
      </c>
      <c r="AW83" s="15" t="s">
        <v>76</v>
      </c>
      <c r="AX83" s="15" t="s">
        <v>40</v>
      </c>
      <c r="AY83" s="15" t="s">
        <v>74</v>
      </c>
      <c r="AZ83" s="15" t="s">
        <v>77</v>
      </c>
      <c r="BA83" s="15" t="s">
        <v>78</v>
      </c>
      <c r="BB83" s="15" t="s">
        <v>83</v>
      </c>
      <c r="BC83" s="15"/>
      <c r="BD83" s="15">
        <v>59</v>
      </c>
    </row>
    <row r="84" spans="2:56" ht="15.75" x14ac:dyDescent="0.25">
      <c r="B84" s="239"/>
      <c r="C84" s="240"/>
      <c r="D84" s="241"/>
      <c r="H84" s="7">
        <f t="shared" si="0"/>
        <v>110</v>
      </c>
      <c r="I84" s="23">
        <v>902</v>
      </c>
      <c r="J84" s="15" t="s">
        <v>69</v>
      </c>
      <c r="K84" s="15" t="s">
        <v>732</v>
      </c>
      <c r="L84" s="35" t="s">
        <v>1806</v>
      </c>
      <c r="M84" s="16">
        <v>0.33333333333333331</v>
      </c>
      <c r="N84" s="16">
        <v>0.70833333333333337</v>
      </c>
      <c r="O84" s="15" t="s">
        <v>71</v>
      </c>
      <c r="P84" s="24">
        <v>5415485547</v>
      </c>
      <c r="Q84" s="15"/>
      <c r="R84" s="24">
        <v>5419238212</v>
      </c>
      <c r="S84" s="35" t="s">
        <v>1189</v>
      </c>
      <c r="T84" s="18">
        <v>10</v>
      </c>
      <c r="U84" s="35" t="s">
        <v>198</v>
      </c>
      <c r="V84" s="15" t="s">
        <v>199</v>
      </c>
      <c r="W84" s="15" t="s">
        <v>96</v>
      </c>
      <c r="X84" s="15" t="s">
        <v>200</v>
      </c>
      <c r="Y84" s="15" t="s">
        <v>74</v>
      </c>
      <c r="Z84" s="15">
        <v>97756</v>
      </c>
      <c r="AA84" s="15" t="s">
        <v>197</v>
      </c>
      <c r="AB84" s="15" t="s">
        <v>1674</v>
      </c>
      <c r="AC84" s="15" t="s">
        <v>1826</v>
      </c>
      <c r="AD84" s="15" t="s">
        <v>1827</v>
      </c>
      <c r="AE84" s="15" t="s">
        <v>1828</v>
      </c>
      <c r="AF84" s="15"/>
      <c r="AG84" s="15"/>
      <c r="AH84" s="15"/>
      <c r="AI84" s="15"/>
      <c r="AJ84" s="47" t="s">
        <v>1829</v>
      </c>
      <c r="AK84" s="47" t="s">
        <v>1830</v>
      </c>
      <c r="AL84" s="47" t="s">
        <v>1831</v>
      </c>
      <c r="AM84" s="47" t="s">
        <v>1832</v>
      </c>
      <c r="AN84" s="15"/>
      <c r="AO84" s="15"/>
      <c r="AP84" s="15"/>
      <c r="AQ84" s="15"/>
      <c r="AR84" s="15" t="s">
        <v>76</v>
      </c>
      <c r="AS84" s="15" t="s">
        <v>40</v>
      </c>
      <c r="AT84" s="15" t="s">
        <v>74</v>
      </c>
      <c r="AU84" s="15" t="s">
        <v>77</v>
      </c>
      <c r="AV84" s="15" t="s">
        <v>78</v>
      </c>
      <c r="AW84" s="15" t="s">
        <v>76</v>
      </c>
      <c r="AX84" s="15" t="s">
        <v>40</v>
      </c>
      <c r="AY84" s="15" t="s">
        <v>74</v>
      </c>
      <c r="AZ84" s="15" t="s">
        <v>77</v>
      </c>
      <c r="BA84" s="15" t="s">
        <v>78</v>
      </c>
      <c r="BB84" s="15" t="s">
        <v>83</v>
      </c>
      <c r="BC84" s="15"/>
      <c r="BD84" s="15">
        <v>60</v>
      </c>
    </row>
    <row r="85" spans="2:56" ht="15.75" x14ac:dyDescent="0.25">
      <c r="B85" s="242"/>
      <c r="C85" s="243"/>
      <c r="D85" s="244"/>
      <c r="H85" s="7">
        <f t="shared" si="0"/>
        <v>60</v>
      </c>
      <c r="I85" s="23">
        <v>903</v>
      </c>
      <c r="J85" s="15" t="s">
        <v>69</v>
      </c>
      <c r="K85" s="15" t="s">
        <v>732</v>
      </c>
      <c r="L85" s="35" t="s">
        <v>1807</v>
      </c>
      <c r="M85" s="16">
        <v>0.33333333333333331</v>
      </c>
      <c r="N85" s="16">
        <v>0.70833333333333337</v>
      </c>
      <c r="O85" s="15" t="s">
        <v>71</v>
      </c>
      <c r="P85" s="24">
        <v>5415365380</v>
      </c>
      <c r="Q85" s="15"/>
      <c r="R85" s="24">
        <v>5033785628</v>
      </c>
      <c r="S85" s="46" t="s">
        <v>1456</v>
      </c>
      <c r="T85" s="18">
        <v>10</v>
      </c>
      <c r="U85" s="35" t="s">
        <v>201</v>
      </c>
      <c r="V85" s="15" t="s">
        <v>202</v>
      </c>
      <c r="W85" s="15" t="s">
        <v>203</v>
      </c>
      <c r="X85" s="15" t="s">
        <v>417</v>
      </c>
      <c r="Y85" s="15" t="s">
        <v>74</v>
      </c>
      <c r="Z85" s="15">
        <v>97739</v>
      </c>
      <c r="AA85" s="15" t="s">
        <v>197</v>
      </c>
      <c r="AB85" s="15" t="s">
        <v>1296</v>
      </c>
      <c r="AC85" s="15" t="s">
        <v>1297</v>
      </c>
      <c r="AD85" s="15"/>
      <c r="AE85" s="15"/>
      <c r="AF85" s="15"/>
      <c r="AG85" s="15"/>
      <c r="AH85" s="15"/>
      <c r="AI85" s="15"/>
      <c r="AJ85" s="47" t="s">
        <v>1298</v>
      </c>
      <c r="AK85" s="47" t="s">
        <v>1299</v>
      </c>
      <c r="AL85" s="47"/>
      <c r="AM85" s="47"/>
      <c r="AN85" s="15"/>
      <c r="AO85" s="15"/>
      <c r="AP85" s="15"/>
      <c r="AQ85" s="15"/>
      <c r="AR85" s="15" t="s">
        <v>76</v>
      </c>
      <c r="AS85" s="15" t="s">
        <v>40</v>
      </c>
      <c r="AT85" s="15" t="s">
        <v>74</v>
      </c>
      <c r="AU85" s="15" t="s">
        <v>77</v>
      </c>
      <c r="AV85" s="15" t="s">
        <v>78</v>
      </c>
      <c r="AW85" s="15" t="s">
        <v>76</v>
      </c>
      <c r="AX85" s="15" t="s">
        <v>40</v>
      </c>
      <c r="AY85" s="15" t="s">
        <v>74</v>
      </c>
      <c r="AZ85" s="15" t="s">
        <v>77</v>
      </c>
      <c r="BA85" s="15" t="s">
        <v>78</v>
      </c>
      <c r="BB85" s="15" t="s">
        <v>83</v>
      </c>
      <c r="BC85" s="15"/>
      <c r="BD85" s="15">
        <v>61</v>
      </c>
    </row>
    <row r="86" spans="2:56" x14ac:dyDescent="0.25">
      <c r="B86" s="37"/>
      <c r="C86" s="37"/>
      <c r="D86" s="37"/>
      <c r="H86" s="7">
        <f t="shared" si="0"/>
        <v>0</v>
      </c>
      <c r="I86" s="23">
        <v>911</v>
      </c>
      <c r="J86" s="15" t="s">
        <v>69</v>
      </c>
      <c r="K86" s="15" t="s">
        <v>731</v>
      </c>
      <c r="L86" s="35" t="s">
        <v>750</v>
      </c>
      <c r="M86" s="16">
        <v>0.33333333333333331</v>
      </c>
      <c r="N86" s="16">
        <v>0.70833333333333337</v>
      </c>
      <c r="O86" s="15" t="s">
        <v>71</v>
      </c>
      <c r="P86" s="24">
        <v>5413886240</v>
      </c>
      <c r="Q86" s="15"/>
      <c r="R86" s="24">
        <v>5413881429</v>
      </c>
      <c r="S86" s="46" t="s">
        <v>1432</v>
      </c>
      <c r="T86" s="18">
        <v>10</v>
      </c>
      <c r="U86" s="35" t="s">
        <v>193</v>
      </c>
      <c r="V86" s="15" t="s">
        <v>194</v>
      </c>
      <c r="W86" s="15" t="s">
        <v>102</v>
      </c>
      <c r="X86" s="15" t="s">
        <v>196</v>
      </c>
      <c r="Y86" s="15" t="s">
        <v>74</v>
      </c>
      <c r="Z86" s="15">
        <v>97703</v>
      </c>
      <c r="AA86" s="15" t="s">
        <v>197</v>
      </c>
      <c r="AB86" s="15"/>
      <c r="AC86" s="15"/>
      <c r="AD86" s="15"/>
      <c r="AE86" s="15"/>
      <c r="AF86" s="15"/>
      <c r="AG86" s="15"/>
      <c r="AH86" s="15"/>
      <c r="AI86" s="15"/>
      <c r="AJ86" s="47"/>
      <c r="AK86" s="47"/>
      <c r="AL86" s="47"/>
      <c r="AM86" s="47"/>
      <c r="AN86" s="15"/>
      <c r="AO86" s="15"/>
      <c r="AP86" s="15"/>
      <c r="AQ86" s="15"/>
      <c r="AR86" s="15" t="s">
        <v>76</v>
      </c>
      <c r="AS86" s="15" t="s">
        <v>40</v>
      </c>
      <c r="AT86" s="15" t="s">
        <v>74</v>
      </c>
      <c r="AU86" s="15" t="s">
        <v>77</v>
      </c>
      <c r="AV86" s="15" t="s">
        <v>78</v>
      </c>
      <c r="AW86" s="15" t="s">
        <v>76</v>
      </c>
      <c r="AX86" s="15" t="s">
        <v>40</v>
      </c>
      <c r="AY86" s="15" t="s">
        <v>74</v>
      </c>
      <c r="AZ86" s="15" t="s">
        <v>77</v>
      </c>
      <c r="BA86" s="15" t="s">
        <v>78</v>
      </c>
      <c r="BB86" s="15" t="s">
        <v>83</v>
      </c>
      <c r="BC86" s="15"/>
      <c r="BD86" s="15">
        <v>62</v>
      </c>
    </row>
    <row r="87" spans="2:56" x14ac:dyDescent="0.25">
      <c r="B87" s="37" t="s">
        <v>1571</v>
      </c>
      <c r="C87" s="37"/>
      <c r="D87" s="37"/>
      <c r="H87" s="7">
        <f t="shared" ref="H87:H126" si="2">SUM(LEN(AJ87),LEN(AK87),LEN(AL87),LEN(AM87),LEN(AN87),LEN(AO87))</f>
        <v>0</v>
      </c>
      <c r="I87" s="23">
        <v>913</v>
      </c>
      <c r="J87" s="15" t="s">
        <v>69</v>
      </c>
      <c r="K87" s="15" t="s">
        <v>731</v>
      </c>
      <c r="L87" s="35" t="s">
        <v>751</v>
      </c>
      <c r="M87" s="16">
        <v>0.33333333333333331</v>
      </c>
      <c r="N87" s="16">
        <v>0.70833333333333337</v>
      </c>
      <c r="O87" s="15" t="s">
        <v>71</v>
      </c>
      <c r="P87" s="24">
        <v>5415368919</v>
      </c>
      <c r="Q87" s="15"/>
      <c r="R87" s="24">
        <v>5033785628</v>
      </c>
      <c r="S87" s="35" t="s">
        <v>1234</v>
      </c>
      <c r="T87" s="18">
        <v>10</v>
      </c>
      <c r="U87" s="35" t="s">
        <v>201</v>
      </c>
      <c r="V87" s="15" t="s">
        <v>202</v>
      </c>
      <c r="W87" s="15" t="s">
        <v>203</v>
      </c>
      <c r="X87" s="15" t="s">
        <v>417</v>
      </c>
      <c r="Y87" s="15" t="s">
        <v>74</v>
      </c>
      <c r="Z87" s="15">
        <v>97739</v>
      </c>
      <c r="AA87" s="15" t="s">
        <v>197</v>
      </c>
      <c r="AB87" s="15"/>
      <c r="AC87" s="15"/>
      <c r="AD87" s="15"/>
      <c r="AE87" s="15"/>
      <c r="AF87" s="15"/>
      <c r="AG87" s="15"/>
      <c r="AH87" s="15"/>
      <c r="AI87" s="15"/>
      <c r="AJ87" s="47"/>
      <c r="AK87" s="47"/>
      <c r="AL87" s="47"/>
      <c r="AM87" s="47"/>
      <c r="AN87" s="15"/>
      <c r="AO87" s="15"/>
      <c r="AP87" s="15"/>
      <c r="AQ87" s="15"/>
      <c r="AR87" s="15" t="s">
        <v>76</v>
      </c>
      <c r="AS87" s="15" t="s">
        <v>40</v>
      </c>
      <c r="AT87" s="15" t="s">
        <v>74</v>
      </c>
      <c r="AU87" s="15" t="s">
        <v>77</v>
      </c>
      <c r="AV87" s="15" t="s">
        <v>78</v>
      </c>
      <c r="AW87" s="15" t="s">
        <v>76</v>
      </c>
      <c r="AX87" s="15" t="s">
        <v>40</v>
      </c>
      <c r="AY87" s="15" t="s">
        <v>74</v>
      </c>
      <c r="AZ87" s="15" t="s">
        <v>77</v>
      </c>
      <c r="BA87" s="15" t="s">
        <v>78</v>
      </c>
      <c r="BB87" s="15" t="s">
        <v>83</v>
      </c>
      <c r="BC87" s="15"/>
      <c r="BD87" s="15">
        <v>63</v>
      </c>
    </row>
    <row r="88" spans="2:56" x14ac:dyDescent="0.25">
      <c r="B88" s="236" t="s">
        <v>1656</v>
      </c>
      <c r="C88" s="228"/>
      <c r="D88" s="229"/>
      <c r="H88" s="7">
        <f t="shared" si="2"/>
        <v>0</v>
      </c>
      <c r="I88" s="23">
        <v>914</v>
      </c>
      <c r="J88" s="15" t="s">
        <v>69</v>
      </c>
      <c r="K88" s="15" t="s">
        <v>731</v>
      </c>
      <c r="L88" s="35" t="s">
        <v>752</v>
      </c>
      <c r="M88" s="16">
        <v>0.33333333333333331</v>
      </c>
      <c r="N88" s="16">
        <v>0.70833333333333337</v>
      </c>
      <c r="O88" s="15" t="s">
        <v>71</v>
      </c>
      <c r="P88" s="24">
        <v>5415482206</v>
      </c>
      <c r="Q88" s="15"/>
      <c r="R88" s="24">
        <v>5033785628</v>
      </c>
      <c r="S88" s="35" t="s">
        <v>1235</v>
      </c>
      <c r="T88" s="18">
        <v>10</v>
      </c>
      <c r="U88" s="35" t="s">
        <v>198</v>
      </c>
      <c r="V88" s="15" t="s">
        <v>204</v>
      </c>
      <c r="W88" s="15"/>
      <c r="X88" s="15" t="s">
        <v>200</v>
      </c>
      <c r="Y88" s="15" t="s">
        <v>74</v>
      </c>
      <c r="Z88" s="15">
        <v>97756</v>
      </c>
      <c r="AA88" s="15" t="s">
        <v>197</v>
      </c>
      <c r="AB88" s="15"/>
      <c r="AC88" s="15"/>
      <c r="AD88" s="15"/>
      <c r="AE88" s="15"/>
      <c r="AF88" s="15"/>
      <c r="AG88" s="15"/>
      <c r="AH88" s="15"/>
      <c r="AI88" s="15"/>
      <c r="AJ88" s="47"/>
      <c r="AK88" s="47"/>
      <c r="AL88" s="47"/>
      <c r="AM88" s="47"/>
      <c r="AN88" s="15"/>
      <c r="AO88" s="15"/>
      <c r="AP88" s="15"/>
      <c r="AQ88" s="15"/>
      <c r="AR88" s="15" t="s">
        <v>76</v>
      </c>
      <c r="AS88" s="15" t="s">
        <v>40</v>
      </c>
      <c r="AT88" s="15" t="s">
        <v>74</v>
      </c>
      <c r="AU88" s="15" t="s">
        <v>77</v>
      </c>
      <c r="AV88" s="15" t="s">
        <v>78</v>
      </c>
      <c r="AW88" s="15" t="s">
        <v>76</v>
      </c>
      <c r="AX88" s="15" t="s">
        <v>40</v>
      </c>
      <c r="AY88" s="15" t="s">
        <v>74</v>
      </c>
      <c r="AZ88" s="15" t="s">
        <v>77</v>
      </c>
      <c r="BA88" s="15" t="s">
        <v>78</v>
      </c>
      <c r="BB88" s="15" t="s">
        <v>83</v>
      </c>
      <c r="BC88" s="15"/>
      <c r="BD88" s="15">
        <v>64</v>
      </c>
    </row>
    <row r="89" spans="2:56" ht="15.75" x14ac:dyDescent="0.25">
      <c r="B89" s="230"/>
      <c r="C89" s="245"/>
      <c r="D89" s="232"/>
      <c r="H89" s="7">
        <f t="shared" si="2"/>
        <v>146</v>
      </c>
      <c r="I89" s="23">
        <v>1601</v>
      </c>
      <c r="J89" s="15" t="s">
        <v>69</v>
      </c>
      <c r="K89" s="15" t="s">
        <v>732</v>
      </c>
      <c r="L89" s="35" t="s">
        <v>1808</v>
      </c>
      <c r="M89" s="16">
        <v>0.33333333333333331</v>
      </c>
      <c r="N89" s="16">
        <v>0.70833333333333337</v>
      </c>
      <c r="O89" s="15" t="s">
        <v>71</v>
      </c>
      <c r="P89" s="24">
        <v>5414473851</v>
      </c>
      <c r="Q89" s="15"/>
      <c r="R89" s="24">
        <v>5033785628</v>
      </c>
      <c r="S89" s="35" t="s">
        <v>1079</v>
      </c>
      <c r="T89" s="18">
        <v>10</v>
      </c>
      <c r="U89" s="35" t="s">
        <v>205</v>
      </c>
      <c r="V89" s="15" t="s">
        <v>206</v>
      </c>
      <c r="W89" s="15"/>
      <c r="X89" s="15" t="s">
        <v>207</v>
      </c>
      <c r="Y89" s="15" t="s">
        <v>74</v>
      </c>
      <c r="Z89" s="15">
        <v>97754</v>
      </c>
      <c r="AA89" s="15" t="s">
        <v>208</v>
      </c>
      <c r="AB89" s="15" t="s">
        <v>1379</v>
      </c>
      <c r="AC89" s="15" t="s">
        <v>1547</v>
      </c>
      <c r="AD89" s="15" t="s">
        <v>1666</v>
      </c>
      <c r="AE89" s="15" t="s">
        <v>1667</v>
      </c>
      <c r="AF89" s="15" t="s">
        <v>1668</v>
      </c>
      <c r="AG89" s="15"/>
      <c r="AH89" s="15"/>
      <c r="AI89" s="15"/>
      <c r="AJ89" s="47" t="s">
        <v>1669</v>
      </c>
      <c r="AK89" s="47" t="s">
        <v>1670</v>
      </c>
      <c r="AL89" s="47" t="s">
        <v>1304</v>
      </c>
      <c r="AM89" s="47" t="s">
        <v>1671</v>
      </c>
      <c r="AN89" s="15" t="s">
        <v>1672</v>
      </c>
      <c r="AO89" s="15"/>
      <c r="AP89" s="15"/>
      <c r="AQ89" s="15"/>
      <c r="AR89" s="15" t="s">
        <v>76</v>
      </c>
      <c r="AS89" s="15" t="s">
        <v>40</v>
      </c>
      <c r="AT89" s="15" t="s">
        <v>74</v>
      </c>
      <c r="AU89" s="15" t="s">
        <v>77</v>
      </c>
      <c r="AV89" s="15" t="s">
        <v>78</v>
      </c>
      <c r="AW89" s="15" t="s">
        <v>76</v>
      </c>
      <c r="AX89" s="15" t="s">
        <v>40</v>
      </c>
      <c r="AY89" s="15" t="s">
        <v>74</v>
      </c>
      <c r="AZ89" s="15" t="s">
        <v>77</v>
      </c>
      <c r="BA89" s="15" t="s">
        <v>78</v>
      </c>
      <c r="BB89" s="15" t="s">
        <v>83</v>
      </c>
      <c r="BC89" s="15"/>
      <c r="BD89" s="15">
        <v>65</v>
      </c>
    </row>
    <row r="90" spans="2:56" ht="15.75" x14ac:dyDescent="0.25">
      <c r="B90" s="230"/>
      <c r="C90" s="245"/>
      <c r="D90" s="232"/>
      <c r="H90" s="7">
        <f t="shared" si="2"/>
        <v>146</v>
      </c>
      <c r="I90" s="23">
        <v>1602</v>
      </c>
      <c r="J90" s="15" t="s">
        <v>69</v>
      </c>
      <c r="K90" s="15" t="s">
        <v>732</v>
      </c>
      <c r="L90" s="35" t="s">
        <v>1809</v>
      </c>
      <c r="M90" s="16">
        <v>0.33333333333333331</v>
      </c>
      <c r="N90" s="16">
        <v>0.70833333333333337</v>
      </c>
      <c r="O90" s="15" t="s">
        <v>71</v>
      </c>
      <c r="P90" s="24">
        <v>5414756131</v>
      </c>
      <c r="Q90" s="15"/>
      <c r="R90" s="24">
        <v>5033785628</v>
      </c>
      <c r="S90" s="47" t="s">
        <v>1510</v>
      </c>
      <c r="T90" s="18">
        <v>10</v>
      </c>
      <c r="U90" s="35" t="s">
        <v>209</v>
      </c>
      <c r="V90" s="15" t="s">
        <v>210</v>
      </c>
      <c r="W90" s="15" t="s">
        <v>211</v>
      </c>
      <c r="X90" s="15" t="s">
        <v>212</v>
      </c>
      <c r="Y90" s="15" t="s">
        <v>74</v>
      </c>
      <c r="Z90" s="15">
        <v>97741</v>
      </c>
      <c r="AA90" s="15" t="s">
        <v>213</v>
      </c>
      <c r="AB90" s="15" t="s">
        <v>1428</v>
      </c>
      <c r="AC90" s="15" t="s">
        <v>1429</v>
      </c>
      <c r="AD90" s="15" t="s">
        <v>1673</v>
      </c>
      <c r="AE90" s="15" t="s">
        <v>1303</v>
      </c>
      <c r="AF90" s="15" t="s">
        <v>1674</v>
      </c>
      <c r="AG90" s="15"/>
      <c r="AH90" s="15"/>
      <c r="AI90" s="15"/>
      <c r="AJ90" s="47" t="s">
        <v>1430</v>
      </c>
      <c r="AK90" s="47" t="s">
        <v>1431</v>
      </c>
      <c r="AL90" s="47" t="s">
        <v>1675</v>
      </c>
      <c r="AM90" s="47" t="s">
        <v>1305</v>
      </c>
      <c r="AN90" s="15" t="s">
        <v>1676</v>
      </c>
      <c r="AO90" s="15"/>
      <c r="AP90" s="15"/>
      <c r="AQ90" s="15"/>
      <c r="AR90" s="15" t="s">
        <v>76</v>
      </c>
      <c r="AS90" s="15" t="s">
        <v>40</v>
      </c>
      <c r="AT90" s="15" t="s">
        <v>74</v>
      </c>
      <c r="AU90" s="15" t="s">
        <v>77</v>
      </c>
      <c r="AV90" s="15" t="s">
        <v>78</v>
      </c>
      <c r="AW90" s="15" t="s">
        <v>76</v>
      </c>
      <c r="AX90" s="15" t="s">
        <v>40</v>
      </c>
      <c r="AY90" s="15" t="s">
        <v>74</v>
      </c>
      <c r="AZ90" s="15" t="s">
        <v>77</v>
      </c>
      <c r="BA90" s="15" t="s">
        <v>78</v>
      </c>
      <c r="BB90" s="15" t="s">
        <v>83</v>
      </c>
      <c r="BC90" s="15"/>
      <c r="BD90" s="15">
        <v>66</v>
      </c>
    </row>
    <row r="91" spans="2:56" ht="15.75" x14ac:dyDescent="0.25">
      <c r="B91" s="230"/>
      <c r="C91" s="245"/>
      <c r="D91" s="232"/>
      <c r="H91" s="7">
        <f t="shared" si="2"/>
        <v>97</v>
      </c>
      <c r="I91" s="23">
        <v>1603</v>
      </c>
      <c r="J91" s="15" t="s">
        <v>69</v>
      </c>
      <c r="K91" s="15" t="s">
        <v>732</v>
      </c>
      <c r="L91" s="35" t="s">
        <v>1810</v>
      </c>
      <c r="M91" s="16">
        <v>0.33333333333333331</v>
      </c>
      <c r="N91" s="16">
        <v>0.70833333333333337</v>
      </c>
      <c r="O91" s="15" t="s">
        <v>71</v>
      </c>
      <c r="P91" s="24">
        <v>5415531626</v>
      </c>
      <c r="Q91" s="15"/>
      <c r="R91" s="24">
        <v>5415531631</v>
      </c>
      <c r="S91" s="47" t="s">
        <v>1511</v>
      </c>
      <c r="T91" s="18">
        <v>10</v>
      </c>
      <c r="U91" s="35" t="s">
        <v>1526</v>
      </c>
      <c r="V91" s="15" t="s">
        <v>1037</v>
      </c>
      <c r="W91" s="15"/>
      <c r="X91" s="15" t="s">
        <v>214</v>
      </c>
      <c r="Y91" s="15" t="s">
        <v>74</v>
      </c>
      <c r="Z91" s="15">
        <v>97761</v>
      </c>
      <c r="AA91" s="15" t="s">
        <v>213</v>
      </c>
      <c r="AB91" s="15" t="s">
        <v>1793</v>
      </c>
      <c r="AC91" s="15" t="s">
        <v>1303</v>
      </c>
      <c r="AD91" s="15" t="s">
        <v>1725</v>
      </c>
      <c r="AE91" s="15"/>
      <c r="AF91" s="15"/>
      <c r="AG91" s="15"/>
      <c r="AH91" s="15"/>
      <c r="AI91" s="15"/>
      <c r="AJ91" s="47" t="s">
        <v>1846</v>
      </c>
      <c r="AK91" s="47" t="s">
        <v>1847</v>
      </c>
      <c r="AL91" s="47" t="s">
        <v>1726</v>
      </c>
      <c r="AM91" s="47"/>
      <c r="AN91" s="15"/>
      <c r="AO91" s="15"/>
      <c r="AP91" s="15"/>
      <c r="AQ91" s="15"/>
      <c r="AR91" s="15" t="s">
        <v>76</v>
      </c>
      <c r="AS91" s="15" t="s">
        <v>40</v>
      </c>
      <c r="AT91" s="15" t="s">
        <v>74</v>
      </c>
      <c r="AU91" s="15" t="s">
        <v>77</v>
      </c>
      <c r="AV91" s="15" t="s">
        <v>78</v>
      </c>
      <c r="AW91" s="15" t="s">
        <v>76</v>
      </c>
      <c r="AX91" s="15" t="s">
        <v>40</v>
      </c>
      <c r="AY91" s="15" t="s">
        <v>74</v>
      </c>
      <c r="AZ91" s="15" t="s">
        <v>77</v>
      </c>
      <c r="BA91" s="15" t="s">
        <v>78</v>
      </c>
      <c r="BB91" s="15" t="s">
        <v>83</v>
      </c>
      <c r="BC91" s="15"/>
      <c r="BD91" s="15">
        <v>67</v>
      </c>
    </row>
    <row r="92" spans="2:56" x14ac:dyDescent="0.25">
      <c r="B92" s="230"/>
      <c r="C92" s="245"/>
      <c r="D92" s="232"/>
      <c r="H92" s="7">
        <f t="shared" si="2"/>
        <v>0</v>
      </c>
      <c r="I92" s="23">
        <v>1611</v>
      </c>
      <c r="J92" s="15" t="s">
        <v>69</v>
      </c>
      <c r="K92" s="15" t="s">
        <v>731</v>
      </c>
      <c r="L92" s="35" t="s">
        <v>753</v>
      </c>
      <c r="M92" s="16">
        <v>0.33333333333333331</v>
      </c>
      <c r="N92" s="16">
        <v>0.70833333333333337</v>
      </c>
      <c r="O92" s="15" t="s">
        <v>71</v>
      </c>
      <c r="P92" s="24">
        <v>5414474511</v>
      </c>
      <c r="Q92" s="15"/>
      <c r="R92" s="24">
        <v>5033785628</v>
      </c>
      <c r="S92" s="47" t="s">
        <v>1545</v>
      </c>
      <c r="T92" s="18">
        <v>10</v>
      </c>
      <c r="U92" s="35" t="s">
        <v>205</v>
      </c>
      <c r="V92" s="15" t="s">
        <v>206</v>
      </c>
      <c r="W92" s="15" t="s">
        <v>215</v>
      </c>
      <c r="X92" s="15" t="s">
        <v>207</v>
      </c>
      <c r="Y92" s="15" t="s">
        <v>74</v>
      </c>
      <c r="Z92" s="15">
        <v>97754</v>
      </c>
      <c r="AA92" s="15" t="s">
        <v>208</v>
      </c>
      <c r="AB92" s="15"/>
      <c r="AC92" s="15"/>
      <c r="AD92" s="15"/>
      <c r="AE92" s="15"/>
      <c r="AF92" s="15"/>
      <c r="AG92" s="15"/>
      <c r="AH92" s="15"/>
      <c r="AI92" s="15"/>
      <c r="AJ92" s="47"/>
      <c r="AK92" s="47"/>
      <c r="AL92" s="47"/>
      <c r="AM92" s="47"/>
      <c r="AN92" s="15"/>
      <c r="AO92" s="15"/>
      <c r="AP92" s="15"/>
      <c r="AQ92" s="15"/>
      <c r="AR92" s="15" t="s">
        <v>76</v>
      </c>
      <c r="AS92" s="15" t="s">
        <v>40</v>
      </c>
      <c r="AT92" s="15" t="s">
        <v>74</v>
      </c>
      <c r="AU92" s="15" t="s">
        <v>77</v>
      </c>
      <c r="AV92" s="15" t="s">
        <v>78</v>
      </c>
      <c r="AW92" s="15" t="s">
        <v>76</v>
      </c>
      <c r="AX92" s="15" t="s">
        <v>40</v>
      </c>
      <c r="AY92" s="15" t="s">
        <v>74</v>
      </c>
      <c r="AZ92" s="15" t="s">
        <v>77</v>
      </c>
      <c r="BA92" s="15" t="s">
        <v>78</v>
      </c>
      <c r="BB92" s="15" t="s">
        <v>83</v>
      </c>
      <c r="BC92" s="15"/>
      <c r="BD92" s="15">
        <v>68</v>
      </c>
    </row>
    <row r="93" spans="2:56" x14ac:dyDescent="0.25">
      <c r="B93" s="233"/>
      <c r="C93" s="234"/>
      <c r="D93" s="235"/>
      <c r="H93" s="7">
        <f t="shared" si="2"/>
        <v>0</v>
      </c>
      <c r="I93" s="23">
        <v>1612</v>
      </c>
      <c r="J93" s="15" t="s">
        <v>69</v>
      </c>
      <c r="K93" s="15" t="s">
        <v>731</v>
      </c>
      <c r="L93" s="35" t="s">
        <v>754</v>
      </c>
      <c r="M93" s="16">
        <v>0.33333333333333331</v>
      </c>
      <c r="N93" s="16">
        <v>0.70833333333333337</v>
      </c>
      <c r="O93" s="15" t="s">
        <v>71</v>
      </c>
      <c r="P93" s="24">
        <v>5414756773</v>
      </c>
      <c r="Q93" s="15"/>
      <c r="R93" s="24">
        <v>5033785628</v>
      </c>
      <c r="S93" s="35" t="s">
        <v>1236</v>
      </c>
      <c r="T93" s="18">
        <v>10</v>
      </c>
      <c r="U93" s="35" t="s">
        <v>688</v>
      </c>
      <c r="V93" s="15" t="s">
        <v>216</v>
      </c>
      <c r="W93" s="15" t="s">
        <v>143</v>
      </c>
      <c r="X93" s="15" t="s">
        <v>212</v>
      </c>
      <c r="Y93" s="15" t="s">
        <v>74</v>
      </c>
      <c r="Z93" s="15">
        <v>97741</v>
      </c>
      <c r="AA93" s="15" t="s">
        <v>213</v>
      </c>
      <c r="AB93" s="15"/>
      <c r="AC93" s="15"/>
      <c r="AD93" s="15"/>
      <c r="AE93" s="15"/>
      <c r="AF93" s="15"/>
      <c r="AG93" s="15"/>
      <c r="AH93" s="15"/>
      <c r="AI93" s="15"/>
      <c r="AJ93" s="47"/>
      <c r="AK93" s="47"/>
      <c r="AL93" s="47"/>
      <c r="AM93" s="47"/>
      <c r="AN93" s="15"/>
      <c r="AO93" s="15"/>
      <c r="AP93" s="15"/>
      <c r="AQ93" s="15"/>
      <c r="AR93" s="15" t="s">
        <v>76</v>
      </c>
      <c r="AS93" s="15" t="s">
        <v>40</v>
      </c>
      <c r="AT93" s="15" t="s">
        <v>74</v>
      </c>
      <c r="AU93" s="15" t="s">
        <v>77</v>
      </c>
      <c r="AV93" s="15" t="s">
        <v>78</v>
      </c>
      <c r="AW93" s="15" t="s">
        <v>76</v>
      </c>
      <c r="AX93" s="15" t="s">
        <v>40</v>
      </c>
      <c r="AY93" s="15" t="s">
        <v>74</v>
      </c>
      <c r="AZ93" s="15" t="s">
        <v>77</v>
      </c>
      <c r="BA93" s="15" t="s">
        <v>78</v>
      </c>
      <c r="BB93" s="15" t="s">
        <v>83</v>
      </c>
      <c r="BC93" s="15"/>
      <c r="BD93" s="15">
        <v>69</v>
      </c>
    </row>
    <row r="94" spans="2:56" ht="15.75" x14ac:dyDescent="0.25">
      <c r="B94" s="37"/>
      <c r="C94" s="37"/>
      <c r="D94" s="37"/>
      <c r="H94" s="7">
        <f t="shared" si="2"/>
        <v>192</v>
      </c>
      <c r="I94" s="23">
        <v>1801</v>
      </c>
      <c r="J94" s="15" t="s">
        <v>69</v>
      </c>
      <c r="K94" s="15" t="s">
        <v>1104</v>
      </c>
      <c r="L94" s="35" t="s">
        <v>1804</v>
      </c>
      <c r="M94" s="16">
        <v>0.33333333333333331</v>
      </c>
      <c r="N94" s="16">
        <v>0.70833333333333337</v>
      </c>
      <c r="O94" s="15" t="s">
        <v>71</v>
      </c>
      <c r="P94" s="24">
        <v>5418835511</v>
      </c>
      <c r="Q94" s="15"/>
      <c r="R94" s="24">
        <v>5418835587</v>
      </c>
      <c r="S94" s="35" t="s">
        <v>1080</v>
      </c>
      <c r="T94" s="18">
        <v>11</v>
      </c>
      <c r="U94" s="35" t="s">
        <v>1164</v>
      </c>
      <c r="V94" s="15" t="s">
        <v>1010</v>
      </c>
      <c r="W94" s="15" t="s">
        <v>1011</v>
      </c>
      <c r="X94" s="15" t="s">
        <v>217</v>
      </c>
      <c r="Y94" s="15" t="s">
        <v>74</v>
      </c>
      <c r="Z94" s="15">
        <v>97601</v>
      </c>
      <c r="AA94" s="15" t="s">
        <v>218</v>
      </c>
      <c r="AB94" s="15" t="s">
        <v>1469</v>
      </c>
      <c r="AC94" s="15" t="s">
        <v>1391</v>
      </c>
      <c r="AD94" s="15" t="s">
        <v>1689</v>
      </c>
      <c r="AE94" s="15" t="s">
        <v>1401</v>
      </c>
      <c r="AF94" s="15" t="s">
        <v>1400</v>
      </c>
      <c r="AG94" s="15" t="s">
        <v>1688</v>
      </c>
      <c r="AH94" s="15"/>
      <c r="AI94" s="15"/>
      <c r="AJ94" s="15" t="s">
        <v>1691</v>
      </c>
      <c r="AK94" s="47" t="s">
        <v>1392</v>
      </c>
      <c r="AL94" s="47" t="s">
        <v>1692</v>
      </c>
      <c r="AM94" s="47" t="s">
        <v>1690</v>
      </c>
      <c r="AN94" s="15" t="s">
        <v>1761</v>
      </c>
      <c r="AO94" s="15" t="s">
        <v>1762</v>
      </c>
      <c r="AP94" s="15"/>
      <c r="AQ94" s="15"/>
      <c r="AR94" s="15" t="s">
        <v>76</v>
      </c>
      <c r="AS94" s="15" t="s">
        <v>40</v>
      </c>
      <c r="AT94" s="15" t="s">
        <v>74</v>
      </c>
      <c r="AU94" s="15" t="s">
        <v>77</v>
      </c>
      <c r="AV94" s="15" t="s">
        <v>78</v>
      </c>
      <c r="AW94" s="15" t="s">
        <v>76</v>
      </c>
      <c r="AX94" s="15" t="s">
        <v>40</v>
      </c>
      <c r="AY94" s="15" t="s">
        <v>74</v>
      </c>
      <c r="AZ94" s="15" t="s">
        <v>77</v>
      </c>
      <c r="BA94" s="15" t="s">
        <v>78</v>
      </c>
      <c r="BB94" s="15" t="s">
        <v>83</v>
      </c>
      <c r="BC94" s="15"/>
      <c r="BD94" s="15">
        <v>70</v>
      </c>
    </row>
    <row r="95" spans="2:56" ht="15.75" x14ac:dyDescent="0.25">
      <c r="B95" s="37" t="s">
        <v>1560</v>
      </c>
      <c r="C95" s="37"/>
      <c r="D95" s="37"/>
      <c r="H95" s="7">
        <f t="shared" si="2"/>
        <v>28</v>
      </c>
      <c r="I95" s="23">
        <v>1802</v>
      </c>
      <c r="J95" s="15" t="s">
        <v>69</v>
      </c>
      <c r="K95" s="15" t="s">
        <v>732</v>
      </c>
      <c r="L95" s="35" t="s">
        <v>1805</v>
      </c>
      <c r="M95" s="16">
        <v>0.33333333333333331</v>
      </c>
      <c r="N95" s="16">
        <v>0.70833333333333337</v>
      </c>
      <c r="O95" s="15" t="s">
        <v>71</v>
      </c>
      <c r="P95" s="24">
        <v>5419473376</v>
      </c>
      <c r="Q95" s="15"/>
      <c r="R95" s="24">
        <v>5419475076</v>
      </c>
      <c r="S95" s="46" t="s">
        <v>1756</v>
      </c>
      <c r="T95" s="18">
        <v>11</v>
      </c>
      <c r="U95" s="35" t="s">
        <v>810</v>
      </c>
      <c r="V95" s="15" t="s">
        <v>219</v>
      </c>
      <c r="W95" s="15"/>
      <c r="X95" s="15" t="s">
        <v>220</v>
      </c>
      <c r="Y95" s="15" t="s">
        <v>74</v>
      </c>
      <c r="Z95" s="15">
        <v>97630</v>
      </c>
      <c r="AA95" s="15" t="s">
        <v>221</v>
      </c>
      <c r="AB95" s="15" t="s">
        <v>1469</v>
      </c>
      <c r="AC95" s="15"/>
      <c r="AD95" s="15"/>
      <c r="AE95" s="15"/>
      <c r="AF95" s="15"/>
      <c r="AG95" s="15"/>
      <c r="AH95" s="15"/>
      <c r="AI95" s="15"/>
      <c r="AJ95" s="15" t="s">
        <v>1759</v>
      </c>
      <c r="AK95" s="47"/>
      <c r="AL95" s="47"/>
      <c r="AM95" s="47"/>
      <c r="AN95" s="15"/>
      <c r="AO95" s="15"/>
      <c r="AP95" s="15"/>
      <c r="AQ95" s="15"/>
      <c r="AR95" s="15" t="s">
        <v>76</v>
      </c>
      <c r="AS95" s="15" t="s">
        <v>40</v>
      </c>
      <c r="AT95" s="15" t="s">
        <v>74</v>
      </c>
      <c r="AU95" s="15" t="s">
        <v>77</v>
      </c>
      <c r="AV95" s="15" t="s">
        <v>78</v>
      </c>
      <c r="AW95" s="15" t="s">
        <v>76</v>
      </c>
      <c r="AX95" s="15" t="s">
        <v>40</v>
      </c>
      <c r="AY95" s="15" t="s">
        <v>74</v>
      </c>
      <c r="AZ95" s="15" t="s">
        <v>77</v>
      </c>
      <c r="BA95" s="15" t="s">
        <v>78</v>
      </c>
      <c r="BB95" s="15" t="s">
        <v>83</v>
      </c>
      <c r="BC95" s="15"/>
      <c r="BD95" s="15">
        <v>71</v>
      </c>
    </row>
    <row r="96" spans="2:56" x14ac:dyDescent="0.25">
      <c r="B96" s="258" t="s">
        <v>1564</v>
      </c>
      <c r="C96" s="258"/>
      <c r="D96" s="258"/>
      <c r="H96" s="7">
        <f t="shared" si="2"/>
        <v>0</v>
      </c>
      <c r="I96" s="23">
        <v>1811</v>
      </c>
      <c r="J96" s="15" t="s">
        <v>69</v>
      </c>
      <c r="K96" s="15" t="s">
        <v>1104</v>
      </c>
      <c r="L96" s="35" t="s">
        <v>755</v>
      </c>
      <c r="M96" s="16">
        <v>0.33333333333333331</v>
      </c>
      <c r="N96" s="16">
        <v>0.70833333333333337</v>
      </c>
      <c r="O96" s="15" t="s">
        <v>71</v>
      </c>
      <c r="P96" s="24">
        <v>5418835511</v>
      </c>
      <c r="Q96" s="15"/>
      <c r="R96" s="24">
        <v>5418835567</v>
      </c>
      <c r="S96" s="35" t="s">
        <v>1237</v>
      </c>
      <c r="T96" s="18">
        <v>11</v>
      </c>
      <c r="U96" s="35" t="s">
        <v>689</v>
      </c>
      <c r="V96" s="15" t="s">
        <v>1010</v>
      </c>
      <c r="W96" s="15" t="s">
        <v>1011</v>
      </c>
      <c r="X96" s="15" t="s">
        <v>217</v>
      </c>
      <c r="Y96" s="15" t="s">
        <v>74</v>
      </c>
      <c r="Z96" s="15">
        <v>97601</v>
      </c>
      <c r="AA96" s="15" t="s">
        <v>218</v>
      </c>
      <c r="AB96" s="15"/>
      <c r="AC96" s="15"/>
      <c r="AD96" s="15"/>
      <c r="AE96" s="15"/>
      <c r="AF96" s="15"/>
      <c r="AG96" s="15"/>
      <c r="AH96" s="15"/>
      <c r="AI96" s="15"/>
      <c r="AJ96" s="47"/>
      <c r="AK96" s="47"/>
      <c r="AL96" s="47"/>
      <c r="AM96" s="47"/>
      <c r="AN96" s="15"/>
      <c r="AO96" s="15"/>
      <c r="AP96" s="15"/>
      <c r="AQ96" s="15"/>
      <c r="AR96" s="15" t="s">
        <v>76</v>
      </c>
      <c r="AS96" s="15" t="s">
        <v>40</v>
      </c>
      <c r="AT96" s="15" t="s">
        <v>74</v>
      </c>
      <c r="AU96" s="15" t="s">
        <v>77</v>
      </c>
      <c r="AV96" s="15" t="s">
        <v>78</v>
      </c>
      <c r="AW96" s="15" t="s">
        <v>76</v>
      </c>
      <c r="AX96" s="15" t="s">
        <v>40</v>
      </c>
      <c r="AY96" s="15" t="s">
        <v>74</v>
      </c>
      <c r="AZ96" s="15" t="s">
        <v>77</v>
      </c>
      <c r="BA96" s="15" t="s">
        <v>78</v>
      </c>
      <c r="BB96" s="15" t="s">
        <v>83</v>
      </c>
      <c r="BC96" s="15"/>
      <c r="BD96" s="15">
        <v>72</v>
      </c>
    </row>
    <row r="97" spans="2:56" x14ac:dyDescent="0.25">
      <c r="B97" s="258"/>
      <c r="C97" s="258"/>
      <c r="D97" s="258"/>
      <c r="H97" s="7">
        <f t="shared" si="2"/>
        <v>126</v>
      </c>
      <c r="I97" s="23">
        <v>3001</v>
      </c>
      <c r="J97" s="15" t="s">
        <v>69</v>
      </c>
      <c r="K97" s="15" t="s">
        <v>732</v>
      </c>
      <c r="L97" s="35" t="s">
        <v>1605</v>
      </c>
      <c r="M97" s="16">
        <v>0.33333333333333331</v>
      </c>
      <c r="N97" s="16">
        <v>0.70833333333333337</v>
      </c>
      <c r="O97" s="15" t="s">
        <v>71</v>
      </c>
      <c r="P97" s="24">
        <v>5412769000</v>
      </c>
      <c r="Q97" s="15"/>
      <c r="R97" s="24">
        <v>5033785628</v>
      </c>
      <c r="S97" s="35" t="s">
        <v>1238</v>
      </c>
      <c r="T97" s="18">
        <v>12</v>
      </c>
      <c r="U97" s="35" t="s">
        <v>690</v>
      </c>
      <c r="V97" s="15" t="s">
        <v>222</v>
      </c>
      <c r="W97" s="15" t="s">
        <v>109</v>
      </c>
      <c r="X97" s="15" t="s">
        <v>223</v>
      </c>
      <c r="Y97" s="15" t="s">
        <v>74</v>
      </c>
      <c r="Z97" s="15">
        <v>97801</v>
      </c>
      <c r="AA97" s="15" t="s">
        <v>224</v>
      </c>
      <c r="AB97" s="15" t="s">
        <v>1312</v>
      </c>
      <c r="AC97" s="15" t="s">
        <v>1445</v>
      </c>
      <c r="AD97" s="15" t="s">
        <v>1313</v>
      </c>
      <c r="AE97" s="15" t="s">
        <v>1434</v>
      </c>
      <c r="AF97" s="15"/>
      <c r="AG97" s="15"/>
      <c r="AH97" s="15"/>
      <c r="AI97" s="15"/>
      <c r="AJ97" s="47" t="s">
        <v>1314</v>
      </c>
      <c r="AK97" s="47" t="s">
        <v>1446</v>
      </c>
      <c r="AL97" s="47" t="s">
        <v>1315</v>
      </c>
      <c r="AM97" s="47" t="s">
        <v>1435</v>
      </c>
      <c r="AN97" s="15"/>
      <c r="AO97" s="15"/>
      <c r="AP97" s="15"/>
      <c r="AQ97" s="15"/>
      <c r="AR97" s="15" t="s">
        <v>76</v>
      </c>
      <c r="AS97" s="15" t="s">
        <v>40</v>
      </c>
      <c r="AT97" s="15" t="s">
        <v>74</v>
      </c>
      <c r="AU97" s="15" t="s">
        <v>77</v>
      </c>
      <c r="AV97" s="15" t="s">
        <v>78</v>
      </c>
      <c r="AW97" s="15" t="s">
        <v>76</v>
      </c>
      <c r="AX97" s="15" t="s">
        <v>40</v>
      </c>
      <c r="AY97" s="15" t="s">
        <v>74</v>
      </c>
      <c r="AZ97" s="15" t="s">
        <v>77</v>
      </c>
      <c r="BA97" s="15" t="s">
        <v>78</v>
      </c>
      <c r="BB97" s="15" t="s">
        <v>79</v>
      </c>
      <c r="BC97" s="15"/>
      <c r="BD97" s="15">
        <v>73</v>
      </c>
    </row>
    <row r="98" spans="2:56" x14ac:dyDescent="0.25">
      <c r="B98" s="258"/>
      <c r="C98" s="258"/>
      <c r="D98" s="258"/>
      <c r="H98" s="7">
        <f t="shared" si="2"/>
        <v>26</v>
      </c>
      <c r="I98" s="23">
        <v>3003</v>
      </c>
      <c r="J98" s="15" t="s">
        <v>69</v>
      </c>
      <c r="K98" s="15" t="s">
        <v>732</v>
      </c>
      <c r="L98" s="35" t="s">
        <v>1606</v>
      </c>
      <c r="M98" s="16">
        <v>0.33333333333333331</v>
      </c>
      <c r="N98" s="16">
        <v>0.70833333333333337</v>
      </c>
      <c r="O98" s="15" t="s">
        <v>71</v>
      </c>
      <c r="P98" s="24">
        <v>5415672253</v>
      </c>
      <c r="Q98" s="15"/>
      <c r="R98" s="24">
        <v>5033785628</v>
      </c>
      <c r="S98" s="35" t="s">
        <v>1239</v>
      </c>
      <c r="T98" s="18">
        <v>12</v>
      </c>
      <c r="U98" s="35" t="s">
        <v>225</v>
      </c>
      <c r="V98" s="15" t="s">
        <v>226</v>
      </c>
      <c r="W98" s="15"/>
      <c r="X98" s="15" t="s">
        <v>227</v>
      </c>
      <c r="Y98" s="15" t="s">
        <v>74</v>
      </c>
      <c r="Z98" s="15">
        <v>97838</v>
      </c>
      <c r="AA98" s="15" t="s">
        <v>224</v>
      </c>
      <c r="AB98" s="15" t="s">
        <v>1876</v>
      </c>
      <c r="AC98" s="15"/>
      <c r="AD98" s="15"/>
      <c r="AE98" s="15"/>
      <c r="AF98" s="15"/>
      <c r="AG98" s="15"/>
      <c r="AH98" s="15"/>
      <c r="AI98" s="15"/>
      <c r="AJ98" s="47" t="s">
        <v>1877</v>
      </c>
      <c r="AK98" s="47"/>
      <c r="AL98" s="47"/>
      <c r="AM98" s="47"/>
      <c r="AN98" s="15"/>
      <c r="AO98" s="15"/>
      <c r="AP98" s="15"/>
      <c r="AQ98" s="15"/>
      <c r="AR98" s="15" t="s">
        <v>76</v>
      </c>
      <c r="AS98" s="15" t="s">
        <v>40</v>
      </c>
      <c r="AT98" s="15" t="s">
        <v>74</v>
      </c>
      <c r="AU98" s="15" t="s">
        <v>77</v>
      </c>
      <c r="AV98" s="15" t="s">
        <v>78</v>
      </c>
      <c r="AW98" s="15" t="s">
        <v>76</v>
      </c>
      <c r="AX98" s="15" t="s">
        <v>40</v>
      </c>
      <c r="AY98" s="15" t="s">
        <v>74</v>
      </c>
      <c r="AZ98" s="15" t="s">
        <v>77</v>
      </c>
      <c r="BA98" s="15" t="s">
        <v>78</v>
      </c>
      <c r="BB98" s="15" t="s">
        <v>79</v>
      </c>
      <c r="BC98" s="15"/>
      <c r="BD98" s="15">
        <v>74</v>
      </c>
    </row>
    <row r="99" spans="2:56" x14ac:dyDescent="0.25">
      <c r="B99" s="258"/>
      <c r="C99" s="258"/>
      <c r="D99" s="258"/>
      <c r="H99" s="7">
        <f t="shared" si="2"/>
        <v>58</v>
      </c>
      <c r="I99" s="23">
        <v>3004</v>
      </c>
      <c r="J99" s="15" t="s">
        <v>69</v>
      </c>
      <c r="K99" s="15" t="s">
        <v>732</v>
      </c>
      <c r="L99" s="35" t="s">
        <v>1607</v>
      </c>
      <c r="M99" s="16">
        <v>0.33333333333333331</v>
      </c>
      <c r="N99" s="16">
        <v>0.70833333333333337</v>
      </c>
      <c r="O99" s="15" t="s">
        <v>71</v>
      </c>
      <c r="P99" s="24">
        <v>5419386627</v>
      </c>
      <c r="Q99" s="15"/>
      <c r="R99" s="24">
        <v>5033785628</v>
      </c>
      <c r="S99" s="35" t="s">
        <v>1240</v>
      </c>
      <c r="T99" s="18">
        <v>12</v>
      </c>
      <c r="U99" s="35" t="s">
        <v>228</v>
      </c>
      <c r="V99" s="15" t="s">
        <v>1882</v>
      </c>
      <c r="W99" s="15" t="s">
        <v>96</v>
      </c>
      <c r="X99" s="15" t="s">
        <v>229</v>
      </c>
      <c r="Y99" s="15" t="s">
        <v>74</v>
      </c>
      <c r="Z99" s="15">
        <v>97862</v>
      </c>
      <c r="AA99" s="15" t="s">
        <v>224</v>
      </c>
      <c r="AB99" s="15" t="s">
        <v>1387</v>
      </c>
      <c r="AC99" s="15" t="s">
        <v>1443</v>
      </c>
      <c r="AD99" s="15"/>
      <c r="AE99" s="15"/>
      <c r="AF99" s="15"/>
      <c r="AG99" s="15"/>
      <c r="AH99" s="15"/>
      <c r="AI99" s="15"/>
      <c r="AJ99" s="47" t="s">
        <v>1388</v>
      </c>
      <c r="AK99" s="47" t="s">
        <v>1444</v>
      </c>
      <c r="AL99" s="47"/>
      <c r="AM99" s="47"/>
      <c r="AN99" s="15"/>
      <c r="AO99" s="15"/>
      <c r="AP99" s="15"/>
      <c r="AQ99" s="15"/>
      <c r="AR99" s="15" t="s">
        <v>76</v>
      </c>
      <c r="AS99" s="15" t="s">
        <v>40</v>
      </c>
      <c r="AT99" s="15" t="s">
        <v>74</v>
      </c>
      <c r="AU99" s="15" t="s">
        <v>77</v>
      </c>
      <c r="AV99" s="15" t="s">
        <v>78</v>
      </c>
      <c r="AW99" s="15" t="s">
        <v>76</v>
      </c>
      <c r="AX99" s="15" t="s">
        <v>40</v>
      </c>
      <c r="AY99" s="15" t="s">
        <v>74</v>
      </c>
      <c r="AZ99" s="15" t="s">
        <v>77</v>
      </c>
      <c r="BA99" s="15" t="s">
        <v>78</v>
      </c>
      <c r="BB99" s="15" t="s">
        <v>79</v>
      </c>
      <c r="BC99" s="15"/>
      <c r="BD99" s="15">
        <v>75</v>
      </c>
    </row>
    <row r="100" spans="2:56" x14ac:dyDescent="0.25">
      <c r="B100" s="37"/>
      <c r="C100" s="37"/>
      <c r="D100" s="37"/>
      <c r="H100" s="7">
        <f t="shared" si="2"/>
        <v>0</v>
      </c>
      <c r="I100" s="23">
        <v>3011</v>
      </c>
      <c r="J100" s="15" t="s">
        <v>69</v>
      </c>
      <c r="K100" s="15" t="s">
        <v>731</v>
      </c>
      <c r="L100" s="35" t="s">
        <v>1608</v>
      </c>
      <c r="M100" s="16">
        <v>0.33333333333333331</v>
      </c>
      <c r="N100" s="16">
        <v>0.70833333333333337</v>
      </c>
      <c r="O100" s="15" t="s">
        <v>71</v>
      </c>
      <c r="P100" s="24">
        <v>5412784161</v>
      </c>
      <c r="Q100" s="15"/>
      <c r="R100" s="24">
        <v>5033785628</v>
      </c>
      <c r="S100" s="35" t="s">
        <v>1241</v>
      </c>
      <c r="T100" s="18">
        <v>12</v>
      </c>
      <c r="U100" s="35" t="s">
        <v>691</v>
      </c>
      <c r="V100" s="15" t="s">
        <v>230</v>
      </c>
      <c r="W100" s="15"/>
      <c r="X100" s="15" t="s">
        <v>223</v>
      </c>
      <c r="Y100" s="15" t="s">
        <v>74</v>
      </c>
      <c r="Z100" s="15">
        <v>97801</v>
      </c>
      <c r="AA100" s="15" t="s">
        <v>224</v>
      </c>
      <c r="AB100" s="15"/>
      <c r="AC100" s="15"/>
      <c r="AD100" s="15"/>
      <c r="AE100" s="15"/>
      <c r="AF100" s="15"/>
      <c r="AG100" s="15"/>
      <c r="AH100" s="15"/>
      <c r="AI100" s="15"/>
      <c r="AJ100" s="47"/>
      <c r="AK100" s="47"/>
      <c r="AL100" s="47"/>
      <c r="AM100" s="47"/>
      <c r="AN100" s="15"/>
      <c r="AO100" s="15"/>
      <c r="AP100" s="15"/>
      <c r="AQ100" s="15"/>
      <c r="AR100" s="15" t="s">
        <v>76</v>
      </c>
      <c r="AS100" s="15" t="s">
        <v>40</v>
      </c>
      <c r="AT100" s="15" t="s">
        <v>74</v>
      </c>
      <c r="AU100" s="15" t="s">
        <v>77</v>
      </c>
      <c r="AV100" s="15" t="s">
        <v>78</v>
      </c>
      <c r="AW100" s="15" t="s">
        <v>76</v>
      </c>
      <c r="AX100" s="15" t="s">
        <v>40</v>
      </c>
      <c r="AY100" s="15" t="s">
        <v>74</v>
      </c>
      <c r="AZ100" s="15" t="s">
        <v>77</v>
      </c>
      <c r="BA100" s="15" t="s">
        <v>78</v>
      </c>
      <c r="BB100" s="15" t="s">
        <v>79</v>
      </c>
      <c r="BC100" s="15"/>
      <c r="BD100" s="15">
        <v>76</v>
      </c>
    </row>
    <row r="101" spans="2:56" x14ac:dyDescent="0.25">
      <c r="B101" s="37" t="s">
        <v>1554</v>
      </c>
      <c r="C101" s="37"/>
      <c r="D101" s="37"/>
      <c r="H101" s="7">
        <f t="shared" si="2"/>
        <v>0</v>
      </c>
      <c r="I101" s="23">
        <v>3013</v>
      </c>
      <c r="J101" s="15" t="s">
        <v>69</v>
      </c>
      <c r="K101" s="15" t="s">
        <v>731</v>
      </c>
      <c r="L101" s="35" t="s">
        <v>1609</v>
      </c>
      <c r="M101" s="16">
        <v>0.33333333333333331</v>
      </c>
      <c r="N101" s="16">
        <v>0.70833333333333337</v>
      </c>
      <c r="O101" s="15" t="s">
        <v>71</v>
      </c>
      <c r="P101" s="24">
        <v>5415672274</v>
      </c>
      <c r="Q101" s="15"/>
      <c r="R101" s="24">
        <v>5415674893</v>
      </c>
      <c r="S101" s="35" t="s">
        <v>1242</v>
      </c>
      <c r="T101" s="18">
        <v>12</v>
      </c>
      <c r="U101" s="35" t="s">
        <v>225</v>
      </c>
      <c r="V101" s="15" t="s">
        <v>231</v>
      </c>
      <c r="W101" s="15"/>
      <c r="X101" s="15" t="s">
        <v>227</v>
      </c>
      <c r="Y101" s="15" t="s">
        <v>74</v>
      </c>
      <c r="Z101" s="15">
        <v>97838</v>
      </c>
      <c r="AA101" s="15" t="s">
        <v>224</v>
      </c>
      <c r="AB101" s="15"/>
      <c r="AC101" s="15"/>
      <c r="AD101" s="15"/>
      <c r="AE101" s="15"/>
      <c r="AF101" s="15"/>
      <c r="AG101" s="15"/>
      <c r="AH101" s="15"/>
      <c r="AI101" s="15"/>
      <c r="AJ101" s="47"/>
      <c r="AK101" s="47"/>
      <c r="AL101" s="47"/>
      <c r="AM101" s="47"/>
      <c r="AN101" s="15"/>
      <c r="AO101" s="15"/>
      <c r="AP101" s="15"/>
      <c r="AQ101" s="15"/>
      <c r="AR101" s="15" t="s">
        <v>76</v>
      </c>
      <c r="AS101" s="15" t="s">
        <v>40</v>
      </c>
      <c r="AT101" s="15" t="s">
        <v>74</v>
      </c>
      <c r="AU101" s="15" t="s">
        <v>77</v>
      </c>
      <c r="AV101" s="15" t="s">
        <v>78</v>
      </c>
      <c r="AW101" s="15" t="s">
        <v>76</v>
      </c>
      <c r="AX101" s="15" t="s">
        <v>40</v>
      </c>
      <c r="AY101" s="15" t="s">
        <v>74</v>
      </c>
      <c r="AZ101" s="15" t="s">
        <v>77</v>
      </c>
      <c r="BA101" s="15" t="s">
        <v>78</v>
      </c>
      <c r="BB101" s="15" t="s">
        <v>79</v>
      </c>
      <c r="BC101" s="15"/>
      <c r="BD101" s="15">
        <v>77</v>
      </c>
    </row>
    <row r="102" spans="2:56" ht="15.75" x14ac:dyDescent="0.25">
      <c r="B102" s="236" t="s">
        <v>1559</v>
      </c>
      <c r="C102" s="237"/>
      <c r="D102" s="238"/>
      <c r="H102" s="7">
        <f t="shared" si="2"/>
        <v>125</v>
      </c>
      <c r="I102" s="23">
        <v>101</v>
      </c>
      <c r="J102" s="15" t="s">
        <v>69</v>
      </c>
      <c r="K102" s="15" t="s">
        <v>732</v>
      </c>
      <c r="L102" s="35" t="s">
        <v>1801</v>
      </c>
      <c r="M102" s="16">
        <v>0.33333333333333331</v>
      </c>
      <c r="N102" s="16">
        <v>0.70833333333333337</v>
      </c>
      <c r="O102" s="15" t="s">
        <v>71</v>
      </c>
      <c r="P102" s="24">
        <v>5415233648</v>
      </c>
      <c r="Q102" s="15"/>
      <c r="R102" s="24">
        <v>5033785628</v>
      </c>
      <c r="S102" s="35" t="s">
        <v>1243</v>
      </c>
      <c r="T102" s="18">
        <v>13</v>
      </c>
      <c r="U102" s="35" t="s">
        <v>1150</v>
      </c>
      <c r="V102" s="15" t="s">
        <v>232</v>
      </c>
      <c r="W102" s="15"/>
      <c r="X102" s="15" t="s">
        <v>233</v>
      </c>
      <c r="Y102" s="15" t="s">
        <v>74</v>
      </c>
      <c r="Z102" s="15">
        <v>97814</v>
      </c>
      <c r="AA102" s="15" t="s">
        <v>234</v>
      </c>
      <c r="AB102" s="15" t="s">
        <v>1316</v>
      </c>
      <c r="AC102" s="15" t="s">
        <v>1317</v>
      </c>
      <c r="AD102" s="15" t="s">
        <v>1318</v>
      </c>
      <c r="AE102" s="15" t="s">
        <v>1319</v>
      </c>
      <c r="AF102" s="15"/>
      <c r="AG102" s="15"/>
      <c r="AH102" s="15"/>
      <c r="AI102" s="15"/>
      <c r="AJ102" s="47" t="s">
        <v>1320</v>
      </c>
      <c r="AK102" s="47" t="s">
        <v>1321</v>
      </c>
      <c r="AL102" s="15" t="s">
        <v>1322</v>
      </c>
      <c r="AM102" s="15" t="s">
        <v>1323</v>
      </c>
      <c r="AN102" s="15"/>
      <c r="AO102" s="15"/>
      <c r="AP102" s="15"/>
      <c r="AQ102" s="15"/>
      <c r="AR102" s="15" t="s">
        <v>76</v>
      </c>
      <c r="AS102" s="15" t="s">
        <v>40</v>
      </c>
      <c r="AT102" s="15" t="s">
        <v>74</v>
      </c>
      <c r="AU102" s="15" t="s">
        <v>77</v>
      </c>
      <c r="AV102" s="15" t="s">
        <v>78</v>
      </c>
      <c r="AW102" s="15" t="s">
        <v>76</v>
      </c>
      <c r="AX102" s="15" t="s">
        <v>40</v>
      </c>
      <c r="AY102" s="15" t="s">
        <v>74</v>
      </c>
      <c r="AZ102" s="15" t="s">
        <v>77</v>
      </c>
      <c r="BA102" s="15" t="s">
        <v>78</v>
      </c>
      <c r="BB102" s="15" t="s">
        <v>83</v>
      </c>
      <c r="BC102" s="15"/>
      <c r="BD102" s="15">
        <v>78</v>
      </c>
    </row>
    <row r="103" spans="2:56" x14ac:dyDescent="0.25">
      <c r="B103" s="239"/>
      <c r="C103" s="240"/>
      <c r="D103" s="241"/>
      <c r="H103" s="7">
        <f t="shared" si="2"/>
        <v>0</v>
      </c>
      <c r="I103" s="23">
        <v>111</v>
      </c>
      <c r="J103" s="15" t="s">
        <v>69</v>
      </c>
      <c r="K103" s="15" t="s">
        <v>731</v>
      </c>
      <c r="L103" s="35" t="s">
        <v>756</v>
      </c>
      <c r="M103" s="16">
        <v>0.33333333333333331</v>
      </c>
      <c r="N103" s="16">
        <v>0.70833333333333337</v>
      </c>
      <c r="O103" s="15" t="s">
        <v>71</v>
      </c>
      <c r="P103" s="24">
        <v>5415235846</v>
      </c>
      <c r="Q103" s="15"/>
      <c r="R103" s="24">
        <v>5033785628</v>
      </c>
      <c r="S103" s="35" t="s">
        <v>1244</v>
      </c>
      <c r="T103" s="18">
        <v>13</v>
      </c>
      <c r="U103" s="35" t="s">
        <v>1144</v>
      </c>
      <c r="V103" s="15" t="s">
        <v>232</v>
      </c>
      <c r="W103" s="15" t="s">
        <v>235</v>
      </c>
      <c r="X103" s="15" t="s">
        <v>233</v>
      </c>
      <c r="Y103" s="15" t="s">
        <v>74</v>
      </c>
      <c r="Z103" s="15">
        <v>97814</v>
      </c>
      <c r="AA103" s="15" t="s">
        <v>234</v>
      </c>
      <c r="AB103" s="15"/>
      <c r="AC103" s="15"/>
      <c r="AD103" s="15"/>
      <c r="AE103" s="15"/>
      <c r="AF103" s="15"/>
      <c r="AG103" s="15"/>
      <c r="AH103" s="15"/>
      <c r="AI103" s="15"/>
      <c r="AJ103" s="47"/>
      <c r="AK103" s="47"/>
      <c r="AL103" s="47"/>
      <c r="AM103" s="47"/>
      <c r="AN103" s="15"/>
      <c r="AO103" s="15"/>
      <c r="AP103" s="15"/>
      <c r="AQ103" s="15"/>
      <c r="AR103" s="15" t="s">
        <v>76</v>
      </c>
      <c r="AS103" s="15" t="s">
        <v>40</v>
      </c>
      <c r="AT103" s="15" t="s">
        <v>74</v>
      </c>
      <c r="AU103" s="15" t="s">
        <v>77</v>
      </c>
      <c r="AV103" s="15" t="s">
        <v>78</v>
      </c>
      <c r="AW103" s="15" t="s">
        <v>76</v>
      </c>
      <c r="AX103" s="15" t="s">
        <v>40</v>
      </c>
      <c r="AY103" s="15" t="s">
        <v>74</v>
      </c>
      <c r="AZ103" s="15" t="s">
        <v>77</v>
      </c>
      <c r="BA103" s="15" t="s">
        <v>78</v>
      </c>
      <c r="BB103" s="15" t="s">
        <v>83</v>
      </c>
      <c r="BC103" s="15"/>
      <c r="BD103" s="15">
        <v>79</v>
      </c>
    </row>
    <row r="104" spans="2:56" ht="15.75" x14ac:dyDescent="0.25">
      <c r="B104" s="239"/>
      <c r="C104" s="240"/>
      <c r="D104" s="241"/>
      <c r="H104" s="7">
        <f t="shared" si="2"/>
        <v>125</v>
      </c>
      <c r="I104" s="23">
        <v>3101</v>
      </c>
      <c r="J104" s="15" t="s">
        <v>69</v>
      </c>
      <c r="K104" s="15" t="s">
        <v>732</v>
      </c>
      <c r="L104" s="35" t="s">
        <v>1802</v>
      </c>
      <c r="M104" s="16">
        <v>0.33333333333333331</v>
      </c>
      <c r="N104" s="16">
        <v>0.70833333333333337</v>
      </c>
      <c r="O104" s="15" t="s">
        <v>71</v>
      </c>
      <c r="P104" s="24">
        <v>5419634113</v>
      </c>
      <c r="Q104" s="15"/>
      <c r="R104" s="24">
        <v>5033785628</v>
      </c>
      <c r="S104" s="35" t="s">
        <v>1245</v>
      </c>
      <c r="T104" s="18">
        <v>13</v>
      </c>
      <c r="U104" s="35" t="s">
        <v>236</v>
      </c>
      <c r="V104" s="15" t="s">
        <v>237</v>
      </c>
      <c r="W104" s="15"/>
      <c r="X104" s="15" t="s">
        <v>238</v>
      </c>
      <c r="Y104" s="15" t="s">
        <v>74</v>
      </c>
      <c r="Z104" s="15">
        <v>97850</v>
      </c>
      <c r="AA104" s="15" t="s">
        <v>239</v>
      </c>
      <c r="AB104" s="15" t="s">
        <v>1316</v>
      </c>
      <c r="AC104" s="15" t="s">
        <v>1317</v>
      </c>
      <c r="AD104" s="15" t="s">
        <v>1318</v>
      </c>
      <c r="AE104" s="15" t="s">
        <v>1319</v>
      </c>
      <c r="AF104" s="15"/>
      <c r="AG104" s="15"/>
      <c r="AH104" s="15"/>
      <c r="AI104" s="15"/>
      <c r="AJ104" s="47" t="s">
        <v>1320</v>
      </c>
      <c r="AK104" s="47" t="s">
        <v>1321</v>
      </c>
      <c r="AL104" s="15" t="s">
        <v>1322</v>
      </c>
      <c r="AM104" s="15" t="s">
        <v>1323</v>
      </c>
      <c r="AN104" s="15"/>
      <c r="AO104" s="15"/>
      <c r="AP104" s="15"/>
      <c r="AQ104" s="15"/>
      <c r="AR104" s="15" t="s">
        <v>76</v>
      </c>
      <c r="AS104" s="15" t="s">
        <v>40</v>
      </c>
      <c r="AT104" s="15" t="s">
        <v>74</v>
      </c>
      <c r="AU104" s="15" t="s">
        <v>77</v>
      </c>
      <c r="AV104" s="15" t="s">
        <v>78</v>
      </c>
      <c r="AW104" s="15" t="s">
        <v>76</v>
      </c>
      <c r="AX104" s="15" t="s">
        <v>40</v>
      </c>
      <c r="AY104" s="15" t="s">
        <v>74</v>
      </c>
      <c r="AZ104" s="15" t="s">
        <v>77</v>
      </c>
      <c r="BA104" s="15" t="s">
        <v>78</v>
      </c>
      <c r="BB104" s="15" t="s">
        <v>83</v>
      </c>
      <c r="BC104" s="15"/>
      <c r="BD104" s="15">
        <v>80</v>
      </c>
    </row>
    <row r="105" spans="2:56" ht="15.75" x14ac:dyDescent="0.25">
      <c r="B105" s="239"/>
      <c r="C105" s="240"/>
      <c r="D105" s="241"/>
      <c r="H105" s="7">
        <f t="shared" si="2"/>
        <v>125</v>
      </c>
      <c r="I105" s="23">
        <v>3102</v>
      </c>
      <c r="J105" s="15" t="s">
        <v>69</v>
      </c>
      <c r="K105" s="15" t="s">
        <v>732</v>
      </c>
      <c r="L105" s="35" t="s">
        <v>1803</v>
      </c>
      <c r="M105" s="16">
        <v>0.33333333333333331</v>
      </c>
      <c r="N105" s="16">
        <v>0.70833333333333337</v>
      </c>
      <c r="O105" s="15" t="s">
        <v>71</v>
      </c>
      <c r="P105" s="24">
        <v>5414264558</v>
      </c>
      <c r="Q105" s="15"/>
      <c r="R105" s="24">
        <v>5033785628</v>
      </c>
      <c r="S105" s="35" t="s">
        <v>1246</v>
      </c>
      <c r="T105" s="18">
        <v>13</v>
      </c>
      <c r="U105" s="35" t="s">
        <v>240</v>
      </c>
      <c r="V105" s="15" t="s">
        <v>241</v>
      </c>
      <c r="W105" s="15"/>
      <c r="X105" s="15" t="s">
        <v>242</v>
      </c>
      <c r="Y105" s="15" t="s">
        <v>74</v>
      </c>
      <c r="Z105" s="15">
        <v>97828</v>
      </c>
      <c r="AA105" s="15" t="s">
        <v>243</v>
      </c>
      <c r="AB105" s="15" t="s">
        <v>1316</v>
      </c>
      <c r="AC105" s="15" t="s">
        <v>1317</v>
      </c>
      <c r="AD105" s="15" t="s">
        <v>1318</v>
      </c>
      <c r="AE105" s="15" t="s">
        <v>1319</v>
      </c>
      <c r="AF105" s="15"/>
      <c r="AG105" s="15"/>
      <c r="AH105" s="15"/>
      <c r="AI105" s="15"/>
      <c r="AJ105" s="47" t="s">
        <v>1320</v>
      </c>
      <c r="AK105" s="47" t="s">
        <v>1321</v>
      </c>
      <c r="AL105" s="15" t="s">
        <v>1322</v>
      </c>
      <c r="AM105" s="15" t="s">
        <v>1323</v>
      </c>
      <c r="AN105" s="15"/>
      <c r="AO105" s="15"/>
      <c r="AP105" s="15"/>
      <c r="AQ105" s="15"/>
      <c r="AR105" s="15" t="s">
        <v>76</v>
      </c>
      <c r="AS105" s="15" t="s">
        <v>40</v>
      </c>
      <c r="AT105" s="15" t="s">
        <v>74</v>
      </c>
      <c r="AU105" s="15" t="s">
        <v>77</v>
      </c>
      <c r="AV105" s="15" t="s">
        <v>78</v>
      </c>
      <c r="AW105" s="15" t="s">
        <v>76</v>
      </c>
      <c r="AX105" s="15" t="s">
        <v>40</v>
      </c>
      <c r="AY105" s="15" t="s">
        <v>74</v>
      </c>
      <c r="AZ105" s="15" t="s">
        <v>77</v>
      </c>
      <c r="BA105" s="15" t="s">
        <v>78</v>
      </c>
      <c r="BB105" s="15" t="s">
        <v>83</v>
      </c>
      <c r="BC105" s="15"/>
      <c r="BD105" s="15">
        <v>81</v>
      </c>
    </row>
    <row r="106" spans="2:56" x14ac:dyDescent="0.25">
      <c r="B106" s="239"/>
      <c r="C106" s="240"/>
      <c r="D106" s="241"/>
      <c r="H106" s="7">
        <f t="shared" si="2"/>
        <v>0</v>
      </c>
      <c r="I106" s="23">
        <v>3111</v>
      </c>
      <c r="J106" s="15" t="s">
        <v>69</v>
      </c>
      <c r="K106" s="15" t="s">
        <v>731</v>
      </c>
      <c r="L106" s="35" t="s">
        <v>757</v>
      </c>
      <c r="M106" s="16">
        <v>0.33333333333333331</v>
      </c>
      <c r="N106" s="16">
        <v>0.70833333333333337</v>
      </c>
      <c r="O106" s="15" t="s">
        <v>71</v>
      </c>
      <c r="P106" s="24">
        <v>5419637276</v>
      </c>
      <c r="Q106" s="15"/>
      <c r="R106" s="24">
        <v>5033785628</v>
      </c>
      <c r="S106" s="35" t="s">
        <v>1247</v>
      </c>
      <c r="T106" s="18">
        <v>13</v>
      </c>
      <c r="U106" s="35" t="s">
        <v>236</v>
      </c>
      <c r="V106" s="15" t="s">
        <v>237</v>
      </c>
      <c r="W106" s="15"/>
      <c r="X106" s="15" t="s">
        <v>238</v>
      </c>
      <c r="Y106" s="15" t="s">
        <v>74</v>
      </c>
      <c r="Z106" s="15">
        <v>97850</v>
      </c>
      <c r="AA106" s="15" t="s">
        <v>239</v>
      </c>
      <c r="AB106" s="15"/>
      <c r="AC106" s="15"/>
      <c r="AD106" s="15"/>
      <c r="AE106" s="15"/>
      <c r="AF106" s="15"/>
      <c r="AG106" s="15"/>
      <c r="AH106" s="15"/>
      <c r="AI106" s="15"/>
      <c r="AJ106" s="47"/>
      <c r="AK106" s="47"/>
      <c r="AL106" s="47"/>
      <c r="AM106" s="47"/>
      <c r="AN106" s="15"/>
      <c r="AO106" s="15"/>
      <c r="AP106" s="15"/>
      <c r="AQ106" s="15"/>
      <c r="AR106" s="15" t="s">
        <v>76</v>
      </c>
      <c r="AS106" s="15" t="s">
        <v>40</v>
      </c>
      <c r="AT106" s="15" t="s">
        <v>74</v>
      </c>
      <c r="AU106" s="15" t="s">
        <v>77</v>
      </c>
      <c r="AV106" s="15" t="s">
        <v>78</v>
      </c>
      <c r="AW106" s="15" t="s">
        <v>76</v>
      </c>
      <c r="AX106" s="15" t="s">
        <v>40</v>
      </c>
      <c r="AY106" s="15" t="s">
        <v>74</v>
      </c>
      <c r="AZ106" s="15" t="s">
        <v>77</v>
      </c>
      <c r="BA106" s="15" t="s">
        <v>78</v>
      </c>
      <c r="BB106" s="15" t="s">
        <v>83</v>
      </c>
      <c r="BC106" s="15"/>
      <c r="BD106" s="15">
        <v>82</v>
      </c>
    </row>
    <row r="107" spans="2:56" x14ac:dyDescent="0.25">
      <c r="B107" s="239"/>
      <c r="C107" s="240"/>
      <c r="D107" s="241"/>
      <c r="H107" s="7">
        <f t="shared" si="2"/>
        <v>0</v>
      </c>
      <c r="I107" s="23">
        <v>3112</v>
      </c>
      <c r="J107" s="15" t="s">
        <v>69</v>
      </c>
      <c r="K107" s="15" t="s">
        <v>731</v>
      </c>
      <c r="L107" s="35" t="s">
        <v>758</v>
      </c>
      <c r="M107" s="16">
        <v>0.33333333333333331</v>
      </c>
      <c r="N107" s="16">
        <v>0.70833333333333337</v>
      </c>
      <c r="O107" s="15" t="s">
        <v>71</v>
      </c>
      <c r="P107" s="24">
        <v>5414263155</v>
      </c>
      <c r="Q107" s="15"/>
      <c r="R107" s="24">
        <v>5033785628</v>
      </c>
      <c r="S107" s="35" t="s">
        <v>1248</v>
      </c>
      <c r="T107" s="18">
        <v>13</v>
      </c>
      <c r="U107" s="35" t="s">
        <v>240</v>
      </c>
      <c r="V107" s="15" t="s">
        <v>241</v>
      </c>
      <c r="W107" s="15"/>
      <c r="X107" s="15" t="s">
        <v>242</v>
      </c>
      <c r="Y107" s="15" t="s">
        <v>74</v>
      </c>
      <c r="Z107" s="15">
        <v>97828</v>
      </c>
      <c r="AA107" s="15" t="s">
        <v>243</v>
      </c>
      <c r="AB107" s="15"/>
      <c r="AC107" s="15"/>
      <c r="AD107" s="15"/>
      <c r="AE107" s="15"/>
      <c r="AF107" s="15"/>
      <c r="AG107" s="15"/>
      <c r="AH107" s="15"/>
      <c r="AI107" s="15"/>
      <c r="AJ107" s="47"/>
      <c r="AK107" s="47"/>
      <c r="AL107" s="47"/>
      <c r="AM107" s="47"/>
      <c r="AN107" s="15"/>
      <c r="AO107" s="15"/>
      <c r="AP107" s="15"/>
      <c r="AQ107" s="15"/>
      <c r="AR107" s="15" t="s">
        <v>76</v>
      </c>
      <c r="AS107" s="15" t="s">
        <v>40</v>
      </c>
      <c r="AT107" s="15" t="s">
        <v>74</v>
      </c>
      <c r="AU107" s="15" t="s">
        <v>77</v>
      </c>
      <c r="AV107" s="15" t="s">
        <v>78</v>
      </c>
      <c r="AW107" s="15" t="s">
        <v>76</v>
      </c>
      <c r="AX107" s="15" t="s">
        <v>40</v>
      </c>
      <c r="AY107" s="15" t="s">
        <v>74</v>
      </c>
      <c r="AZ107" s="15" t="s">
        <v>77</v>
      </c>
      <c r="BA107" s="15" t="s">
        <v>78</v>
      </c>
      <c r="BB107" s="15" t="s">
        <v>83</v>
      </c>
      <c r="BC107" s="15"/>
      <c r="BD107" s="15">
        <v>83</v>
      </c>
    </row>
    <row r="108" spans="2:56" x14ac:dyDescent="0.25">
      <c r="B108" s="242"/>
      <c r="C108" s="243"/>
      <c r="D108" s="244"/>
      <c r="H108" s="7">
        <f t="shared" si="2"/>
        <v>31</v>
      </c>
      <c r="I108" s="23">
        <v>1201</v>
      </c>
      <c r="J108" s="15" t="s">
        <v>69</v>
      </c>
      <c r="K108" s="15" t="s">
        <v>732</v>
      </c>
      <c r="L108" s="35" t="s">
        <v>1610</v>
      </c>
      <c r="M108" s="16">
        <v>0.33333333333333331</v>
      </c>
      <c r="N108" s="16">
        <v>0.70833333333333337</v>
      </c>
      <c r="O108" s="15" t="s">
        <v>71</v>
      </c>
      <c r="P108" s="24">
        <v>5415750309</v>
      </c>
      <c r="Q108" s="15"/>
      <c r="R108" s="24">
        <v>5033785628</v>
      </c>
      <c r="S108" s="35" t="s">
        <v>1249</v>
      </c>
      <c r="T108" s="18">
        <v>14</v>
      </c>
      <c r="U108" s="35" t="s">
        <v>244</v>
      </c>
      <c r="V108" s="15" t="s">
        <v>245</v>
      </c>
      <c r="W108" s="15"/>
      <c r="X108" s="15" t="s">
        <v>246</v>
      </c>
      <c r="Y108" s="15" t="s">
        <v>74</v>
      </c>
      <c r="Z108" s="15">
        <v>97845</v>
      </c>
      <c r="AA108" s="15" t="s">
        <v>247</v>
      </c>
      <c r="AB108" s="15" t="s">
        <v>1501</v>
      </c>
      <c r="AC108" s="15"/>
      <c r="AD108" s="15"/>
      <c r="AE108" s="15"/>
      <c r="AF108" s="15"/>
      <c r="AG108" s="15"/>
      <c r="AH108" s="15"/>
      <c r="AI108" s="15"/>
      <c r="AJ108" s="47" t="s">
        <v>1502</v>
      </c>
      <c r="AK108" s="47"/>
      <c r="AL108" s="47"/>
      <c r="AM108" s="47"/>
      <c r="AN108" s="15"/>
      <c r="AO108" s="15"/>
      <c r="AP108" s="15"/>
      <c r="AQ108" s="15"/>
      <c r="AR108" s="15" t="s">
        <v>76</v>
      </c>
      <c r="AS108" s="15" t="s">
        <v>40</v>
      </c>
      <c r="AT108" s="15" t="s">
        <v>74</v>
      </c>
      <c r="AU108" s="15" t="s">
        <v>77</v>
      </c>
      <c r="AV108" s="15" t="s">
        <v>78</v>
      </c>
      <c r="AW108" s="15" t="s">
        <v>76</v>
      </c>
      <c r="AX108" s="15" t="s">
        <v>40</v>
      </c>
      <c r="AY108" s="15" t="s">
        <v>74</v>
      </c>
      <c r="AZ108" s="15" t="s">
        <v>77</v>
      </c>
      <c r="BA108" s="15" t="s">
        <v>78</v>
      </c>
      <c r="BB108" s="15" t="s">
        <v>83</v>
      </c>
      <c r="BC108" s="15"/>
      <c r="BD108" s="15">
        <v>84</v>
      </c>
    </row>
    <row r="109" spans="2:56" x14ac:dyDescent="0.25">
      <c r="B109" s="37"/>
      <c r="C109" s="37"/>
      <c r="D109" s="37"/>
      <c r="H109" s="7">
        <f t="shared" si="2"/>
        <v>0</v>
      </c>
      <c r="I109" s="23">
        <v>1211</v>
      </c>
      <c r="J109" s="15" t="s">
        <v>69</v>
      </c>
      <c r="K109" s="15" t="s">
        <v>731</v>
      </c>
      <c r="L109" s="35" t="s">
        <v>759</v>
      </c>
      <c r="M109" s="16">
        <v>0.33333333333333331</v>
      </c>
      <c r="N109" s="16">
        <v>0.70833333333333337</v>
      </c>
      <c r="O109" s="15" t="s">
        <v>71</v>
      </c>
      <c r="P109" s="24">
        <v>5415750255</v>
      </c>
      <c r="Q109" s="15"/>
      <c r="R109" s="24">
        <v>5033785628</v>
      </c>
      <c r="S109" s="35" t="s">
        <v>1250</v>
      </c>
      <c r="T109" s="18">
        <v>14</v>
      </c>
      <c r="U109" s="35" t="s">
        <v>1145</v>
      </c>
      <c r="V109" s="15" t="s">
        <v>245</v>
      </c>
      <c r="W109" s="15" t="s">
        <v>248</v>
      </c>
      <c r="X109" s="15" t="s">
        <v>246</v>
      </c>
      <c r="Y109" s="15" t="s">
        <v>74</v>
      </c>
      <c r="Z109" s="15">
        <v>97845</v>
      </c>
      <c r="AA109" s="15" t="s">
        <v>247</v>
      </c>
      <c r="AB109" s="15"/>
      <c r="AC109" s="15"/>
      <c r="AD109" s="15"/>
      <c r="AE109" s="15"/>
      <c r="AF109" s="15"/>
      <c r="AG109" s="15"/>
      <c r="AH109" s="15"/>
      <c r="AI109" s="15"/>
      <c r="AJ109" s="47"/>
      <c r="AK109" s="47"/>
      <c r="AL109" s="47"/>
      <c r="AM109" s="47"/>
      <c r="AN109" s="15"/>
      <c r="AO109" s="15"/>
      <c r="AP109" s="15"/>
      <c r="AQ109" s="15"/>
      <c r="AR109" s="15" t="s">
        <v>76</v>
      </c>
      <c r="AS109" s="15" t="s">
        <v>40</v>
      </c>
      <c r="AT109" s="15" t="s">
        <v>74</v>
      </c>
      <c r="AU109" s="15" t="s">
        <v>77</v>
      </c>
      <c r="AV109" s="15" t="s">
        <v>78</v>
      </c>
      <c r="AW109" s="15" t="s">
        <v>76</v>
      </c>
      <c r="AX109" s="15" t="s">
        <v>40</v>
      </c>
      <c r="AY109" s="15" t="s">
        <v>74</v>
      </c>
      <c r="AZ109" s="15" t="s">
        <v>77</v>
      </c>
      <c r="BA109" s="15" t="s">
        <v>78</v>
      </c>
      <c r="BB109" s="15" t="s">
        <v>83</v>
      </c>
      <c r="BC109" s="15"/>
      <c r="BD109" s="15">
        <v>85</v>
      </c>
    </row>
    <row r="110" spans="2:56" x14ac:dyDescent="0.25">
      <c r="B110" s="37" t="s">
        <v>1509</v>
      </c>
      <c r="C110" s="37"/>
      <c r="D110" s="37"/>
      <c r="H110" s="7">
        <f t="shared" si="2"/>
        <v>177</v>
      </c>
      <c r="I110" s="23">
        <v>1301</v>
      </c>
      <c r="J110" s="15" t="s">
        <v>69</v>
      </c>
      <c r="K110" s="15" t="s">
        <v>732</v>
      </c>
      <c r="L110" s="35" t="s">
        <v>1611</v>
      </c>
      <c r="M110" s="16">
        <v>0.33333333333333331</v>
      </c>
      <c r="N110" s="16">
        <v>0.70833333333333337</v>
      </c>
      <c r="O110" s="15" t="s">
        <v>71</v>
      </c>
      <c r="P110" s="24">
        <v>5415735227</v>
      </c>
      <c r="Q110" s="15"/>
      <c r="R110" s="24">
        <v>5033785628</v>
      </c>
      <c r="S110" s="35" t="s">
        <v>1251</v>
      </c>
      <c r="T110" s="18">
        <v>14</v>
      </c>
      <c r="U110" s="35" t="s">
        <v>249</v>
      </c>
      <c r="V110" s="15" t="s">
        <v>250</v>
      </c>
      <c r="W110" s="15" t="s">
        <v>114</v>
      </c>
      <c r="X110" s="15" t="s">
        <v>251</v>
      </c>
      <c r="Y110" s="15" t="s">
        <v>74</v>
      </c>
      <c r="Z110" s="15">
        <v>97720</v>
      </c>
      <c r="AA110" s="15" t="s">
        <v>252</v>
      </c>
      <c r="AB110" s="15" t="s">
        <v>1335</v>
      </c>
      <c r="AC110" s="15" t="s">
        <v>1336</v>
      </c>
      <c r="AD110" s="15" t="s">
        <v>1337</v>
      </c>
      <c r="AE110" s="15" t="s">
        <v>1338</v>
      </c>
      <c r="AF110" s="15" t="s">
        <v>1339</v>
      </c>
      <c r="AG110" s="15" t="s">
        <v>1340</v>
      </c>
      <c r="AH110" s="15"/>
      <c r="AI110" s="15"/>
      <c r="AJ110" s="47" t="s">
        <v>1341</v>
      </c>
      <c r="AK110" s="47" t="s">
        <v>1342</v>
      </c>
      <c r="AL110" s="47" t="s">
        <v>1343</v>
      </c>
      <c r="AM110" s="47" t="s">
        <v>1344</v>
      </c>
      <c r="AN110" s="15" t="s">
        <v>1345</v>
      </c>
      <c r="AO110" s="15" t="s">
        <v>1346</v>
      </c>
      <c r="AP110" s="15"/>
      <c r="AQ110" s="15"/>
      <c r="AR110" s="15" t="s">
        <v>76</v>
      </c>
      <c r="AS110" s="15" t="s">
        <v>40</v>
      </c>
      <c r="AT110" s="15" t="s">
        <v>74</v>
      </c>
      <c r="AU110" s="15" t="s">
        <v>77</v>
      </c>
      <c r="AV110" s="15" t="s">
        <v>78</v>
      </c>
      <c r="AW110" s="15" t="s">
        <v>76</v>
      </c>
      <c r="AX110" s="15" t="s">
        <v>40</v>
      </c>
      <c r="AY110" s="15" t="s">
        <v>74</v>
      </c>
      <c r="AZ110" s="15" t="s">
        <v>77</v>
      </c>
      <c r="BA110" s="15" t="s">
        <v>78</v>
      </c>
      <c r="BB110" s="15" t="s">
        <v>83</v>
      </c>
      <c r="BC110" s="15"/>
      <c r="BD110" s="15">
        <v>86</v>
      </c>
    </row>
    <row r="111" spans="2:56" x14ac:dyDescent="0.25">
      <c r="B111" s="258" t="s">
        <v>1525</v>
      </c>
      <c r="C111" s="258"/>
      <c r="D111" s="258"/>
      <c r="H111" s="7">
        <f t="shared" si="2"/>
        <v>0</v>
      </c>
      <c r="I111" s="23">
        <v>1311</v>
      </c>
      <c r="J111" s="15" t="s">
        <v>69</v>
      </c>
      <c r="K111" s="15" t="s">
        <v>731</v>
      </c>
      <c r="L111" s="35" t="s">
        <v>760</v>
      </c>
      <c r="M111" s="16">
        <v>0.33333333333333331</v>
      </c>
      <c r="N111" s="16">
        <v>0.70833333333333337</v>
      </c>
      <c r="O111" s="15" t="s">
        <v>71</v>
      </c>
      <c r="P111" s="24">
        <v>5415732691</v>
      </c>
      <c r="Q111" s="15"/>
      <c r="R111" s="24">
        <v>5033785628</v>
      </c>
      <c r="S111" s="35" t="s">
        <v>1252</v>
      </c>
      <c r="T111" s="18">
        <v>14</v>
      </c>
      <c r="U111" s="35" t="s">
        <v>249</v>
      </c>
      <c r="V111" s="15" t="s">
        <v>253</v>
      </c>
      <c r="W111" s="15" t="s">
        <v>254</v>
      </c>
      <c r="X111" s="15" t="s">
        <v>251</v>
      </c>
      <c r="Y111" s="15" t="s">
        <v>74</v>
      </c>
      <c r="Z111" s="15">
        <v>97720</v>
      </c>
      <c r="AA111" s="15" t="s">
        <v>252</v>
      </c>
      <c r="AB111" s="15"/>
      <c r="AC111" s="15"/>
      <c r="AD111" s="15"/>
      <c r="AE111" s="15"/>
      <c r="AF111" s="15"/>
      <c r="AG111" s="15"/>
      <c r="AH111" s="15"/>
      <c r="AI111" s="15"/>
      <c r="AJ111" s="47"/>
      <c r="AK111" s="47"/>
      <c r="AL111" s="47"/>
      <c r="AM111" s="47"/>
      <c r="AN111" s="15"/>
      <c r="AO111" s="15"/>
      <c r="AP111" s="15"/>
      <c r="AQ111" s="15"/>
      <c r="AR111" s="15" t="s">
        <v>76</v>
      </c>
      <c r="AS111" s="15" t="s">
        <v>40</v>
      </c>
      <c r="AT111" s="15" t="s">
        <v>74</v>
      </c>
      <c r="AU111" s="15" t="s">
        <v>77</v>
      </c>
      <c r="AV111" s="15" t="s">
        <v>78</v>
      </c>
      <c r="AW111" s="15" t="s">
        <v>76</v>
      </c>
      <c r="AX111" s="15" t="s">
        <v>40</v>
      </c>
      <c r="AY111" s="15" t="s">
        <v>74</v>
      </c>
      <c r="AZ111" s="15" t="s">
        <v>77</v>
      </c>
      <c r="BA111" s="15" t="s">
        <v>78</v>
      </c>
      <c r="BB111" s="15" t="s">
        <v>83</v>
      </c>
      <c r="BC111" s="15"/>
      <c r="BD111" s="15">
        <v>87</v>
      </c>
    </row>
    <row r="112" spans="2:56" x14ac:dyDescent="0.25">
      <c r="B112" s="258"/>
      <c r="C112" s="258"/>
      <c r="D112" s="258"/>
      <c r="H112" s="7">
        <f t="shared" si="2"/>
        <v>177</v>
      </c>
      <c r="I112" s="23">
        <v>2301</v>
      </c>
      <c r="J112" s="15" t="s">
        <v>69</v>
      </c>
      <c r="K112" s="15" t="s">
        <v>732</v>
      </c>
      <c r="L112" s="35" t="s">
        <v>1612</v>
      </c>
      <c r="M112" s="16">
        <v>0.33333333333333331</v>
      </c>
      <c r="N112" s="16">
        <v>0.70833333333333337</v>
      </c>
      <c r="O112" s="15" t="s">
        <v>255</v>
      </c>
      <c r="P112" s="24">
        <v>5418899141</v>
      </c>
      <c r="Q112" s="15"/>
      <c r="R112" s="24">
        <v>5033785628</v>
      </c>
      <c r="S112" s="35" t="s">
        <v>1253</v>
      </c>
      <c r="T112" s="18">
        <v>14</v>
      </c>
      <c r="U112" s="35" t="s">
        <v>256</v>
      </c>
      <c r="V112" s="15" t="s">
        <v>257</v>
      </c>
      <c r="W112" s="15" t="s">
        <v>258</v>
      </c>
      <c r="X112" s="15" t="s">
        <v>259</v>
      </c>
      <c r="Y112" s="15" t="s">
        <v>74</v>
      </c>
      <c r="Z112" s="15">
        <v>97914</v>
      </c>
      <c r="AA112" s="15" t="s">
        <v>260</v>
      </c>
      <c r="AB112" s="15" t="s">
        <v>1335</v>
      </c>
      <c r="AC112" s="15" t="s">
        <v>1336</v>
      </c>
      <c r="AD112" s="15" t="s">
        <v>1337</v>
      </c>
      <c r="AE112" s="15" t="s">
        <v>1338</v>
      </c>
      <c r="AF112" s="15" t="s">
        <v>1339</v>
      </c>
      <c r="AG112" s="15" t="s">
        <v>1340</v>
      </c>
      <c r="AH112" s="15"/>
      <c r="AI112" s="15"/>
      <c r="AJ112" s="47" t="s">
        <v>1341</v>
      </c>
      <c r="AK112" s="47" t="s">
        <v>1342</v>
      </c>
      <c r="AL112" s="47" t="s">
        <v>1343</v>
      </c>
      <c r="AM112" s="47" t="s">
        <v>1344</v>
      </c>
      <c r="AN112" s="15" t="s">
        <v>1345</v>
      </c>
      <c r="AO112" s="15" t="s">
        <v>1346</v>
      </c>
      <c r="AP112" s="15"/>
      <c r="AQ112" s="15"/>
      <c r="AR112" s="15" t="s">
        <v>76</v>
      </c>
      <c r="AS112" s="15" t="s">
        <v>40</v>
      </c>
      <c r="AT112" s="15" t="s">
        <v>74</v>
      </c>
      <c r="AU112" s="15" t="s">
        <v>77</v>
      </c>
      <c r="AV112" s="15" t="s">
        <v>78</v>
      </c>
      <c r="AW112" s="15" t="s">
        <v>76</v>
      </c>
      <c r="AX112" s="15" t="s">
        <v>40</v>
      </c>
      <c r="AY112" s="15" t="s">
        <v>74</v>
      </c>
      <c r="AZ112" s="15" t="s">
        <v>77</v>
      </c>
      <c r="BA112" s="15" t="s">
        <v>78</v>
      </c>
      <c r="BB112" s="15" t="s">
        <v>83</v>
      </c>
      <c r="BC112" s="15"/>
      <c r="BD112" s="15">
        <v>88</v>
      </c>
    </row>
    <row r="113" spans="2:56" x14ac:dyDescent="0.25">
      <c r="B113" s="258"/>
      <c r="C113" s="258"/>
      <c r="D113" s="258"/>
      <c r="H113" s="7">
        <f t="shared" si="2"/>
        <v>0</v>
      </c>
      <c r="I113" s="23">
        <v>2311</v>
      </c>
      <c r="J113" s="15" t="s">
        <v>69</v>
      </c>
      <c r="K113" s="15" t="s">
        <v>731</v>
      </c>
      <c r="L113" s="35" t="s">
        <v>761</v>
      </c>
      <c r="M113" s="16">
        <v>0.33333333333333331</v>
      </c>
      <c r="N113" s="16">
        <v>0.70833333333333337</v>
      </c>
      <c r="O113" s="15" t="s">
        <v>255</v>
      </c>
      <c r="P113" s="24">
        <v>5418897553</v>
      </c>
      <c r="Q113" s="15"/>
      <c r="R113" s="24">
        <v>5033785628</v>
      </c>
      <c r="S113" s="35" t="s">
        <v>1254</v>
      </c>
      <c r="T113" s="18">
        <v>14</v>
      </c>
      <c r="U113" s="35" t="s">
        <v>256</v>
      </c>
      <c r="V113" s="15" t="s">
        <v>257</v>
      </c>
      <c r="W113" s="15" t="s">
        <v>261</v>
      </c>
      <c r="X113" s="15" t="s">
        <v>259</v>
      </c>
      <c r="Y113" s="15" t="s">
        <v>74</v>
      </c>
      <c r="Z113" s="15">
        <v>97914</v>
      </c>
      <c r="AA113" s="15" t="s">
        <v>260</v>
      </c>
      <c r="AB113" s="15"/>
      <c r="AC113" s="15"/>
      <c r="AD113" s="15"/>
      <c r="AE113" s="15"/>
      <c r="AF113" s="15"/>
      <c r="AG113" s="15"/>
      <c r="AH113" s="15"/>
      <c r="AI113" s="15"/>
      <c r="AJ113" s="47"/>
      <c r="AK113" s="47"/>
      <c r="AL113" s="47"/>
      <c r="AM113" s="47"/>
      <c r="AN113" s="15"/>
      <c r="AO113" s="15"/>
      <c r="AP113" s="15"/>
      <c r="AQ113" s="15"/>
      <c r="AR113" s="15" t="s">
        <v>76</v>
      </c>
      <c r="AS113" s="15" t="s">
        <v>40</v>
      </c>
      <c r="AT113" s="15" t="s">
        <v>74</v>
      </c>
      <c r="AU113" s="15" t="s">
        <v>77</v>
      </c>
      <c r="AV113" s="15" t="s">
        <v>78</v>
      </c>
      <c r="AW113" s="15" t="s">
        <v>76</v>
      </c>
      <c r="AX113" s="15" t="s">
        <v>40</v>
      </c>
      <c r="AY113" s="15" t="s">
        <v>74</v>
      </c>
      <c r="AZ113" s="15" t="s">
        <v>77</v>
      </c>
      <c r="BA113" s="15" t="s">
        <v>78</v>
      </c>
      <c r="BB113" s="15" t="s">
        <v>83</v>
      </c>
      <c r="BC113" s="15"/>
      <c r="BD113" s="15">
        <v>89</v>
      </c>
    </row>
    <row r="114" spans="2:56" x14ac:dyDescent="0.25">
      <c r="B114" s="258"/>
      <c r="C114" s="258"/>
      <c r="D114" s="258"/>
      <c r="H114" s="7">
        <f t="shared" si="2"/>
        <v>96</v>
      </c>
      <c r="I114" s="23">
        <v>302</v>
      </c>
      <c r="J114" s="15" t="s">
        <v>69</v>
      </c>
      <c r="K114" s="15" t="s">
        <v>732</v>
      </c>
      <c r="L114" s="35" t="s">
        <v>1613</v>
      </c>
      <c r="M114" s="16">
        <v>0.33333333333333331</v>
      </c>
      <c r="N114" s="16">
        <v>0.70833333333333337</v>
      </c>
      <c r="O114" s="15" t="s">
        <v>71</v>
      </c>
      <c r="P114" s="24">
        <v>9716737300</v>
      </c>
      <c r="Q114" s="15"/>
      <c r="R114" s="24">
        <v>5033785628</v>
      </c>
      <c r="S114" s="35" t="s">
        <v>1081</v>
      </c>
      <c r="T114" s="18">
        <v>15</v>
      </c>
      <c r="U114" s="35" t="s">
        <v>1040</v>
      </c>
      <c r="V114" s="15" t="s">
        <v>262</v>
      </c>
      <c r="W114" s="15"/>
      <c r="X114" s="15" t="s">
        <v>263</v>
      </c>
      <c r="Y114" s="15" t="s">
        <v>74</v>
      </c>
      <c r="Z114" s="15">
        <v>97045</v>
      </c>
      <c r="AA114" s="15" t="s">
        <v>264</v>
      </c>
      <c r="AB114" s="15" t="s">
        <v>1555</v>
      </c>
      <c r="AC114" s="46" t="s">
        <v>1557</v>
      </c>
      <c r="AD114" s="15" t="s">
        <v>1490</v>
      </c>
      <c r="AE114" s="15"/>
      <c r="AF114" s="15"/>
      <c r="AG114" s="15"/>
      <c r="AH114" s="15"/>
      <c r="AI114" s="15"/>
      <c r="AJ114" s="47" t="s">
        <v>1556</v>
      </c>
      <c r="AK114" s="15" t="s">
        <v>1380</v>
      </c>
      <c r="AL114" s="47" t="s">
        <v>1491</v>
      </c>
      <c r="AN114" s="47"/>
      <c r="AO114" s="47"/>
      <c r="AP114" s="15"/>
      <c r="AQ114" s="15"/>
      <c r="AR114" s="15" t="s">
        <v>76</v>
      </c>
      <c r="AS114" s="15" t="s">
        <v>40</v>
      </c>
      <c r="AT114" s="15" t="s">
        <v>74</v>
      </c>
      <c r="AU114" s="15" t="s">
        <v>77</v>
      </c>
      <c r="AV114" s="15" t="s">
        <v>78</v>
      </c>
      <c r="AW114" s="15" t="s">
        <v>76</v>
      </c>
      <c r="AX114" s="15" t="s">
        <v>40</v>
      </c>
      <c r="AY114" s="15" t="s">
        <v>74</v>
      </c>
      <c r="AZ114" s="15" t="s">
        <v>77</v>
      </c>
      <c r="BA114" s="15" t="s">
        <v>78</v>
      </c>
      <c r="BB114" s="15" t="s">
        <v>79</v>
      </c>
      <c r="BC114" s="15"/>
      <c r="BD114" s="15">
        <v>90</v>
      </c>
    </row>
    <row r="115" spans="2:56" x14ac:dyDescent="0.25">
      <c r="B115" s="258"/>
      <c r="C115" s="258"/>
      <c r="D115" s="258"/>
      <c r="H115" s="7">
        <f t="shared" si="2"/>
        <v>94</v>
      </c>
      <c r="I115" s="23">
        <v>303</v>
      </c>
      <c r="J115" s="15" t="s">
        <v>69</v>
      </c>
      <c r="K115" s="15" t="s">
        <v>732</v>
      </c>
      <c r="L115" s="35" t="s">
        <v>1614</v>
      </c>
      <c r="M115" s="16">
        <v>0.33333333333333331</v>
      </c>
      <c r="N115" s="16">
        <v>0.70833333333333337</v>
      </c>
      <c r="O115" s="15" t="s">
        <v>71</v>
      </c>
      <c r="P115" s="24">
        <v>5037313400</v>
      </c>
      <c r="Q115" s="15"/>
      <c r="R115" s="24">
        <v>5033785628</v>
      </c>
      <c r="S115" s="35" t="s">
        <v>1066</v>
      </c>
      <c r="T115" s="18">
        <v>15</v>
      </c>
      <c r="U115" s="35" t="s">
        <v>1039</v>
      </c>
      <c r="V115" s="15" t="s">
        <v>265</v>
      </c>
      <c r="W115" s="15"/>
      <c r="X115" s="15" t="s">
        <v>264</v>
      </c>
      <c r="Y115" s="15" t="s">
        <v>74</v>
      </c>
      <c r="Z115" s="15">
        <v>97015</v>
      </c>
      <c r="AA115" s="15" t="s">
        <v>264</v>
      </c>
      <c r="AB115" s="15" t="s">
        <v>1452</v>
      </c>
      <c r="AC115" s="15" t="s">
        <v>1453</v>
      </c>
      <c r="AD115" s="15" t="s">
        <v>1308</v>
      </c>
      <c r="AE115" s="15"/>
      <c r="AF115" s="15"/>
      <c r="AG115" s="15"/>
      <c r="AH115" s="15"/>
      <c r="AI115" s="15"/>
      <c r="AJ115" s="47" t="s">
        <v>1454</v>
      </c>
      <c r="AK115" s="46" t="s">
        <v>1310</v>
      </c>
      <c r="AL115" s="47" t="s">
        <v>1309</v>
      </c>
      <c r="AM115" s="47"/>
      <c r="AN115" s="47"/>
      <c r="AO115" s="47"/>
      <c r="AP115" s="15"/>
      <c r="AQ115" s="15"/>
      <c r="AR115" s="15" t="s">
        <v>76</v>
      </c>
      <c r="AS115" s="15" t="s">
        <v>40</v>
      </c>
      <c r="AT115" s="15" t="s">
        <v>74</v>
      </c>
      <c r="AU115" s="15" t="s">
        <v>77</v>
      </c>
      <c r="AV115" s="15" t="s">
        <v>78</v>
      </c>
      <c r="AW115" s="15" t="s">
        <v>76</v>
      </c>
      <c r="AX115" s="15" t="s">
        <v>40</v>
      </c>
      <c r="AY115" s="15" t="s">
        <v>74</v>
      </c>
      <c r="AZ115" s="15" t="s">
        <v>77</v>
      </c>
      <c r="BA115" s="15" t="s">
        <v>78</v>
      </c>
      <c r="BB115" s="15" t="s">
        <v>79</v>
      </c>
      <c r="BC115" s="15"/>
      <c r="BD115" s="15">
        <v>91</v>
      </c>
    </row>
    <row r="116" spans="2:56" x14ac:dyDescent="0.25">
      <c r="B116" s="258"/>
      <c r="C116" s="258"/>
      <c r="D116" s="258"/>
      <c r="H116" s="7">
        <f t="shared" si="2"/>
        <v>96</v>
      </c>
      <c r="I116" s="23">
        <v>305</v>
      </c>
      <c r="J116" s="95" t="s">
        <v>69</v>
      </c>
      <c r="K116" s="16" t="s">
        <v>1104</v>
      </c>
      <c r="L116" s="35" t="s">
        <v>1615</v>
      </c>
      <c r="M116" s="16">
        <v>0.33333333333333331</v>
      </c>
      <c r="N116" s="16">
        <v>0.70833333333333337</v>
      </c>
      <c r="O116" s="15" t="s">
        <v>71</v>
      </c>
      <c r="P116" s="24">
        <v>9716737070</v>
      </c>
      <c r="Q116" s="15"/>
      <c r="R116" s="24">
        <v>5036305600</v>
      </c>
      <c r="S116" s="35" t="s">
        <v>1067</v>
      </c>
      <c r="T116" s="18">
        <v>15</v>
      </c>
      <c r="U116" s="15" t="s">
        <v>1038</v>
      </c>
      <c r="V116" s="15" t="s">
        <v>271</v>
      </c>
      <c r="W116" s="15"/>
      <c r="X116" s="15" t="s">
        <v>272</v>
      </c>
      <c r="Y116" s="15" t="s">
        <v>74</v>
      </c>
      <c r="Z116" s="15">
        <v>97023</v>
      </c>
      <c r="AA116" s="15" t="s">
        <v>264</v>
      </c>
      <c r="AB116" s="15" t="s">
        <v>1490</v>
      </c>
      <c r="AC116" s="15" t="s">
        <v>1558</v>
      </c>
      <c r="AD116" s="15" t="s">
        <v>1563</v>
      </c>
      <c r="AE116" s="15"/>
      <c r="AF116" s="15"/>
      <c r="AG116" s="15"/>
      <c r="AH116" s="15"/>
      <c r="AI116" s="15"/>
      <c r="AJ116" s="47" t="s">
        <v>1491</v>
      </c>
      <c r="AK116" s="47" t="s">
        <v>1556</v>
      </c>
      <c r="AL116" s="47" t="s">
        <v>1380</v>
      </c>
      <c r="AM116" s="47"/>
      <c r="AN116" s="47"/>
      <c r="AO116" s="47"/>
      <c r="AP116" s="15"/>
      <c r="AQ116" s="15"/>
      <c r="AR116" s="15"/>
      <c r="AS116" s="15"/>
      <c r="AT116" s="15"/>
      <c r="AU116" s="15"/>
      <c r="AV116" s="15"/>
      <c r="AW116" s="15"/>
      <c r="AX116" s="15"/>
      <c r="AY116" s="15"/>
      <c r="AZ116" s="15"/>
      <c r="BA116" s="15"/>
      <c r="BB116" s="15"/>
      <c r="BC116" s="15"/>
      <c r="BD116" s="15">
        <v>92</v>
      </c>
    </row>
    <row r="117" spans="2:56" x14ac:dyDescent="0.25">
      <c r="B117" s="258"/>
      <c r="C117" s="258"/>
      <c r="D117" s="258"/>
      <c r="H117" s="7">
        <f t="shared" si="2"/>
        <v>0</v>
      </c>
      <c r="I117" s="23">
        <v>310</v>
      </c>
      <c r="J117" s="15" t="s">
        <v>69</v>
      </c>
      <c r="K117" s="15" t="s">
        <v>731</v>
      </c>
      <c r="L117" s="35" t="s">
        <v>1616</v>
      </c>
      <c r="M117" s="16">
        <v>0.33333333333333331</v>
      </c>
      <c r="N117" s="16">
        <v>0.70833333333333337</v>
      </c>
      <c r="O117" s="15" t="s">
        <v>71</v>
      </c>
      <c r="P117" s="24">
        <v>9716738900</v>
      </c>
      <c r="Q117" s="15"/>
      <c r="R117" s="24">
        <v>5032636655</v>
      </c>
      <c r="S117" s="35" t="s">
        <v>1255</v>
      </c>
      <c r="T117" s="18">
        <v>15</v>
      </c>
      <c r="U117" s="35" t="s">
        <v>1508</v>
      </c>
      <c r="V117" s="15" t="s">
        <v>266</v>
      </c>
      <c r="W117" s="15"/>
      <c r="X117" s="15" t="s">
        <v>267</v>
      </c>
      <c r="Y117" s="15" t="s">
        <v>74</v>
      </c>
      <c r="Z117" s="15">
        <v>97013</v>
      </c>
      <c r="AA117" s="15" t="s">
        <v>264</v>
      </c>
      <c r="AB117" s="15"/>
      <c r="AC117" s="15"/>
      <c r="AD117" s="15"/>
      <c r="AE117" s="15"/>
      <c r="AF117" s="15"/>
      <c r="AG117" s="15"/>
      <c r="AH117" s="15"/>
      <c r="AI117" s="15"/>
      <c r="AJ117" s="47"/>
      <c r="AK117" s="47"/>
      <c r="AL117" s="47"/>
      <c r="AM117" s="47"/>
      <c r="AN117" s="15"/>
      <c r="AO117" s="15"/>
      <c r="AP117" s="15"/>
      <c r="AQ117" s="15"/>
      <c r="AR117" s="15" t="s">
        <v>76</v>
      </c>
      <c r="AS117" s="15" t="s">
        <v>40</v>
      </c>
      <c r="AT117" s="15" t="s">
        <v>74</v>
      </c>
      <c r="AU117" s="15" t="s">
        <v>77</v>
      </c>
      <c r="AV117" s="15" t="s">
        <v>78</v>
      </c>
      <c r="AW117" s="15" t="s">
        <v>76</v>
      </c>
      <c r="AX117" s="15" t="s">
        <v>40</v>
      </c>
      <c r="AY117" s="15" t="s">
        <v>74</v>
      </c>
      <c r="AZ117" s="15" t="s">
        <v>77</v>
      </c>
      <c r="BA117" s="15" t="s">
        <v>78</v>
      </c>
      <c r="BB117" s="15" t="s">
        <v>79</v>
      </c>
      <c r="BC117" s="15"/>
      <c r="BD117" s="15">
        <v>93</v>
      </c>
    </row>
    <row r="118" spans="2:56" x14ac:dyDescent="0.25">
      <c r="B118" s="258"/>
      <c r="C118" s="258"/>
      <c r="D118" s="258"/>
      <c r="H118" s="7">
        <f t="shared" si="2"/>
        <v>0</v>
      </c>
      <c r="I118" s="23">
        <v>311</v>
      </c>
      <c r="J118" s="15" t="s">
        <v>69</v>
      </c>
      <c r="K118" s="15" t="s">
        <v>731</v>
      </c>
      <c r="L118" s="35" t="s">
        <v>1617</v>
      </c>
      <c r="M118" s="16">
        <v>0.33333333333333331</v>
      </c>
      <c r="N118" s="16">
        <v>0.70833333333333337</v>
      </c>
      <c r="O118" s="15" t="s">
        <v>71</v>
      </c>
      <c r="P118" s="24">
        <v>9716737600</v>
      </c>
      <c r="Q118" s="15"/>
      <c r="R118" s="24">
        <v>5033785628</v>
      </c>
      <c r="S118" s="35" t="s">
        <v>1256</v>
      </c>
      <c r="T118" s="18">
        <v>15</v>
      </c>
      <c r="U118" s="35" t="s">
        <v>1481</v>
      </c>
      <c r="V118" s="15" t="s">
        <v>268</v>
      </c>
      <c r="W118" s="15" t="s">
        <v>211</v>
      </c>
      <c r="X118" s="15" t="s">
        <v>263</v>
      </c>
      <c r="Y118" s="15" t="s">
        <v>74</v>
      </c>
      <c r="Z118" s="49">
        <v>97045</v>
      </c>
      <c r="AA118" s="15" t="s">
        <v>264</v>
      </c>
      <c r="AB118" s="15"/>
      <c r="AC118" s="15"/>
      <c r="AD118" s="15"/>
      <c r="AE118" s="15"/>
      <c r="AF118" s="15"/>
      <c r="AG118" s="15"/>
      <c r="AH118" s="15"/>
      <c r="AI118" s="15"/>
      <c r="AJ118" s="47"/>
      <c r="AK118" s="47"/>
      <c r="AL118" s="47"/>
      <c r="AM118" s="47"/>
      <c r="AN118" s="15"/>
      <c r="AO118" s="15"/>
      <c r="AP118" s="15"/>
      <c r="AQ118" s="15"/>
      <c r="AR118" s="15" t="s">
        <v>76</v>
      </c>
      <c r="AS118" s="15" t="s">
        <v>40</v>
      </c>
      <c r="AT118" s="15" t="s">
        <v>74</v>
      </c>
      <c r="AU118" s="15" t="s">
        <v>77</v>
      </c>
      <c r="AV118" s="15" t="s">
        <v>78</v>
      </c>
      <c r="AW118" s="15" t="s">
        <v>76</v>
      </c>
      <c r="AX118" s="15" t="s">
        <v>40</v>
      </c>
      <c r="AY118" s="15" t="s">
        <v>74</v>
      </c>
      <c r="AZ118" s="15" t="s">
        <v>77</v>
      </c>
      <c r="BA118" s="15" t="s">
        <v>78</v>
      </c>
      <c r="BB118" s="15" t="s">
        <v>79</v>
      </c>
      <c r="BC118" s="15"/>
      <c r="BD118" s="15">
        <v>94</v>
      </c>
    </row>
    <row r="119" spans="2:56" x14ac:dyDescent="0.25">
      <c r="B119" s="258"/>
      <c r="C119" s="258"/>
      <c r="D119" s="258"/>
      <c r="H119" s="7">
        <f t="shared" si="2"/>
        <v>0</v>
      </c>
      <c r="I119" s="23">
        <v>313</v>
      </c>
      <c r="J119" s="15" t="s">
        <v>69</v>
      </c>
      <c r="K119" s="15" t="s">
        <v>731</v>
      </c>
      <c r="L119" s="35" t="s">
        <v>1618</v>
      </c>
      <c r="M119" s="16">
        <v>0.33333333333333331</v>
      </c>
      <c r="N119" s="16">
        <v>0.70833333333333337</v>
      </c>
      <c r="O119" s="15" t="s">
        <v>71</v>
      </c>
      <c r="P119" s="24">
        <v>9716736600</v>
      </c>
      <c r="Q119" s="15"/>
      <c r="R119" s="24">
        <v>5033785628</v>
      </c>
      <c r="S119" s="35" t="s">
        <v>1257</v>
      </c>
      <c r="T119" s="18">
        <v>15</v>
      </c>
      <c r="U119" s="35" t="s">
        <v>962</v>
      </c>
      <c r="V119" s="15" t="s">
        <v>269</v>
      </c>
      <c r="W119" s="15" t="s">
        <v>215</v>
      </c>
      <c r="X119" s="15" t="s">
        <v>270</v>
      </c>
      <c r="Y119" s="15" t="s">
        <v>74</v>
      </c>
      <c r="Z119" s="15">
        <v>97222</v>
      </c>
      <c r="AA119" s="15" t="s">
        <v>264</v>
      </c>
      <c r="AB119" s="15"/>
      <c r="AC119" s="15"/>
      <c r="AD119" s="15"/>
      <c r="AE119" s="15"/>
      <c r="AF119" s="15"/>
      <c r="AG119" s="15"/>
      <c r="AH119" s="15"/>
      <c r="AI119" s="15"/>
      <c r="AJ119" s="47"/>
      <c r="AK119" s="47"/>
      <c r="AL119" s="47"/>
      <c r="AM119" s="47"/>
      <c r="AN119" s="15"/>
      <c r="AO119" s="15"/>
      <c r="AP119" s="15"/>
      <c r="AQ119" s="15"/>
      <c r="AR119" s="15" t="s">
        <v>76</v>
      </c>
      <c r="AS119" s="15" t="s">
        <v>40</v>
      </c>
      <c r="AT119" s="15" t="s">
        <v>74</v>
      </c>
      <c r="AU119" s="15" t="s">
        <v>77</v>
      </c>
      <c r="AV119" s="15" t="s">
        <v>78</v>
      </c>
      <c r="AW119" s="15" t="s">
        <v>76</v>
      </c>
      <c r="AX119" s="15" t="s">
        <v>40</v>
      </c>
      <c r="AY119" s="15" t="s">
        <v>74</v>
      </c>
      <c r="AZ119" s="15" t="s">
        <v>77</v>
      </c>
      <c r="BA119" s="15" t="s">
        <v>78</v>
      </c>
      <c r="BB119" s="15" t="s">
        <v>79</v>
      </c>
      <c r="BC119" s="15"/>
      <c r="BD119" s="15">
        <v>95</v>
      </c>
    </row>
    <row r="120" spans="2:56" x14ac:dyDescent="0.25">
      <c r="B120" s="258"/>
      <c r="C120" s="258"/>
      <c r="D120" s="258"/>
      <c r="H120" s="7">
        <f t="shared" si="2"/>
        <v>0</v>
      </c>
      <c r="I120" s="23">
        <v>314</v>
      </c>
      <c r="J120" s="15" t="s">
        <v>69</v>
      </c>
      <c r="K120" s="15" t="s">
        <v>1105</v>
      </c>
      <c r="L120" s="35" t="s">
        <v>762</v>
      </c>
      <c r="M120" s="16">
        <v>0.33333333333333331</v>
      </c>
      <c r="N120" s="16">
        <v>0.70833333333333337</v>
      </c>
      <c r="O120" s="15" t="s">
        <v>71</v>
      </c>
      <c r="P120" s="24">
        <v>9716737070</v>
      </c>
      <c r="Q120" s="15"/>
      <c r="R120" s="24">
        <v>5036305600</v>
      </c>
      <c r="S120" s="35" t="s">
        <v>1108</v>
      </c>
      <c r="T120" s="18">
        <v>15</v>
      </c>
      <c r="U120" s="35" t="s">
        <v>1482</v>
      </c>
      <c r="V120" s="15" t="s">
        <v>271</v>
      </c>
      <c r="W120" s="15"/>
      <c r="X120" s="15" t="s">
        <v>272</v>
      </c>
      <c r="Y120" s="15" t="s">
        <v>74</v>
      </c>
      <c r="Z120" s="15">
        <v>97023</v>
      </c>
      <c r="AA120" s="15" t="s">
        <v>264</v>
      </c>
      <c r="AB120" s="15"/>
      <c r="AC120" s="15"/>
      <c r="AD120" s="15"/>
      <c r="AE120" s="15"/>
      <c r="AF120" s="15"/>
      <c r="AG120" s="15"/>
      <c r="AH120" s="15"/>
      <c r="AI120" s="15"/>
      <c r="AJ120" s="47"/>
      <c r="AK120" s="47"/>
      <c r="AL120" s="47"/>
      <c r="AM120" s="47"/>
      <c r="AN120" s="15"/>
      <c r="AO120" s="15"/>
      <c r="AP120" s="15"/>
      <c r="AQ120" s="15"/>
      <c r="AR120" s="15" t="s">
        <v>76</v>
      </c>
      <c r="AS120" s="15" t="s">
        <v>40</v>
      </c>
      <c r="AT120" s="15" t="s">
        <v>74</v>
      </c>
      <c r="AU120" s="15" t="s">
        <v>77</v>
      </c>
      <c r="AV120" s="15" t="s">
        <v>78</v>
      </c>
      <c r="AW120" s="15" t="s">
        <v>76</v>
      </c>
      <c r="AX120" s="15" t="s">
        <v>40</v>
      </c>
      <c r="AY120" s="15" t="s">
        <v>74</v>
      </c>
      <c r="AZ120" s="15" t="s">
        <v>77</v>
      </c>
      <c r="BA120" s="15" t="s">
        <v>78</v>
      </c>
      <c r="BB120" s="15" t="s">
        <v>79</v>
      </c>
      <c r="BC120" s="15"/>
      <c r="BD120" s="15">
        <v>96</v>
      </c>
    </row>
    <row r="121" spans="2:56" x14ac:dyDescent="0.25">
      <c r="B121" s="258"/>
      <c r="C121" s="258"/>
      <c r="D121" s="258"/>
      <c r="H121" s="7">
        <f t="shared" si="2"/>
        <v>196</v>
      </c>
      <c r="I121" s="23">
        <v>3401</v>
      </c>
      <c r="J121" s="15" t="s">
        <v>69</v>
      </c>
      <c r="K121" s="15" t="s">
        <v>732</v>
      </c>
      <c r="L121" s="35" t="s">
        <v>1796</v>
      </c>
      <c r="M121" s="16">
        <v>0.33333333333333331</v>
      </c>
      <c r="N121" s="16">
        <v>0.70833333333333337</v>
      </c>
      <c r="O121" s="15" t="s">
        <v>71</v>
      </c>
      <c r="P121" s="24">
        <v>5036469952</v>
      </c>
      <c r="Q121" s="15"/>
      <c r="R121" s="24">
        <v>5033785628</v>
      </c>
      <c r="S121" s="35" t="s">
        <v>1082</v>
      </c>
      <c r="T121" s="18">
        <v>16</v>
      </c>
      <c r="U121" s="35" t="s">
        <v>1137</v>
      </c>
      <c r="V121" s="15" t="s">
        <v>273</v>
      </c>
      <c r="W121" s="15"/>
      <c r="X121" s="15" t="s">
        <v>274</v>
      </c>
      <c r="Y121" s="15" t="s">
        <v>74</v>
      </c>
      <c r="Z121" s="15">
        <v>97006</v>
      </c>
      <c r="AA121" s="15" t="s">
        <v>275</v>
      </c>
      <c r="AB121" s="15" t="s">
        <v>1301</v>
      </c>
      <c r="AC121" s="15" t="s">
        <v>1458</v>
      </c>
      <c r="AD121" s="15" t="s">
        <v>1302</v>
      </c>
      <c r="AE121" s="15" t="s">
        <v>1549</v>
      </c>
      <c r="AF121" s="15" t="s">
        <v>1711</v>
      </c>
      <c r="AG121" s="15" t="s">
        <v>1550</v>
      </c>
      <c r="AH121" s="15"/>
      <c r="AI121" s="15"/>
      <c r="AJ121" s="47" t="s">
        <v>1459</v>
      </c>
      <c r="AK121" s="47" t="s">
        <v>1712</v>
      </c>
      <c r="AL121" s="47" t="s">
        <v>1460</v>
      </c>
      <c r="AM121" s="47" t="s">
        <v>1713</v>
      </c>
      <c r="AN121" s="15" t="s">
        <v>1714</v>
      </c>
      <c r="AO121" s="15" t="s">
        <v>1715</v>
      </c>
      <c r="AP121" s="15"/>
      <c r="AQ121" s="15"/>
      <c r="AR121" s="15" t="s">
        <v>76</v>
      </c>
      <c r="AS121" s="15" t="s">
        <v>40</v>
      </c>
      <c r="AT121" s="15" t="s">
        <v>74</v>
      </c>
      <c r="AU121" s="15" t="s">
        <v>77</v>
      </c>
      <c r="AV121" s="15" t="s">
        <v>78</v>
      </c>
      <c r="AW121" s="15" t="s">
        <v>76</v>
      </c>
      <c r="AX121" s="15" t="s">
        <v>40</v>
      </c>
      <c r="AY121" s="15" t="s">
        <v>74</v>
      </c>
      <c r="AZ121" s="15" t="s">
        <v>77</v>
      </c>
      <c r="BA121" s="15" t="s">
        <v>78</v>
      </c>
      <c r="BB121" s="15" t="s">
        <v>79</v>
      </c>
      <c r="BC121" s="15"/>
      <c r="BD121" s="15">
        <v>97</v>
      </c>
    </row>
    <row r="122" spans="2:56" x14ac:dyDescent="0.25">
      <c r="B122" s="258"/>
      <c r="C122" s="258"/>
      <c r="D122" s="258"/>
      <c r="H122" s="7">
        <f t="shared" si="2"/>
        <v>192</v>
      </c>
      <c r="I122" s="23">
        <v>3402</v>
      </c>
      <c r="J122" s="15" t="s">
        <v>69</v>
      </c>
      <c r="K122" s="15" t="s">
        <v>732</v>
      </c>
      <c r="L122" s="35" t="s">
        <v>1797</v>
      </c>
      <c r="M122" s="16">
        <v>0.33333333333333331</v>
      </c>
      <c r="N122" s="16">
        <v>0.70833333333333337</v>
      </c>
      <c r="O122" s="15" t="s">
        <v>71</v>
      </c>
      <c r="P122" s="24">
        <v>5036934555</v>
      </c>
      <c r="Q122" s="15"/>
      <c r="R122" s="24">
        <v>5033785628</v>
      </c>
      <c r="S122" s="35" t="s">
        <v>1083</v>
      </c>
      <c r="T122" s="18">
        <v>16</v>
      </c>
      <c r="U122" s="35" t="s">
        <v>811</v>
      </c>
      <c r="V122" s="15" t="s">
        <v>276</v>
      </c>
      <c r="W122" s="15" t="s">
        <v>195</v>
      </c>
      <c r="X122" s="15" t="s">
        <v>277</v>
      </c>
      <c r="Y122" s="15" t="s">
        <v>74</v>
      </c>
      <c r="Z122" s="15">
        <v>97124</v>
      </c>
      <c r="AA122" s="15" t="s">
        <v>275</v>
      </c>
      <c r="AB122" s="15" t="s">
        <v>1695</v>
      </c>
      <c r="AC122" s="15" t="s">
        <v>1696</v>
      </c>
      <c r="AD122" s="15" t="s">
        <v>1300</v>
      </c>
      <c r="AE122" s="15" t="s">
        <v>1697</v>
      </c>
      <c r="AF122" s="15" t="s">
        <v>1698</v>
      </c>
      <c r="AG122" s="15" t="s">
        <v>1699</v>
      </c>
      <c r="AH122" s="15"/>
      <c r="AI122" s="15"/>
      <c r="AJ122" s="47" t="s">
        <v>1700</v>
      </c>
      <c r="AK122" s="47" t="s">
        <v>1701</v>
      </c>
      <c r="AL122" s="47" t="s">
        <v>1702</v>
      </c>
      <c r="AM122" s="47" t="s">
        <v>1703</v>
      </c>
      <c r="AN122" s="47" t="s">
        <v>1704</v>
      </c>
      <c r="AO122" s="46" t="s">
        <v>1705</v>
      </c>
      <c r="AP122" s="15"/>
      <c r="AQ122" s="15"/>
      <c r="AR122" s="15" t="s">
        <v>76</v>
      </c>
      <c r="AS122" s="15" t="s">
        <v>40</v>
      </c>
      <c r="AT122" s="15" t="s">
        <v>74</v>
      </c>
      <c r="AU122" s="15" t="s">
        <v>77</v>
      </c>
      <c r="AV122" s="15" t="s">
        <v>78</v>
      </c>
      <c r="AW122" s="15" t="s">
        <v>76</v>
      </c>
      <c r="AX122" s="15" t="s">
        <v>40</v>
      </c>
      <c r="AY122" s="15" t="s">
        <v>74</v>
      </c>
      <c r="AZ122" s="15" t="s">
        <v>77</v>
      </c>
      <c r="BA122" s="15" t="s">
        <v>78</v>
      </c>
      <c r="BB122" s="15" t="s">
        <v>79</v>
      </c>
      <c r="BC122" s="15"/>
      <c r="BD122" s="15">
        <v>98</v>
      </c>
    </row>
    <row r="123" spans="2:56" x14ac:dyDescent="0.25">
      <c r="B123" s="258"/>
      <c r="C123" s="258"/>
      <c r="D123" s="258"/>
      <c r="H123" s="7">
        <f t="shared" si="2"/>
        <v>178</v>
      </c>
      <c r="I123" s="23">
        <v>3403</v>
      </c>
      <c r="J123" s="15" t="s">
        <v>69</v>
      </c>
      <c r="K123" s="15" t="s">
        <v>732</v>
      </c>
      <c r="L123" s="35" t="s">
        <v>1716</v>
      </c>
      <c r="M123" s="16">
        <v>0.33333333333333331</v>
      </c>
      <c r="N123" s="16">
        <v>0.70833333333333337</v>
      </c>
      <c r="O123" s="15" t="s">
        <v>71</v>
      </c>
      <c r="P123" s="24">
        <v>5036709711</v>
      </c>
      <c r="Q123" s="15"/>
      <c r="R123" s="24">
        <v>5033785628</v>
      </c>
      <c r="S123" s="35" t="s">
        <v>1068</v>
      </c>
      <c r="T123" s="18">
        <v>16</v>
      </c>
      <c r="U123" s="35" t="s">
        <v>1100</v>
      </c>
      <c r="V123" s="15" t="s">
        <v>278</v>
      </c>
      <c r="W123" s="15"/>
      <c r="X123" s="15" t="s">
        <v>279</v>
      </c>
      <c r="Y123" s="15" t="s">
        <v>74</v>
      </c>
      <c r="Z123" s="15">
        <v>97223</v>
      </c>
      <c r="AA123" s="15" t="s">
        <v>275</v>
      </c>
      <c r="AB123" s="15" t="s">
        <v>1620</v>
      </c>
      <c r="AC123" s="15" t="s">
        <v>1621</v>
      </c>
      <c r="AD123" s="15" t="s">
        <v>1333</v>
      </c>
      <c r="AE123" s="15" t="s">
        <v>1484</v>
      </c>
      <c r="AF123" s="15" t="s">
        <v>1485</v>
      </c>
      <c r="AG123" s="15" t="s">
        <v>1332</v>
      </c>
      <c r="AH123" s="15"/>
      <c r="AI123" s="15"/>
      <c r="AJ123" s="47" t="s">
        <v>1622</v>
      </c>
      <c r="AK123" s="47" t="s">
        <v>1623</v>
      </c>
      <c r="AL123" s="47" t="s">
        <v>1624</v>
      </c>
      <c r="AM123" s="47" t="s">
        <v>1625</v>
      </c>
      <c r="AN123" s="15" t="s">
        <v>1626</v>
      </c>
      <c r="AO123" s="15" t="s">
        <v>1627</v>
      </c>
      <c r="AP123" s="15"/>
      <c r="AQ123" s="15"/>
      <c r="AR123" s="15" t="s">
        <v>76</v>
      </c>
      <c r="AS123" s="15" t="s">
        <v>40</v>
      </c>
      <c r="AT123" s="15" t="s">
        <v>74</v>
      </c>
      <c r="AU123" s="15" t="s">
        <v>77</v>
      </c>
      <c r="AV123" s="15" t="s">
        <v>78</v>
      </c>
      <c r="AW123" s="15" t="s">
        <v>76</v>
      </c>
      <c r="AX123" s="15" t="s">
        <v>40</v>
      </c>
      <c r="AY123" s="15" t="s">
        <v>74</v>
      </c>
      <c r="AZ123" s="15" t="s">
        <v>77</v>
      </c>
      <c r="BA123" s="15" t="s">
        <v>78</v>
      </c>
      <c r="BB123" s="15" t="s">
        <v>79</v>
      </c>
      <c r="BC123" s="15"/>
      <c r="BD123" s="15">
        <v>99</v>
      </c>
    </row>
    <row r="124" spans="2:56" x14ac:dyDescent="0.25">
      <c r="B124" s="258"/>
      <c r="C124" s="258"/>
      <c r="D124" s="258"/>
      <c r="H124" s="7">
        <f t="shared" si="2"/>
        <v>0</v>
      </c>
      <c r="I124" s="23">
        <v>3411</v>
      </c>
      <c r="J124" s="15" t="s">
        <v>69</v>
      </c>
      <c r="K124" s="15" t="s">
        <v>731</v>
      </c>
      <c r="L124" s="35" t="s">
        <v>1798</v>
      </c>
      <c r="M124" s="16">
        <v>0.33333333333333331</v>
      </c>
      <c r="N124" s="16">
        <v>0.70833333333333337</v>
      </c>
      <c r="O124" s="15" t="s">
        <v>71</v>
      </c>
      <c r="P124" s="24">
        <v>9716735100</v>
      </c>
      <c r="Q124" s="15"/>
      <c r="R124" s="24">
        <v>5033785628</v>
      </c>
      <c r="S124" s="35" t="s">
        <v>1258</v>
      </c>
      <c r="T124" s="18">
        <v>16</v>
      </c>
      <c r="U124" s="35" t="s">
        <v>811</v>
      </c>
      <c r="V124" s="15" t="s">
        <v>280</v>
      </c>
      <c r="W124" s="15" t="s">
        <v>72</v>
      </c>
      <c r="X124" s="15" t="s">
        <v>277</v>
      </c>
      <c r="Y124" s="15" t="s">
        <v>74</v>
      </c>
      <c r="Z124" s="15">
        <v>97124</v>
      </c>
      <c r="AA124" s="15" t="s">
        <v>275</v>
      </c>
      <c r="AB124" s="15"/>
      <c r="AC124" s="15"/>
      <c r="AD124" s="15"/>
      <c r="AE124" s="15"/>
      <c r="AF124" s="15"/>
      <c r="AG124" s="15"/>
      <c r="AH124" s="15"/>
      <c r="AI124" s="15"/>
      <c r="AJ124" s="15"/>
      <c r="AK124" s="15"/>
      <c r="AL124" s="47"/>
      <c r="AM124" s="47"/>
      <c r="AN124" s="15"/>
      <c r="AO124" s="15"/>
      <c r="AP124" s="15"/>
      <c r="AQ124" s="15"/>
      <c r="AR124" s="15" t="s">
        <v>76</v>
      </c>
      <c r="AS124" s="15" t="s">
        <v>40</v>
      </c>
      <c r="AT124" s="15" t="s">
        <v>74</v>
      </c>
      <c r="AU124" s="15" t="s">
        <v>77</v>
      </c>
      <c r="AV124" s="15" t="s">
        <v>78</v>
      </c>
      <c r="AW124" s="15" t="s">
        <v>76</v>
      </c>
      <c r="AX124" s="15" t="s">
        <v>40</v>
      </c>
      <c r="AY124" s="15" t="s">
        <v>74</v>
      </c>
      <c r="AZ124" s="15" t="s">
        <v>77</v>
      </c>
      <c r="BA124" s="15" t="s">
        <v>78</v>
      </c>
      <c r="BB124" s="15" t="s">
        <v>79</v>
      </c>
      <c r="BC124" s="15"/>
      <c r="BD124" s="15">
        <v>100</v>
      </c>
    </row>
    <row r="125" spans="2:56" x14ac:dyDescent="0.25">
      <c r="B125" s="37"/>
      <c r="C125" s="37"/>
      <c r="D125" s="37"/>
      <c r="H125" s="7">
        <f t="shared" si="2"/>
        <v>0</v>
      </c>
      <c r="I125" s="23">
        <v>3415</v>
      </c>
      <c r="J125" s="15" t="s">
        <v>69</v>
      </c>
      <c r="K125" s="15" t="s">
        <v>731</v>
      </c>
      <c r="L125" s="35" t="s">
        <v>1799</v>
      </c>
      <c r="M125" s="16">
        <v>0.33333333333333331</v>
      </c>
      <c r="N125" s="16">
        <v>0.70833333333333337</v>
      </c>
      <c r="O125" s="15" t="s">
        <v>71</v>
      </c>
      <c r="P125" s="24">
        <v>5039682312</v>
      </c>
      <c r="Q125" s="15"/>
      <c r="R125" s="24">
        <v>5033785628</v>
      </c>
      <c r="S125" s="35" t="s">
        <v>1259</v>
      </c>
      <c r="T125" s="18">
        <v>16</v>
      </c>
      <c r="U125" s="35" t="s">
        <v>692</v>
      </c>
      <c r="V125" s="15" t="s">
        <v>281</v>
      </c>
      <c r="W125" s="15" t="s">
        <v>282</v>
      </c>
      <c r="X125" s="15" t="s">
        <v>279</v>
      </c>
      <c r="Y125" s="15" t="s">
        <v>74</v>
      </c>
      <c r="Z125" s="15">
        <v>97224</v>
      </c>
      <c r="AA125" s="15" t="s">
        <v>275</v>
      </c>
      <c r="AB125" s="15"/>
      <c r="AC125" s="15"/>
      <c r="AD125" s="15"/>
      <c r="AE125" s="15"/>
      <c r="AF125" s="15"/>
      <c r="AG125" s="15"/>
      <c r="AH125" s="15"/>
      <c r="AI125" s="15"/>
      <c r="AJ125" s="15"/>
      <c r="AK125" s="15"/>
      <c r="AL125" s="15"/>
      <c r="AM125" s="15"/>
      <c r="AN125" s="15"/>
      <c r="AO125" s="15"/>
      <c r="AP125" s="15"/>
      <c r="AQ125" s="15"/>
      <c r="AR125" s="15" t="s">
        <v>76</v>
      </c>
      <c r="AS125" s="15" t="s">
        <v>40</v>
      </c>
      <c r="AT125" s="15" t="s">
        <v>74</v>
      </c>
      <c r="AU125" s="15" t="s">
        <v>77</v>
      </c>
      <c r="AV125" s="15" t="s">
        <v>78</v>
      </c>
      <c r="AW125" s="15" t="s">
        <v>76</v>
      </c>
      <c r="AX125" s="15" t="s">
        <v>40</v>
      </c>
      <c r="AY125" s="15" t="s">
        <v>74</v>
      </c>
      <c r="AZ125" s="15" t="s">
        <v>77</v>
      </c>
      <c r="BA125" s="15" t="s">
        <v>78</v>
      </c>
      <c r="BB125" s="15" t="s">
        <v>79</v>
      </c>
      <c r="BC125" s="15"/>
      <c r="BD125" s="15">
        <v>101</v>
      </c>
    </row>
    <row r="126" spans="2:56" x14ac:dyDescent="0.25">
      <c r="B126" s="37" t="s">
        <v>1497</v>
      </c>
      <c r="C126" s="37"/>
      <c r="D126" s="37"/>
      <c r="H126" s="7">
        <f t="shared" si="2"/>
        <v>0</v>
      </c>
      <c r="I126" s="23">
        <v>3417</v>
      </c>
      <c r="J126" s="15" t="s">
        <v>69</v>
      </c>
      <c r="K126" s="15" t="s">
        <v>731</v>
      </c>
      <c r="L126" s="35" t="s">
        <v>1800</v>
      </c>
      <c r="M126" s="16">
        <v>0.33333333333333331</v>
      </c>
      <c r="N126" s="16">
        <v>0.70833333333333337</v>
      </c>
      <c r="O126" s="15" t="s">
        <v>71</v>
      </c>
      <c r="P126" s="24">
        <v>5036270362</v>
      </c>
      <c r="Q126" s="15"/>
      <c r="R126" s="24">
        <v>5036719076</v>
      </c>
      <c r="S126" s="35" t="s">
        <v>1120</v>
      </c>
      <c r="T126" s="18">
        <v>16</v>
      </c>
      <c r="U126" s="35" t="s">
        <v>1138</v>
      </c>
      <c r="V126" s="15" t="s">
        <v>283</v>
      </c>
      <c r="W126" s="15" t="s">
        <v>180</v>
      </c>
      <c r="X126" s="15" t="s">
        <v>274</v>
      </c>
      <c r="Y126" s="15" t="s">
        <v>74</v>
      </c>
      <c r="Z126" s="15">
        <v>97005</v>
      </c>
      <c r="AA126" s="15" t="s">
        <v>275</v>
      </c>
      <c r="AB126" s="15"/>
      <c r="AC126" s="15"/>
      <c r="AD126" s="15"/>
      <c r="AE126" s="15"/>
      <c r="AF126" s="15"/>
      <c r="AG126" s="15"/>
      <c r="AH126" s="15"/>
      <c r="AI126" s="15"/>
      <c r="AJ126" s="15"/>
      <c r="AK126" s="15"/>
      <c r="AL126" s="15"/>
      <c r="AM126" s="15"/>
      <c r="AN126" s="15"/>
      <c r="AO126" s="15"/>
      <c r="AP126" s="15"/>
      <c r="AQ126" s="15"/>
      <c r="AR126" s="15" t="s">
        <v>76</v>
      </c>
      <c r="AS126" s="15" t="s">
        <v>40</v>
      </c>
      <c r="AT126" s="15" t="s">
        <v>74</v>
      </c>
      <c r="AU126" s="15" t="s">
        <v>77</v>
      </c>
      <c r="AV126" s="15" t="s">
        <v>78</v>
      </c>
      <c r="AW126" s="15" t="s">
        <v>76</v>
      </c>
      <c r="AX126" s="15" t="s">
        <v>40</v>
      </c>
      <c r="AY126" s="15" t="s">
        <v>74</v>
      </c>
      <c r="AZ126" s="15" t="s">
        <v>77</v>
      </c>
      <c r="BA126" s="15" t="s">
        <v>78</v>
      </c>
      <c r="BB126" s="15" t="s">
        <v>79</v>
      </c>
      <c r="BC126" s="15"/>
      <c r="BD126" s="15">
        <v>102</v>
      </c>
    </row>
    <row r="127" spans="2:56" x14ac:dyDescent="0.25">
      <c r="B127" s="258" t="s">
        <v>1503</v>
      </c>
      <c r="C127" s="258"/>
      <c r="D127" s="258"/>
      <c r="I127" s="23"/>
      <c r="J127" s="15"/>
      <c r="K127" s="15"/>
      <c r="L127" s="15"/>
      <c r="M127" s="16"/>
      <c r="N127" s="16"/>
      <c r="O127" s="15"/>
      <c r="P127" s="24"/>
      <c r="Q127" s="15"/>
      <c r="R127" s="24"/>
      <c r="S127" s="35"/>
      <c r="T127" s="18"/>
      <c r="U127" s="3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row>
    <row r="128" spans="2:56" x14ac:dyDescent="0.25">
      <c r="B128" s="258"/>
      <c r="C128" s="258"/>
      <c r="D128" s="258"/>
      <c r="I128" s="23"/>
      <c r="J128" s="15"/>
      <c r="K128" s="15"/>
      <c r="L128" s="15"/>
      <c r="M128" s="16"/>
      <c r="N128" s="16"/>
      <c r="O128" s="15"/>
      <c r="P128" s="96"/>
      <c r="Q128" s="15"/>
      <c r="R128" s="103"/>
      <c r="S128" s="35"/>
      <c r="T128" s="18"/>
      <c r="U128" s="36"/>
      <c r="V128" s="15"/>
      <c r="W128" s="15"/>
      <c r="X128" s="15"/>
      <c r="Y128" s="15"/>
      <c r="Z128" s="15"/>
      <c r="AA128" s="15"/>
      <c r="AB128" s="15"/>
      <c r="AC128" s="15"/>
      <c r="AD128" s="15"/>
      <c r="AE128" s="15"/>
      <c r="AF128" s="15"/>
      <c r="AG128" s="15"/>
      <c r="AH128" s="15"/>
      <c r="AI128" s="15"/>
      <c r="AJ128" s="15"/>
      <c r="AK128" s="47"/>
      <c r="AL128" s="47"/>
      <c r="AM128" s="47"/>
      <c r="AN128" s="47"/>
      <c r="AO128" s="15"/>
      <c r="AP128" s="15"/>
      <c r="AQ128" s="15"/>
      <c r="AR128" s="15"/>
      <c r="AS128" s="15"/>
      <c r="AT128" s="15"/>
      <c r="AU128" s="15"/>
      <c r="AV128" s="15"/>
      <c r="AW128" s="15"/>
      <c r="AX128" s="15"/>
      <c r="AY128" s="15"/>
      <c r="AZ128" s="15"/>
      <c r="BA128" s="15"/>
      <c r="BB128" s="15"/>
      <c r="BC128" s="15"/>
      <c r="BD128" s="15"/>
    </row>
    <row r="129" spans="2:56" x14ac:dyDescent="0.25">
      <c r="B129" s="258"/>
      <c r="C129" s="258"/>
      <c r="D129" s="258"/>
      <c r="I129" s="109"/>
      <c r="J129" s="35"/>
      <c r="K129" s="35"/>
      <c r="L129" s="35"/>
      <c r="M129" s="110"/>
      <c r="N129" s="110"/>
      <c r="O129" s="35"/>
      <c r="P129" s="111"/>
      <c r="Q129" s="35"/>
      <c r="R129" s="111"/>
      <c r="S129" s="35"/>
      <c r="T129" s="112"/>
      <c r="U129" s="36"/>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row>
    <row r="130" spans="2:56" x14ac:dyDescent="0.25">
      <c r="B130" s="258"/>
      <c r="C130" s="258"/>
      <c r="D130" s="258"/>
      <c r="I130" s="23"/>
      <c r="J130" s="15"/>
      <c r="K130" s="15"/>
      <c r="L130" s="15"/>
      <c r="M130" s="16"/>
      <c r="N130" s="16"/>
      <c r="O130" s="15"/>
      <c r="P130" s="96"/>
      <c r="Q130" s="15"/>
      <c r="R130" s="103"/>
      <c r="S130" s="35"/>
      <c r="T130" s="18"/>
      <c r="U130" s="35"/>
      <c r="V130" s="15"/>
      <c r="W130" s="15"/>
      <c r="X130" s="15"/>
      <c r="Y130" s="15"/>
      <c r="Z130" s="15"/>
      <c r="AA130" s="15"/>
      <c r="AB130" s="15"/>
      <c r="AC130" s="15"/>
      <c r="AD130" s="15"/>
      <c r="AE130" s="15"/>
      <c r="AF130" s="15"/>
      <c r="AG130" s="15"/>
      <c r="AH130" s="15"/>
      <c r="AI130" s="15"/>
      <c r="AJ130" s="15"/>
      <c r="AK130" s="47"/>
      <c r="AL130" s="47"/>
      <c r="AM130" s="47"/>
      <c r="AN130" s="47"/>
      <c r="AO130" s="15"/>
      <c r="AP130" s="15"/>
      <c r="AQ130" s="15"/>
      <c r="AR130" s="15"/>
      <c r="AS130" s="15"/>
      <c r="AT130" s="15"/>
      <c r="AU130" s="15"/>
      <c r="AV130" s="15"/>
      <c r="AW130" s="15"/>
      <c r="AX130" s="15"/>
      <c r="AY130" s="15"/>
      <c r="AZ130" s="15"/>
      <c r="BA130" s="15"/>
      <c r="BB130" s="15"/>
      <c r="BC130" s="15"/>
      <c r="BD130" s="15"/>
    </row>
    <row r="131" spans="2:56" x14ac:dyDescent="0.25">
      <c r="B131" s="258"/>
      <c r="C131" s="258"/>
      <c r="D131" s="258"/>
      <c r="I131" s="23">
        <v>102</v>
      </c>
      <c r="J131" s="15" t="s">
        <v>284</v>
      </c>
      <c r="K131" s="15" t="s">
        <v>70</v>
      </c>
      <c r="L131" s="15" t="s">
        <v>285</v>
      </c>
      <c r="M131" s="16">
        <v>0.29166666666666669</v>
      </c>
      <c r="N131" s="16">
        <v>0.75</v>
      </c>
      <c r="O131" s="15" t="s">
        <v>71</v>
      </c>
      <c r="P131" s="24">
        <v>8006999075</v>
      </c>
      <c r="Q131" s="15"/>
      <c r="R131" s="24">
        <v>5033785628</v>
      </c>
      <c r="S131" s="15"/>
      <c r="T131" s="18" t="s">
        <v>284</v>
      </c>
      <c r="U131" s="15"/>
      <c r="V131" s="15" t="s">
        <v>76</v>
      </c>
      <c r="W131" s="15"/>
      <c r="X131" s="15" t="s">
        <v>40</v>
      </c>
      <c r="Y131" s="15" t="s">
        <v>74</v>
      </c>
      <c r="Z131" s="15">
        <v>97309</v>
      </c>
      <c r="AA131" s="15" t="s">
        <v>78</v>
      </c>
      <c r="AB131" s="15"/>
      <c r="AC131" s="15"/>
      <c r="AD131" s="15"/>
      <c r="AE131" s="15"/>
      <c r="AF131" s="15"/>
      <c r="AG131" s="15"/>
      <c r="AH131" s="15"/>
      <c r="AI131" s="15"/>
      <c r="AJ131" s="15"/>
      <c r="AK131" s="15"/>
      <c r="AL131" s="15"/>
      <c r="AM131" s="15"/>
      <c r="AN131" s="15"/>
      <c r="AO131" s="15"/>
      <c r="AP131" s="15"/>
      <c r="AQ131" s="15"/>
      <c r="AR131" s="15" t="s">
        <v>76</v>
      </c>
      <c r="AS131" s="15" t="s">
        <v>40</v>
      </c>
      <c r="AT131" s="15" t="s">
        <v>74</v>
      </c>
      <c r="AU131" s="15" t="s">
        <v>77</v>
      </c>
      <c r="AV131" s="15" t="s">
        <v>78</v>
      </c>
      <c r="AW131" s="15" t="s">
        <v>76</v>
      </c>
      <c r="AX131" s="15" t="s">
        <v>40</v>
      </c>
      <c r="AY131" s="15" t="s">
        <v>74</v>
      </c>
      <c r="AZ131" s="15" t="s">
        <v>77</v>
      </c>
      <c r="BA131" s="15" t="s">
        <v>78</v>
      </c>
      <c r="BB131" s="15" t="s">
        <v>286</v>
      </c>
      <c r="BC131" s="15"/>
      <c r="BD131" s="15">
        <v>101</v>
      </c>
    </row>
    <row r="132" spans="2:56" x14ac:dyDescent="0.25">
      <c r="B132" s="37"/>
      <c r="C132" s="37"/>
      <c r="D132" s="37"/>
      <c r="I132" s="23">
        <v>304</v>
      </c>
      <c r="J132" s="15" t="s">
        <v>284</v>
      </c>
      <c r="K132" s="15" t="s">
        <v>70</v>
      </c>
      <c r="L132" s="15" t="s">
        <v>793</v>
      </c>
      <c r="M132" s="16">
        <v>0.29166666666666669</v>
      </c>
      <c r="N132" s="16">
        <v>0.75</v>
      </c>
      <c r="O132" s="15" t="s">
        <v>71</v>
      </c>
      <c r="P132" s="24">
        <v>8006999075</v>
      </c>
      <c r="Q132" s="15"/>
      <c r="R132" s="24">
        <v>5033785628</v>
      </c>
      <c r="S132" s="15"/>
      <c r="T132" s="18" t="s">
        <v>284</v>
      </c>
      <c r="U132" s="15"/>
      <c r="V132" s="15" t="s">
        <v>76</v>
      </c>
      <c r="W132" s="15"/>
      <c r="X132" s="15" t="s">
        <v>40</v>
      </c>
      <c r="Y132" s="15" t="s">
        <v>74</v>
      </c>
      <c r="Z132" s="15">
        <v>97309</v>
      </c>
      <c r="AA132" s="15" t="s">
        <v>78</v>
      </c>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row>
    <row r="133" spans="2:56" x14ac:dyDescent="0.25">
      <c r="B133" s="37" t="s">
        <v>1493</v>
      </c>
      <c r="C133" s="37"/>
      <c r="D133" s="37"/>
      <c r="I133" s="23">
        <v>402</v>
      </c>
      <c r="J133" s="15" t="s">
        <v>284</v>
      </c>
      <c r="K133" s="15" t="s">
        <v>70</v>
      </c>
      <c r="L133" s="15" t="s">
        <v>1148</v>
      </c>
      <c r="M133" s="16">
        <v>0.29166666666666669</v>
      </c>
      <c r="N133" s="16">
        <v>0.75</v>
      </c>
      <c r="O133" s="15" t="s">
        <v>71</v>
      </c>
      <c r="P133" s="24">
        <v>8006999075</v>
      </c>
      <c r="Q133" s="15"/>
      <c r="R133" s="24">
        <v>5033785628</v>
      </c>
      <c r="S133" s="15"/>
      <c r="T133" s="18" t="s">
        <v>284</v>
      </c>
      <c r="U133" s="15"/>
      <c r="V133" s="15" t="s">
        <v>76</v>
      </c>
      <c r="W133" s="15"/>
      <c r="X133" s="15" t="s">
        <v>40</v>
      </c>
      <c r="Y133" s="15" t="s">
        <v>74</v>
      </c>
      <c r="Z133" s="15">
        <v>97309</v>
      </c>
      <c r="AA133" s="15" t="s">
        <v>78</v>
      </c>
      <c r="AB133" s="15"/>
      <c r="AC133" s="15"/>
      <c r="AD133" s="15"/>
      <c r="AE133" s="15"/>
      <c r="AF133" s="15"/>
      <c r="AG133" s="15"/>
      <c r="AH133" s="15"/>
      <c r="AI133" s="15"/>
      <c r="AJ133" s="15"/>
      <c r="AK133" s="15"/>
      <c r="AL133" s="15"/>
      <c r="AM133" s="15"/>
      <c r="AN133" s="15"/>
      <c r="AO133" s="15"/>
      <c r="AP133" s="15"/>
      <c r="AQ133" s="15"/>
      <c r="AR133" s="15" t="s">
        <v>76</v>
      </c>
      <c r="AS133" s="15" t="s">
        <v>40</v>
      </c>
      <c r="AT133" s="15" t="s">
        <v>74</v>
      </c>
      <c r="AU133" s="15" t="s">
        <v>77</v>
      </c>
      <c r="AV133" s="15" t="s">
        <v>78</v>
      </c>
      <c r="AW133" s="15" t="s">
        <v>76</v>
      </c>
      <c r="AX133" s="15" t="s">
        <v>40</v>
      </c>
      <c r="AY133" s="15" t="s">
        <v>74</v>
      </c>
      <c r="AZ133" s="15" t="s">
        <v>77</v>
      </c>
      <c r="BA133" s="15" t="s">
        <v>78</v>
      </c>
      <c r="BB133" s="15" t="s">
        <v>286</v>
      </c>
      <c r="BC133" s="15"/>
      <c r="BD133" s="15">
        <v>102</v>
      </c>
    </row>
    <row r="134" spans="2:56" x14ac:dyDescent="0.25">
      <c r="B134" s="236" t="s">
        <v>1492</v>
      </c>
      <c r="C134" s="237"/>
      <c r="D134" s="238"/>
      <c r="I134" s="23">
        <v>502</v>
      </c>
      <c r="J134" s="15" t="s">
        <v>284</v>
      </c>
      <c r="K134" s="15" t="s">
        <v>70</v>
      </c>
      <c r="L134" s="15" t="s">
        <v>287</v>
      </c>
      <c r="M134" s="16">
        <v>0.29166666666666669</v>
      </c>
      <c r="N134" s="16">
        <v>0.75</v>
      </c>
      <c r="O134" s="15" t="s">
        <v>71</v>
      </c>
      <c r="P134" s="24">
        <v>8006999075</v>
      </c>
      <c r="Q134" s="15"/>
      <c r="R134" s="24">
        <v>5033785628</v>
      </c>
      <c r="S134" s="15"/>
      <c r="T134" s="18" t="s">
        <v>284</v>
      </c>
      <c r="U134" s="15"/>
      <c r="V134" s="15" t="s">
        <v>76</v>
      </c>
      <c r="W134" s="15"/>
      <c r="X134" s="15" t="s">
        <v>40</v>
      </c>
      <c r="Y134" s="15" t="s">
        <v>74</v>
      </c>
      <c r="Z134" s="49">
        <v>97309</v>
      </c>
      <c r="AA134" s="15" t="s">
        <v>78</v>
      </c>
      <c r="AB134" s="15"/>
      <c r="AC134" s="15"/>
      <c r="AD134" s="15"/>
      <c r="AE134" s="15"/>
      <c r="AF134" s="15"/>
      <c r="AG134" s="15"/>
      <c r="AH134" s="15"/>
      <c r="AI134" s="15"/>
      <c r="AJ134" s="15"/>
      <c r="AK134" s="15"/>
      <c r="AL134" s="15"/>
      <c r="AM134" s="15"/>
      <c r="AN134" s="15"/>
      <c r="AO134" s="15"/>
      <c r="AP134" s="15"/>
      <c r="AQ134" s="15"/>
      <c r="AR134" s="15" t="s">
        <v>76</v>
      </c>
      <c r="AS134" s="15" t="s">
        <v>40</v>
      </c>
      <c r="AT134" s="15" t="s">
        <v>74</v>
      </c>
      <c r="AU134" s="15" t="s">
        <v>77</v>
      </c>
      <c r="AV134" s="15" t="s">
        <v>78</v>
      </c>
      <c r="AW134" s="15" t="s">
        <v>76</v>
      </c>
      <c r="AX134" s="15" t="s">
        <v>40</v>
      </c>
      <c r="AY134" s="15" t="s">
        <v>74</v>
      </c>
      <c r="AZ134" s="15" t="s">
        <v>77</v>
      </c>
      <c r="BA134" s="15" t="s">
        <v>78</v>
      </c>
      <c r="BB134" s="15" t="s">
        <v>286</v>
      </c>
      <c r="BC134" s="15"/>
      <c r="BD134" s="15">
        <v>103</v>
      </c>
    </row>
    <row r="135" spans="2:56" x14ac:dyDescent="0.25">
      <c r="B135" s="239"/>
      <c r="C135" s="240"/>
      <c r="D135" s="241"/>
      <c r="I135" s="23">
        <v>602</v>
      </c>
      <c r="J135" s="15" t="s">
        <v>284</v>
      </c>
      <c r="K135" s="15" t="s">
        <v>70</v>
      </c>
      <c r="L135" s="15" t="s">
        <v>288</v>
      </c>
      <c r="M135" s="16">
        <v>0.29166666666666669</v>
      </c>
      <c r="N135" s="16">
        <v>0.75</v>
      </c>
      <c r="O135" s="15" t="s">
        <v>71</v>
      </c>
      <c r="P135" s="24">
        <v>8006999075</v>
      </c>
      <c r="Q135" s="15"/>
      <c r="R135" s="24">
        <v>5033785628</v>
      </c>
      <c r="S135" s="15"/>
      <c r="T135" s="18" t="s">
        <v>284</v>
      </c>
      <c r="U135" s="15"/>
      <c r="V135" s="15" t="s">
        <v>76</v>
      </c>
      <c r="W135" s="15"/>
      <c r="X135" s="15" t="s">
        <v>40</v>
      </c>
      <c r="Y135" s="15" t="s">
        <v>74</v>
      </c>
      <c r="Z135" s="15">
        <v>97309</v>
      </c>
      <c r="AA135" s="15" t="s">
        <v>78</v>
      </c>
      <c r="AB135" s="15"/>
      <c r="AC135" s="15"/>
      <c r="AD135" s="15"/>
      <c r="AE135" s="15"/>
      <c r="AF135" s="15"/>
      <c r="AG135" s="15"/>
      <c r="AH135" s="15"/>
      <c r="AI135" s="15"/>
      <c r="AJ135" s="15"/>
      <c r="AK135" s="15"/>
      <c r="AL135" s="15"/>
      <c r="AM135" s="15"/>
      <c r="AN135" s="15"/>
      <c r="AO135" s="15"/>
      <c r="AP135" s="15"/>
      <c r="AQ135" s="15"/>
      <c r="AR135" s="15" t="s">
        <v>76</v>
      </c>
      <c r="AS135" s="15" t="s">
        <v>40</v>
      </c>
      <c r="AT135" s="15" t="s">
        <v>74</v>
      </c>
      <c r="AU135" s="15" t="s">
        <v>77</v>
      </c>
      <c r="AV135" s="15" t="s">
        <v>78</v>
      </c>
      <c r="AW135" s="15" t="s">
        <v>76</v>
      </c>
      <c r="AX135" s="15" t="s">
        <v>40</v>
      </c>
      <c r="AY135" s="15" t="s">
        <v>74</v>
      </c>
      <c r="AZ135" s="15" t="s">
        <v>77</v>
      </c>
      <c r="BA135" s="15" t="s">
        <v>78</v>
      </c>
      <c r="BB135" s="15" t="s">
        <v>286</v>
      </c>
      <c r="BC135" s="15"/>
      <c r="BD135" s="15">
        <v>104</v>
      </c>
    </row>
    <row r="136" spans="2:56" x14ac:dyDescent="0.25">
      <c r="B136" s="239"/>
      <c r="C136" s="240"/>
      <c r="D136" s="241"/>
      <c r="I136" s="23">
        <v>1003</v>
      </c>
      <c r="J136" s="15" t="s">
        <v>284</v>
      </c>
      <c r="K136" s="15" t="s">
        <v>70</v>
      </c>
      <c r="L136" s="15" t="s">
        <v>794</v>
      </c>
      <c r="M136" s="16">
        <v>0.29166666666666669</v>
      </c>
      <c r="N136" s="16">
        <v>0.75</v>
      </c>
      <c r="O136" s="15" t="s">
        <v>71</v>
      </c>
      <c r="P136" s="24">
        <v>8006999075</v>
      </c>
      <c r="Q136" s="15"/>
      <c r="R136" s="24">
        <v>5033785628</v>
      </c>
      <c r="S136" s="15"/>
      <c r="T136" s="18" t="s">
        <v>284</v>
      </c>
      <c r="U136" s="15"/>
      <c r="V136" s="15" t="s">
        <v>76</v>
      </c>
      <c r="W136" s="15"/>
      <c r="X136" s="15" t="s">
        <v>40</v>
      </c>
      <c r="Y136" s="15" t="s">
        <v>74</v>
      </c>
      <c r="Z136" s="15">
        <v>97309</v>
      </c>
      <c r="AA136" s="15" t="s">
        <v>78</v>
      </c>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row>
    <row r="137" spans="2:56" x14ac:dyDescent="0.25">
      <c r="B137" s="242"/>
      <c r="C137" s="243"/>
      <c r="D137" s="244"/>
      <c r="I137" s="23">
        <v>1503</v>
      </c>
      <c r="J137" s="15" t="s">
        <v>284</v>
      </c>
      <c r="K137" s="15" t="s">
        <v>70</v>
      </c>
      <c r="L137" s="15" t="s">
        <v>289</v>
      </c>
      <c r="M137" s="16">
        <v>0.29166666666666669</v>
      </c>
      <c r="N137" s="16">
        <v>0.75</v>
      </c>
      <c r="O137" s="15" t="s">
        <v>71</v>
      </c>
      <c r="P137" s="24">
        <v>8006999075</v>
      </c>
      <c r="Q137" s="15"/>
      <c r="R137" s="24">
        <v>5033785628</v>
      </c>
      <c r="S137" s="15"/>
      <c r="T137" s="18" t="s">
        <v>284</v>
      </c>
      <c r="U137" s="15"/>
      <c r="V137" s="15" t="s">
        <v>76</v>
      </c>
      <c r="W137" s="15"/>
      <c r="X137" s="15" t="s">
        <v>40</v>
      </c>
      <c r="Y137" s="15" t="s">
        <v>74</v>
      </c>
      <c r="Z137" s="15">
        <v>97309</v>
      </c>
      <c r="AA137" s="15" t="s">
        <v>78</v>
      </c>
      <c r="AB137" s="15"/>
      <c r="AC137" s="15"/>
      <c r="AD137" s="15"/>
      <c r="AE137" s="15"/>
      <c r="AF137" s="15"/>
      <c r="AG137" s="15"/>
      <c r="AH137" s="15"/>
      <c r="AI137" s="15"/>
      <c r="AJ137" s="15"/>
      <c r="AK137" s="15"/>
      <c r="AL137" s="15"/>
      <c r="AM137" s="15"/>
      <c r="AN137" s="15"/>
      <c r="AO137" s="15"/>
      <c r="AP137" s="15"/>
      <c r="AQ137" s="15"/>
      <c r="AR137" s="15" t="s">
        <v>76</v>
      </c>
      <c r="AS137" s="15" t="s">
        <v>40</v>
      </c>
      <c r="AT137" s="15" t="s">
        <v>74</v>
      </c>
      <c r="AU137" s="15" t="s">
        <v>77</v>
      </c>
      <c r="AV137" s="15" t="s">
        <v>78</v>
      </c>
      <c r="AW137" s="15" t="s">
        <v>76</v>
      </c>
      <c r="AX137" s="15" t="s">
        <v>40</v>
      </c>
      <c r="AY137" s="15" t="s">
        <v>74</v>
      </c>
      <c r="AZ137" s="15" t="s">
        <v>77</v>
      </c>
      <c r="BA137" s="15" t="s">
        <v>78</v>
      </c>
      <c r="BB137" s="15" t="s">
        <v>286</v>
      </c>
      <c r="BC137" s="15"/>
      <c r="BD137" s="15">
        <v>105</v>
      </c>
    </row>
    <row r="138" spans="2:56" x14ac:dyDescent="0.25">
      <c r="B138" s="37"/>
      <c r="C138" s="37"/>
      <c r="D138" s="37"/>
      <c r="I138" s="23">
        <v>1504</v>
      </c>
      <c r="J138" s="15" t="s">
        <v>284</v>
      </c>
      <c r="K138" s="15" t="s">
        <v>70</v>
      </c>
      <c r="L138" s="15" t="s">
        <v>290</v>
      </c>
      <c r="M138" s="16">
        <v>0.29166666666666669</v>
      </c>
      <c r="N138" s="16">
        <v>0.75</v>
      </c>
      <c r="O138" s="15" t="s">
        <v>71</v>
      </c>
      <c r="P138" s="24">
        <v>8006999075</v>
      </c>
      <c r="Q138" s="15"/>
      <c r="R138" s="24">
        <v>5033785628</v>
      </c>
      <c r="S138" s="15"/>
      <c r="T138" s="18" t="s">
        <v>284</v>
      </c>
      <c r="U138" s="15"/>
      <c r="V138" s="15" t="s">
        <v>76</v>
      </c>
      <c r="W138" s="15"/>
      <c r="X138" s="15" t="s">
        <v>40</v>
      </c>
      <c r="Y138" s="15" t="s">
        <v>74</v>
      </c>
      <c r="Z138" s="15">
        <v>97309</v>
      </c>
      <c r="AA138" s="15" t="s">
        <v>78</v>
      </c>
      <c r="AB138" s="15"/>
      <c r="AC138" s="15"/>
      <c r="AD138" s="15"/>
      <c r="AE138" s="15"/>
      <c r="AF138" s="15"/>
      <c r="AG138" s="15"/>
      <c r="AH138" s="15"/>
      <c r="AI138" s="15"/>
      <c r="AJ138" s="15"/>
      <c r="AK138" s="15"/>
      <c r="AL138" s="15"/>
      <c r="AM138" s="15"/>
      <c r="AN138" s="15"/>
      <c r="AO138" s="15"/>
      <c r="AP138" s="15"/>
      <c r="AQ138" s="15"/>
      <c r="AR138" s="15" t="s">
        <v>76</v>
      </c>
      <c r="AS138" s="15" t="s">
        <v>40</v>
      </c>
      <c r="AT138" s="15" t="s">
        <v>74</v>
      </c>
      <c r="AU138" s="15" t="s">
        <v>77</v>
      </c>
      <c r="AV138" s="15" t="s">
        <v>78</v>
      </c>
      <c r="AW138" s="15" t="s">
        <v>76</v>
      </c>
      <c r="AX138" s="15" t="s">
        <v>40</v>
      </c>
      <c r="AY138" s="15" t="s">
        <v>74</v>
      </c>
      <c r="AZ138" s="15" t="s">
        <v>77</v>
      </c>
      <c r="BA138" s="15" t="s">
        <v>78</v>
      </c>
      <c r="BB138" s="15" t="s">
        <v>286</v>
      </c>
      <c r="BC138" s="15"/>
      <c r="BD138" s="15">
        <v>106</v>
      </c>
    </row>
    <row r="139" spans="2:56" x14ac:dyDescent="0.25">
      <c r="B139" s="37" t="s">
        <v>1488</v>
      </c>
      <c r="C139" s="37"/>
      <c r="D139" s="37"/>
      <c r="I139" s="23">
        <v>1604</v>
      </c>
      <c r="J139" s="15" t="s">
        <v>284</v>
      </c>
      <c r="K139" s="15" t="s">
        <v>70</v>
      </c>
      <c r="L139" s="15" t="s">
        <v>796</v>
      </c>
      <c r="M139" s="16">
        <v>0.29166666666666669</v>
      </c>
      <c r="N139" s="16">
        <v>0.75</v>
      </c>
      <c r="O139" s="15" t="s">
        <v>71</v>
      </c>
      <c r="P139" s="24">
        <v>8006999075</v>
      </c>
      <c r="Q139" s="15"/>
      <c r="R139" s="24">
        <v>5033785628</v>
      </c>
      <c r="S139" s="15"/>
      <c r="T139" s="18" t="s">
        <v>284</v>
      </c>
      <c r="U139" s="15"/>
      <c r="V139" s="15" t="s">
        <v>76</v>
      </c>
      <c r="W139" s="15"/>
      <c r="X139" s="15" t="s">
        <v>40</v>
      </c>
      <c r="Y139" s="15" t="s">
        <v>74</v>
      </c>
      <c r="Z139" s="15">
        <v>97309</v>
      </c>
      <c r="AA139" s="15" t="s">
        <v>78</v>
      </c>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row>
    <row r="140" spans="2:56" x14ac:dyDescent="0.25">
      <c r="B140" s="236" t="s">
        <v>1489</v>
      </c>
      <c r="C140" s="237"/>
      <c r="D140" s="238"/>
      <c r="I140" s="23">
        <v>1803</v>
      </c>
      <c r="J140" s="15" t="s">
        <v>284</v>
      </c>
      <c r="K140" s="15" t="s">
        <v>70</v>
      </c>
      <c r="L140" s="15" t="s">
        <v>291</v>
      </c>
      <c r="M140" s="16">
        <v>0.29166666666666669</v>
      </c>
      <c r="N140" s="16">
        <v>0.75</v>
      </c>
      <c r="O140" s="15" t="s">
        <v>71</v>
      </c>
      <c r="P140" s="24">
        <v>8006999075</v>
      </c>
      <c r="Q140" s="15"/>
      <c r="R140" s="24">
        <v>5033785628</v>
      </c>
      <c r="S140" s="15"/>
      <c r="T140" s="18" t="s">
        <v>284</v>
      </c>
      <c r="U140" s="15"/>
      <c r="V140" s="15" t="s">
        <v>76</v>
      </c>
      <c r="W140" s="15"/>
      <c r="X140" s="15" t="s">
        <v>40</v>
      </c>
      <c r="Y140" s="15" t="s">
        <v>74</v>
      </c>
      <c r="Z140" s="15">
        <v>97309</v>
      </c>
      <c r="AA140" s="15" t="s">
        <v>78</v>
      </c>
      <c r="AB140" s="15"/>
      <c r="AC140" s="15"/>
      <c r="AD140" s="15"/>
      <c r="AE140" s="15"/>
      <c r="AF140" s="15"/>
      <c r="AG140" s="15"/>
      <c r="AH140" s="15"/>
      <c r="AI140" s="15"/>
      <c r="AJ140" s="15"/>
      <c r="AK140" s="15"/>
      <c r="AL140" s="15"/>
      <c r="AM140" s="15"/>
      <c r="AN140" s="15"/>
      <c r="AO140" s="15"/>
      <c r="AP140" s="15"/>
      <c r="AQ140" s="15"/>
      <c r="AR140" s="15" t="s">
        <v>76</v>
      </c>
      <c r="AS140" s="15" t="s">
        <v>40</v>
      </c>
      <c r="AT140" s="15" t="s">
        <v>74</v>
      </c>
      <c r="AU140" s="15" t="s">
        <v>77</v>
      </c>
      <c r="AV140" s="15" t="s">
        <v>78</v>
      </c>
      <c r="AW140" s="15" t="s">
        <v>76</v>
      </c>
      <c r="AX140" s="15" t="s">
        <v>40</v>
      </c>
      <c r="AY140" s="15" t="s">
        <v>74</v>
      </c>
      <c r="AZ140" s="15" t="s">
        <v>77</v>
      </c>
      <c r="BA140" s="15" t="s">
        <v>78</v>
      </c>
      <c r="BB140" s="15" t="s">
        <v>286</v>
      </c>
      <c r="BC140" s="15"/>
      <c r="BD140" s="15">
        <v>107</v>
      </c>
    </row>
    <row r="141" spans="2:56" x14ac:dyDescent="0.25">
      <c r="B141" s="239"/>
      <c r="C141" s="240"/>
      <c r="D141" s="241"/>
      <c r="I141" s="23">
        <v>2005</v>
      </c>
      <c r="J141" s="15" t="s">
        <v>284</v>
      </c>
      <c r="K141" s="15" t="s">
        <v>70</v>
      </c>
      <c r="L141" s="15" t="s">
        <v>987</v>
      </c>
      <c r="M141" s="16">
        <v>0.29166666666666669</v>
      </c>
      <c r="N141" s="16">
        <v>0.75</v>
      </c>
      <c r="O141" s="15" t="s">
        <v>71</v>
      </c>
      <c r="P141" s="24">
        <v>8006999075</v>
      </c>
      <c r="Q141" s="15"/>
      <c r="R141" s="24">
        <v>5033785628</v>
      </c>
      <c r="S141" s="15"/>
      <c r="T141" s="18" t="s">
        <v>284</v>
      </c>
      <c r="U141" s="15"/>
      <c r="V141" s="15" t="s">
        <v>76</v>
      </c>
      <c r="W141" s="15"/>
      <c r="X141" s="15" t="s">
        <v>40</v>
      </c>
      <c r="Y141" s="15" t="s">
        <v>74</v>
      </c>
      <c r="Z141" s="15">
        <v>97309</v>
      </c>
      <c r="AA141" s="15" t="s">
        <v>78</v>
      </c>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row>
    <row r="142" spans="2:56" x14ac:dyDescent="0.25">
      <c r="B142" s="239"/>
      <c r="C142" s="240"/>
      <c r="D142" s="241"/>
      <c r="I142" s="23">
        <v>2203</v>
      </c>
      <c r="J142" s="15" t="s">
        <v>284</v>
      </c>
      <c r="K142" s="15" t="s">
        <v>70</v>
      </c>
      <c r="L142" s="15" t="s">
        <v>292</v>
      </c>
      <c r="M142" s="16">
        <v>0.29166666666666669</v>
      </c>
      <c r="N142" s="16">
        <v>0.75</v>
      </c>
      <c r="O142" s="15" t="s">
        <v>71</v>
      </c>
      <c r="P142" s="24">
        <v>8006999075</v>
      </c>
      <c r="Q142" s="15"/>
      <c r="R142" s="24">
        <v>5033785628</v>
      </c>
      <c r="S142" s="15"/>
      <c r="T142" s="18" t="s">
        <v>284</v>
      </c>
      <c r="U142" s="15"/>
      <c r="V142" s="15" t="s">
        <v>76</v>
      </c>
      <c r="W142" s="15"/>
      <c r="X142" s="15" t="s">
        <v>40</v>
      </c>
      <c r="Y142" s="15" t="s">
        <v>74</v>
      </c>
      <c r="Z142" s="15">
        <v>97309</v>
      </c>
      <c r="AA142" s="15" t="s">
        <v>78</v>
      </c>
      <c r="AB142" s="15"/>
      <c r="AC142" s="15"/>
      <c r="AD142" s="15"/>
      <c r="AE142" s="15"/>
      <c r="AF142" s="15"/>
      <c r="AG142" s="15"/>
      <c r="AH142" s="15"/>
      <c r="AI142" s="15"/>
      <c r="AJ142" s="15"/>
      <c r="AK142" s="15"/>
      <c r="AL142" s="15"/>
      <c r="AM142" s="15"/>
      <c r="AN142" s="15"/>
      <c r="AO142" s="15"/>
      <c r="AP142" s="15"/>
      <c r="AQ142" s="15"/>
      <c r="AR142" s="15" t="s">
        <v>76</v>
      </c>
      <c r="AS142" s="15" t="s">
        <v>40</v>
      </c>
      <c r="AT142" s="15" t="s">
        <v>74</v>
      </c>
      <c r="AU142" s="15" t="s">
        <v>77</v>
      </c>
      <c r="AV142" s="15" t="s">
        <v>78</v>
      </c>
      <c r="AW142" s="15" t="s">
        <v>76</v>
      </c>
      <c r="AX142" s="15" t="s">
        <v>40</v>
      </c>
      <c r="AY142" s="15" t="s">
        <v>74</v>
      </c>
      <c r="AZ142" s="15" t="s">
        <v>77</v>
      </c>
      <c r="BA142" s="15" t="s">
        <v>78</v>
      </c>
      <c r="BB142" s="15" t="s">
        <v>286</v>
      </c>
      <c r="BC142" s="15"/>
      <c r="BD142" s="15">
        <v>108</v>
      </c>
    </row>
    <row r="143" spans="2:56" x14ac:dyDescent="0.25">
      <c r="B143" s="239"/>
      <c r="C143" s="240"/>
      <c r="D143" s="241"/>
      <c r="I143" s="23">
        <v>2302</v>
      </c>
      <c r="J143" s="15" t="s">
        <v>284</v>
      </c>
      <c r="K143" s="15" t="s">
        <v>70</v>
      </c>
      <c r="L143" s="15" t="s">
        <v>293</v>
      </c>
      <c r="M143" s="16">
        <v>0.29166666666666669</v>
      </c>
      <c r="N143" s="16">
        <v>0.75</v>
      </c>
      <c r="O143" s="15" t="s">
        <v>71</v>
      </c>
      <c r="P143" s="24">
        <v>8006999075</v>
      </c>
      <c r="Q143" s="15"/>
      <c r="R143" s="24">
        <v>5033785628</v>
      </c>
      <c r="S143" s="15"/>
      <c r="T143" s="18" t="s">
        <v>284</v>
      </c>
      <c r="U143" s="15"/>
      <c r="V143" s="15" t="s">
        <v>76</v>
      </c>
      <c r="W143" s="15"/>
      <c r="X143" s="15" t="s">
        <v>40</v>
      </c>
      <c r="Y143" s="15" t="s">
        <v>74</v>
      </c>
      <c r="Z143" s="49">
        <v>97309</v>
      </c>
      <c r="AA143" s="15" t="s">
        <v>78</v>
      </c>
      <c r="AB143" s="15"/>
      <c r="AC143" s="15"/>
      <c r="AD143" s="15"/>
      <c r="AE143" s="15"/>
      <c r="AF143" s="15"/>
      <c r="AG143" s="15"/>
      <c r="AH143" s="15"/>
      <c r="AI143" s="15"/>
      <c r="AJ143" s="15"/>
      <c r="AK143" s="15"/>
      <c r="AL143" s="15"/>
      <c r="AM143" s="15"/>
      <c r="AN143" s="15"/>
      <c r="AO143" s="15"/>
      <c r="AP143" s="15"/>
      <c r="AQ143" s="15"/>
      <c r="AR143" s="15" t="s">
        <v>76</v>
      </c>
      <c r="AS143" s="15" t="s">
        <v>40</v>
      </c>
      <c r="AT143" s="15" t="s">
        <v>74</v>
      </c>
      <c r="AU143" s="15" t="s">
        <v>77</v>
      </c>
      <c r="AV143" s="15" t="s">
        <v>78</v>
      </c>
      <c r="AW143" s="15" t="s">
        <v>76</v>
      </c>
      <c r="AX143" s="15" t="s">
        <v>40</v>
      </c>
      <c r="AY143" s="15" t="s">
        <v>74</v>
      </c>
      <c r="AZ143" s="15" t="s">
        <v>77</v>
      </c>
      <c r="BA143" s="15" t="s">
        <v>78</v>
      </c>
      <c r="BB143" s="15" t="s">
        <v>286</v>
      </c>
      <c r="BC143" s="15"/>
      <c r="BD143" s="15">
        <v>109</v>
      </c>
    </row>
    <row r="144" spans="2:56" x14ac:dyDescent="0.25">
      <c r="B144" s="242"/>
      <c r="C144" s="243"/>
      <c r="D144" s="244"/>
      <c r="I144" s="23">
        <v>2803</v>
      </c>
      <c r="J144" s="15" t="s">
        <v>284</v>
      </c>
      <c r="K144" s="15" t="s">
        <v>70</v>
      </c>
      <c r="L144" s="15" t="s">
        <v>294</v>
      </c>
      <c r="M144" s="16">
        <v>0.29166666666666669</v>
      </c>
      <c r="N144" s="16">
        <v>0.75</v>
      </c>
      <c r="O144" s="15" t="s">
        <v>71</v>
      </c>
      <c r="P144" s="24">
        <v>8006999075</v>
      </c>
      <c r="Q144" s="15"/>
      <c r="R144" s="24">
        <v>5033785628</v>
      </c>
      <c r="S144" s="15"/>
      <c r="T144" s="18" t="s">
        <v>284</v>
      </c>
      <c r="U144" s="15"/>
      <c r="V144" s="15" t="s">
        <v>76</v>
      </c>
      <c r="W144" s="15"/>
      <c r="X144" s="15" t="s">
        <v>40</v>
      </c>
      <c r="Y144" s="15" t="s">
        <v>74</v>
      </c>
      <c r="Z144" s="15">
        <v>97309</v>
      </c>
      <c r="AA144" s="15" t="s">
        <v>78</v>
      </c>
      <c r="AB144" s="15"/>
      <c r="AC144" s="15"/>
      <c r="AD144" s="15"/>
      <c r="AE144" s="15"/>
      <c r="AF144" s="15"/>
      <c r="AG144" s="15"/>
      <c r="AH144" s="15"/>
      <c r="AI144" s="15"/>
      <c r="AJ144" s="15"/>
      <c r="AK144" s="15"/>
      <c r="AL144" s="15"/>
      <c r="AM144" s="15"/>
      <c r="AN144" s="15"/>
      <c r="AO144" s="15"/>
      <c r="AP144" s="15"/>
      <c r="AQ144" s="15"/>
      <c r="AR144" s="15" t="s">
        <v>76</v>
      </c>
      <c r="AS144" s="15" t="s">
        <v>40</v>
      </c>
      <c r="AT144" s="15" t="s">
        <v>74</v>
      </c>
      <c r="AU144" s="15" t="s">
        <v>77</v>
      </c>
      <c r="AV144" s="15" t="s">
        <v>78</v>
      </c>
      <c r="AW144" s="15" t="s">
        <v>76</v>
      </c>
      <c r="AX144" s="15" t="s">
        <v>40</v>
      </c>
      <c r="AY144" s="15" t="s">
        <v>74</v>
      </c>
      <c r="AZ144" s="15" t="s">
        <v>77</v>
      </c>
      <c r="BA144" s="15" t="s">
        <v>78</v>
      </c>
      <c r="BB144" s="15" t="s">
        <v>286</v>
      </c>
      <c r="BC144" s="15"/>
      <c r="BD144" s="15">
        <v>110</v>
      </c>
    </row>
    <row r="145" spans="2:56" x14ac:dyDescent="0.25">
      <c r="B145" s="37"/>
      <c r="C145" s="37"/>
      <c r="D145" s="37"/>
      <c r="I145" s="23">
        <v>2903</v>
      </c>
      <c r="J145" s="15" t="s">
        <v>284</v>
      </c>
      <c r="K145" s="15" t="s">
        <v>70</v>
      </c>
      <c r="L145" s="15" t="s">
        <v>295</v>
      </c>
      <c r="M145" s="16">
        <v>0.29166666666666669</v>
      </c>
      <c r="N145" s="16">
        <v>0.75</v>
      </c>
      <c r="O145" s="15" t="s">
        <v>71</v>
      </c>
      <c r="P145" s="24">
        <v>8006999075</v>
      </c>
      <c r="Q145" s="15"/>
      <c r="R145" s="24">
        <v>5033785628</v>
      </c>
      <c r="S145" s="15"/>
      <c r="T145" s="18" t="s">
        <v>284</v>
      </c>
      <c r="U145" s="15"/>
      <c r="V145" s="15" t="s">
        <v>76</v>
      </c>
      <c r="W145" s="15"/>
      <c r="X145" s="15" t="s">
        <v>40</v>
      </c>
      <c r="Y145" s="15" t="s">
        <v>74</v>
      </c>
      <c r="Z145" s="49">
        <v>97309</v>
      </c>
      <c r="AA145" s="15" t="s">
        <v>78</v>
      </c>
      <c r="AB145" s="15"/>
      <c r="AC145" s="15"/>
      <c r="AD145" s="15"/>
      <c r="AE145" s="15"/>
      <c r="AF145" s="15"/>
      <c r="AG145" s="15"/>
      <c r="AH145" s="15"/>
      <c r="AI145" s="15"/>
      <c r="AJ145" s="15"/>
      <c r="AK145" s="15"/>
      <c r="AL145" s="15"/>
      <c r="AM145" s="15"/>
      <c r="AN145" s="15"/>
      <c r="AO145" s="15"/>
      <c r="AP145" s="15"/>
      <c r="AQ145" s="15"/>
      <c r="AR145" s="15" t="s">
        <v>76</v>
      </c>
      <c r="AS145" s="15" t="s">
        <v>40</v>
      </c>
      <c r="AT145" s="15" t="s">
        <v>74</v>
      </c>
      <c r="AU145" s="15" t="s">
        <v>77</v>
      </c>
      <c r="AV145" s="15" t="s">
        <v>78</v>
      </c>
      <c r="AW145" s="15" t="s">
        <v>76</v>
      </c>
      <c r="AX145" s="15" t="s">
        <v>40</v>
      </c>
      <c r="AY145" s="15" t="s">
        <v>74</v>
      </c>
      <c r="AZ145" s="15" t="s">
        <v>77</v>
      </c>
      <c r="BA145" s="15" t="s">
        <v>78</v>
      </c>
      <c r="BB145" s="15" t="s">
        <v>286</v>
      </c>
      <c r="BC145" s="15"/>
      <c r="BD145" s="15">
        <v>111</v>
      </c>
    </row>
    <row r="146" spans="2:56" x14ac:dyDescent="0.25">
      <c r="B146" s="37" t="s">
        <v>1468</v>
      </c>
      <c r="C146" s="37"/>
      <c r="D146" s="37"/>
      <c r="I146" s="23">
        <v>3006</v>
      </c>
      <c r="J146" s="15" t="s">
        <v>284</v>
      </c>
      <c r="K146" s="15" t="s">
        <v>70</v>
      </c>
      <c r="L146" s="15" t="s">
        <v>296</v>
      </c>
      <c r="M146" s="16">
        <v>0.29166666666666669</v>
      </c>
      <c r="N146" s="16">
        <v>0.75</v>
      </c>
      <c r="O146" s="15" t="s">
        <v>71</v>
      </c>
      <c r="P146" s="24">
        <v>8006999075</v>
      </c>
      <c r="Q146" s="15"/>
      <c r="R146" s="24">
        <v>5033785628</v>
      </c>
      <c r="S146" s="15"/>
      <c r="T146" s="18" t="s">
        <v>284</v>
      </c>
      <c r="U146" s="15"/>
      <c r="V146" s="15" t="s">
        <v>76</v>
      </c>
      <c r="W146" s="15"/>
      <c r="X146" s="15" t="s">
        <v>40</v>
      </c>
      <c r="Y146" s="15" t="s">
        <v>74</v>
      </c>
      <c r="Z146" s="15">
        <v>97309</v>
      </c>
      <c r="AA146" s="15" t="s">
        <v>78</v>
      </c>
      <c r="AB146" s="15"/>
      <c r="AC146" s="15"/>
      <c r="AD146" s="15"/>
      <c r="AE146" s="15"/>
      <c r="AF146" s="15"/>
      <c r="AG146" s="15"/>
      <c r="AH146" s="15"/>
      <c r="AI146" s="15"/>
      <c r="AJ146" s="15"/>
      <c r="AK146" s="15"/>
      <c r="AL146" s="15"/>
      <c r="AM146" s="15"/>
      <c r="AN146" s="15"/>
      <c r="AO146" s="15"/>
      <c r="AP146" s="15"/>
      <c r="AQ146" s="15"/>
      <c r="AR146" s="15" t="s">
        <v>76</v>
      </c>
      <c r="AS146" s="15" t="s">
        <v>40</v>
      </c>
      <c r="AT146" s="15" t="s">
        <v>74</v>
      </c>
      <c r="AU146" s="15" t="s">
        <v>77</v>
      </c>
      <c r="AV146" s="15" t="s">
        <v>78</v>
      </c>
      <c r="AW146" s="15" t="s">
        <v>76</v>
      </c>
      <c r="AX146" s="15" t="s">
        <v>40</v>
      </c>
      <c r="AY146" s="15" t="s">
        <v>74</v>
      </c>
      <c r="AZ146" s="15" t="s">
        <v>77</v>
      </c>
      <c r="BA146" s="15" t="s">
        <v>78</v>
      </c>
      <c r="BB146" s="15" t="s">
        <v>286</v>
      </c>
      <c r="BC146" s="15"/>
      <c r="BD146" s="15">
        <v>112</v>
      </c>
    </row>
    <row r="147" spans="2:56" x14ac:dyDescent="0.25">
      <c r="B147" s="236" t="s">
        <v>1483</v>
      </c>
      <c r="C147" s="237"/>
      <c r="D147" s="238"/>
      <c r="I147" s="23">
        <v>3007</v>
      </c>
      <c r="J147" s="15" t="s">
        <v>284</v>
      </c>
      <c r="K147" s="15" t="s">
        <v>70</v>
      </c>
      <c r="L147" s="15" t="s">
        <v>297</v>
      </c>
      <c r="M147" s="16">
        <v>0.29166666666666669</v>
      </c>
      <c r="N147" s="16">
        <v>0.75</v>
      </c>
      <c r="O147" s="15" t="s">
        <v>71</v>
      </c>
      <c r="P147" s="24">
        <v>8006999075</v>
      </c>
      <c r="Q147" s="15"/>
      <c r="R147" s="24">
        <v>5033785628</v>
      </c>
      <c r="S147" s="15"/>
      <c r="T147" s="18" t="s">
        <v>284</v>
      </c>
      <c r="U147" s="15"/>
      <c r="V147" s="15" t="s">
        <v>76</v>
      </c>
      <c r="W147" s="15"/>
      <c r="X147" s="15" t="s">
        <v>40</v>
      </c>
      <c r="Y147" s="15" t="s">
        <v>74</v>
      </c>
      <c r="Z147" s="15">
        <v>97309</v>
      </c>
      <c r="AA147" s="15" t="s">
        <v>78</v>
      </c>
      <c r="AB147" s="15"/>
      <c r="AC147" s="15"/>
      <c r="AD147" s="15"/>
      <c r="AE147" s="15"/>
      <c r="AF147" s="15"/>
      <c r="AG147" s="15"/>
      <c r="AH147" s="15"/>
      <c r="AI147" s="15"/>
      <c r="AJ147" s="15"/>
      <c r="AK147" s="15"/>
      <c r="AL147" s="15"/>
      <c r="AM147" s="15"/>
      <c r="AN147" s="15"/>
      <c r="AO147" s="15"/>
      <c r="AP147" s="15"/>
      <c r="AQ147" s="15"/>
      <c r="AR147" s="15" t="s">
        <v>76</v>
      </c>
      <c r="AS147" s="15" t="s">
        <v>40</v>
      </c>
      <c r="AT147" s="15" t="s">
        <v>74</v>
      </c>
      <c r="AU147" s="15" t="s">
        <v>77</v>
      </c>
      <c r="AV147" s="15" t="s">
        <v>78</v>
      </c>
      <c r="AW147" s="15" t="s">
        <v>76</v>
      </c>
      <c r="AX147" s="15" t="s">
        <v>40</v>
      </c>
      <c r="AY147" s="15" t="s">
        <v>74</v>
      </c>
      <c r="AZ147" s="15" t="s">
        <v>77</v>
      </c>
      <c r="BA147" s="15" t="s">
        <v>78</v>
      </c>
      <c r="BB147" s="15" t="s">
        <v>286</v>
      </c>
      <c r="BC147" s="15"/>
      <c r="BD147" s="15">
        <v>113</v>
      </c>
    </row>
    <row r="148" spans="2:56" x14ac:dyDescent="0.25">
      <c r="B148" s="239"/>
      <c r="C148" s="240"/>
      <c r="D148" s="241"/>
      <c r="I148" s="23">
        <v>3103</v>
      </c>
      <c r="J148" s="15" t="s">
        <v>284</v>
      </c>
      <c r="K148" s="15" t="s">
        <v>70</v>
      </c>
      <c r="L148" s="15" t="s">
        <v>298</v>
      </c>
      <c r="M148" s="16">
        <v>0.29166666666666669</v>
      </c>
      <c r="N148" s="16">
        <v>0.75</v>
      </c>
      <c r="O148" s="15" t="s">
        <v>71</v>
      </c>
      <c r="P148" s="24">
        <v>8006999075</v>
      </c>
      <c r="Q148" s="15"/>
      <c r="R148" s="24">
        <v>5033785628</v>
      </c>
      <c r="S148" s="15"/>
      <c r="T148" s="18" t="s">
        <v>284</v>
      </c>
      <c r="U148" s="15"/>
      <c r="V148" s="15" t="s">
        <v>76</v>
      </c>
      <c r="W148" s="15"/>
      <c r="X148" s="15" t="s">
        <v>40</v>
      </c>
      <c r="Y148" s="15" t="s">
        <v>74</v>
      </c>
      <c r="Z148" s="15">
        <v>97309</v>
      </c>
      <c r="AA148" s="15" t="s">
        <v>78</v>
      </c>
      <c r="AB148" s="15"/>
      <c r="AC148" s="15"/>
      <c r="AD148" s="15"/>
      <c r="AE148" s="15"/>
      <c r="AF148" s="15"/>
      <c r="AG148" s="15"/>
      <c r="AH148" s="15"/>
      <c r="AI148" s="15"/>
      <c r="AJ148" s="15"/>
      <c r="AK148" s="15"/>
      <c r="AL148" s="15"/>
      <c r="AM148" s="15"/>
      <c r="AN148" s="15"/>
      <c r="AO148" s="15"/>
      <c r="AP148" s="15"/>
      <c r="AQ148" s="15"/>
      <c r="AR148" s="15" t="s">
        <v>76</v>
      </c>
      <c r="AS148" s="15" t="s">
        <v>40</v>
      </c>
      <c r="AT148" s="15" t="s">
        <v>74</v>
      </c>
      <c r="AU148" s="15" t="s">
        <v>77</v>
      </c>
      <c r="AV148" s="15" t="s">
        <v>78</v>
      </c>
      <c r="AW148" s="15" t="s">
        <v>76</v>
      </c>
      <c r="AX148" s="15" t="s">
        <v>40</v>
      </c>
      <c r="AY148" s="15" t="s">
        <v>74</v>
      </c>
      <c r="AZ148" s="15" t="s">
        <v>77</v>
      </c>
      <c r="BA148" s="15" t="s">
        <v>78</v>
      </c>
      <c r="BB148" s="15" t="s">
        <v>286</v>
      </c>
      <c r="BC148" s="15"/>
      <c r="BD148" s="15">
        <v>114</v>
      </c>
    </row>
    <row r="149" spans="2:56" x14ac:dyDescent="0.25">
      <c r="B149" s="239"/>
      <c r="C149" s="240"/>
      <c r="D149" s="241"/>
      <c r="I149" s="23">
        <v>3104</v>
      </c>
      <c r="J149" s="15" t="s">
        <v>284</v>
      </c>
      <c r="K149" s="15" t="s">
        <v>70</v>
      </c>
      <c r="L149" s="15" t="s">
        <v>993</v>
      </c>
      <c r="M149" s="16">
        <v>0.29166666666666669</v>
      </c>
      <c r="N149" s="16">
        <v>0.75</v>
      </c>
      <c r="O149" s="15" t="s">
        <v>71</v>
      </c>
      <c r="P149" s="24">
        <v>8006999075</v>
      </c>
      <c r="Q149" s="15"/>
      <c r="R149" s="24">
        <v>5033785628</v>
      </c>
      <c r="S149" s="15"/>
      <c r="T149" s="18" t="s">
        <v>284</v>
      </c>
      <c r="U149" s="15"/>
      <c r="V149" s="15" t="s">
        <v>76</v>
      </c>
      <c r="W149" s="15"/>
      <c r="X149" s="15" t="s">
        <v>40</v>
      </c>
      <c r="Y149" s="15" t="s">
        <v>74</v>
      </c>
      <c r="Z149" s="15">
        <v>97309</v>
      </c>
      <c r="AA149" s="15" t="s">
        <v>78</v>
      </c>
      <c r="AB149" s="15"/>
      <c r="AC149" s="15"/>
      <c r="AD149" s="15"/>
      <c r="AE149" s="15"/>
      <c r="AF149" s="15"/>
      <c r="AG149" s="15"/>
      <c r="AH149" s="15"/>
      <c r="AI149" s="15"/>
      <c r="AJ149" s="15"/>
      <c r="AK149" s="15"/>
      <c r="AL149" s="15"/>
      <c r="AM149" s="15"/>
      <c r="AN149" s="15"/>
      <c r="AO149" s="15"/>
      <c r="AP149" s="15"/>
      <c r="AQ149" s="15"/>
      <c r="AR149" s="15" t="s">
        <v>76</v>
      </c>
      <c r="AS149" s="15" t="s">
        <v>40</v>
      </c>
      <c r="AT149" s="15" t="s">
        <v>74</v>
      </c>
      <c r="AU149" s="15" t="s">
        <v>77</v>
      </c>
      <c r="AV149" s="15" t="s">
        <v>78</v>
      </c>
      <c r="AW149" s="15" t="s">
        <v>76</v>
      </c>
      <c r="AX149" s="15" t="s">
        <v>40</v>
      </c>
      <c r="AY149" s="15" t="s">
        <v>74</v>
      </c>
      <c r="AZ149" s="15" t="s">
        <v>77</v>
      </c>
      <c r="BA149" s="15" t="s">
        <v>78</v>
      </c>
      <c r="BB149" s="15" t="s">
        <v>286</v>
      </c>
      <c r="BC149" s="15"/>
      <c r="BD149" s="15">
        <v>115</v>
      </c>
    </row>
    <row r="150" spans="2:56" x14ac:dyDescent="0.25">
      <c r="B150" s="239"/>
      <c r="C150" s="240"/>
      <c r="D150" s="241"/>
      <c r="I150" s="23">
        <v>3303</v>
      </c>
      <c r="J150" s="15" t="s">
        <v>284</v>
      </c>
      <c r="K150" s="15" t="s">
        <v>70</v>
      </c>
      <c r="L150" s="15" t="s">
        <v>795</v>
      </c>
      <c r="M150" s="16">
        <v>0.29166666666666669</v>
      </c>
      <c r="N150" s="16">
        <v>0.75</v>
      </c>
      <c r="O150" s="15" t="s">
        <v>71</v>
      </c>
      <c r="P150" s="24">
        <v>8006999075</v>
      </c>
      <c r="Q150" s="15"/>
      <c r="R150" s="24">
        <v>5033785628</v>
      </c>
      <c r="S150" s="15"/>
      <c r="T150" s="18" t="s">
        <v>284</v>
      </c>
      <c r="U150" s="15"/>
      <c r="V150" s="15" t="s">
        <v>76</v>
      </c>
      <c r="W150" s="15"/>
      <c r="X150" s="15" t="s">
        <v>40</v>
      </c>
      <c r="Y150" s="15" t="s">
        <v>74</v>
      </c>
      <c r="Z150" s="15">
        <v>97309</v>
      </c>
      <c r="AA150" s="15" t="s">
        <v>78</v>
      </c>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row>
    <row r="151" spans="2:56" x14ac:dyDescent="0.25">
      <c r="B151" s="239"/>
      <c r="C151" s="240"/>
      <c r="D151" s="241"/>
      <c r="I151" s="23">
        <v>3404</v>
      </c>
      <c r="J151" s="15" t="s">
        <v>284</v>
      </c>
      <c r="K151" s="15" t="s">
        <v>70</v>
      </c>
      <c r="L151" s="15" t="s">
        <v>299</v>
      </c>
      <c r="M151" s="16">
        <v>0.29166666666666669</v>
      </c>
      <c r="N151" s="16">
        <v>0.75</v>
      </c>
      <c r="O151" s="15" t="s">
        <v>71</v>
      </c>
      <c r="P151" s="24">
        <v>8006999075</v>
      </c>
      <c r="Q151" s="15"/>
      <c r="R151" s="24">
        <v>5033785628</v>
      </c>
      <c r="S151" s="15"/>
      <c r="T151" s="18" t="s">
        <v>284</v>
      </c>
      <c r="U151" s="15"/>
      <c r="V151" s="15" t="s">
        <v>76</v>
      </c>
      <c r="W151" s="15"/>
      <c r="X151" s="15" t="s">
        <v>40</v>
      </c>
      <c r="Y151" s="15" t="s">
        <v>74</v>
      </c>
      <c r="Z151" s="15">
        <v>97309</v>
      </c>
      <c r="AA151" s="15" t="s">
        <v>78</v>
      </c>
      <c r="AB151" s="15"/>
      <c r="AC151" s="15"/>
      <c r="AD151" s="15"/>
      <c r="AE151" s="15"/>
      <c r="AF151" s="15"/>
      <c r="AG151" s="15"/>
      <c r="AH151" s="15"/>
      <c r="AI151" s="15"/>
      <c r="AJ151" s="15"/>
      <c r="AK151" s="15"/>
      <c r="AL151" s="15"/>
      <c r="AM151" s="15"/>
      <c r="AN151" s="15"/>
      <c r="AO151" s="15"/>
      <c r="AP151" s="15"/>
      <c r="AQ151" s="15"/>
      <c r="AR151" s="15" t="s">
        <v>76</v>
      </c>
      <c r="AS151" s="15" t="s">
        <v>40</v>
      </c>
      <c r="AT151" s="15" t="s">
        <v>74</v>
      </c>
      <c r="AU151" s="15" t="s">
        <v>77</v>
      </c>
      <c r="AV151" s="15" t="s">
        <v>78</v>
      </c>
      <c r="AW151" s="15" t="s">
        <v>76</v>
      </c>
      <c r="AX151" s="15" t="s">
        <v>40</v>
      </c>
      <c r="AY151" s="15" t="s">
        <v>74</v>
      </c>
      <c r="AZ151" s="15" t="s">
        <v>77</v>
      </c>
      <c r="BA151" s="15" t="s">
        <v>78</v>
      </c>
      <c r="BB151" s="15" t="s">
        <v>286</v>
      </c>
      <c r="BC151" s="15"/>
      <c r="BD151" s="15">
        <v>116</v>
      </c>
    </row>
    <row r="152" spans="2:56" x14ac:dyDescent="0.25">
      <c r="B152" s="239"/>
      <c r="C152" s="240"/>
      <c r="D152" s="241"/>
      <c r="I152" s="23">
        <v>5501</v>
      </c>
      <c r="J152" s="15" t="s">
        <v>284</v>
      </c>
      <c r="K152" s="15" t="s">
        <v>70</v>
      </c>
      <c r="L152" s="15" t="s">
        <v>300</v>
      </c>
      <c r="M152" s="16">
        <v>0.29166666666666669</v>
      </c>
      <c r="N152" s="16">
        <v>0.75</v>
      </c>
      <c r="O152" s="15" t="s">
        <v>71</v>
      </c>
      <c r="P152" s="24">
        <v>8006999075</v>
      </c>
      <c r="Q152" s="15"/>
      <c r="R152" s="24">
        <v>5033785628</v>
      </c>
      <c r="S152" s="15"/>
      <c r="T152" s="18" t="s">
        <v>284</v>
      </c>
      <c r="U152" s="15"/>
      <c r="V152" s="15" t="s">
        <v>76</v>
      </c>
      <c r="W152" s="15"/>
      <c r="X152" s="15" t="s">
        <v>40</v>
      </c>
      <c r="Y152" s="15" t="s">
        <v>74</v>
      </c>
      <c r="Z152" s="15">
        <v>97309</v>
      </c>
      <c r="AA152" s="15" t="s">
        <v>78</v>
      </c>
      <c r="AB152" s="15"/>
      <c r="AC152" s="15"/>
      <c r="AD152" s="15"/>
      <c r="AE152" s="15"/>
      <c r="AF152" s="15"/>
      <c r="AG152" s="15"/>
      <c r="AH152" s="15"/>
      <c r="AI152" s="15"/>
      <c r="AJ152" s="15"/>
      <c r="AK152" s="15"/>
      <c r="AL152" s="15"/>
      <c r="AM152" s="15"/>
      <c r="AN152" s="15"/>
      <c r="AO152" s="15"/>
      <c r="AP152" s="15"/>
      <c r="AQ152" s="15"/>
      <c r="AR152" s="15" t="s">
        <v>76</v>
      </c>
      <c r="AS152" s="15" t="s">
        <v>40</v>
      </c>
      <c r="AT152" s="15" t="s">
        <v>74</v>
      </c>
      <c r="AU152" s="15" t="s">
        <v>77</v>
      </c>
      <c r="AV152" s="15" t="s">
        <v>78</v>
      </c>
      <c r="AW152" s="15" t="s">
        <v>76</v>
      </c>
      <c r="AX152" s="15" t="s">
        <v>40</v>
      </c>
      <c r="AY152" s="15" t="s">
        <v>74</v>
      </c>
      <c r="AZ152" s="15" t="s">
        <v>77</v>
      </c>
      <c r="BA152" s="15" t="s">
        <v>78</v>
      </c>
      <c r="BB152" s="15" t="s">
        <v>286</v>
      </c>
      <c r="BC152" s="15"/>
      <c r="BD152" s="15">
        <v>118</v>
      </c>
    </row>
    <row r="153" spans="2:56" x14ac:dyDescent="0.25">
      <c r="B153" s="242"/>
      <c r="C153" s="243"/>
      <c r="D153" s="244"/>
      <c r="I153" s="23">
        <v>5503</v>
      </c>
      <c r="J153" s="15" t="s">
        <v>284</v>
      </c>
      <c r="K153" s="15" t="s">
        <v>70</v>
      </c>
      <c r="L153" s="15" t="s">
        <v>301</v>
      </c>
      <c r="M153" s="16">
        <v>0.29166666666666669</v>
      </c>
      <c r="N153" s="16">
        <v>0.75</v>
      </c>
      <c r="O153" s="15" t="s">
        <v>71</v>
      </c>
      <c r="P153" s="24">
        <v>8006999075</v>
      </c>
      <c r="Q153" s="15"/>
      <c r="R153" s="24">
        <v>5033785628</v>
      </c>
      <c r="S153" s="15"/>
      <c r="T153" s="18" t="s">
        <v>284</v>
      </c>
      <c r="U153" s="15"/>
      <c r="V153" s="15" t="s">
        <v>76</v>
      </c>
      <c r="W153" s="15"/>
      <c r="X153" s="15" t="s">
        <v>40</v>
      </c>
      <c r="Y153" s="15" t="s">
        <v>74</v>
      </c>
      <c r="Z153" s="15">
        <v>97309</v>
      </c>
      <c r="AA153" s="15" t="s">
        <v>78</v>
      </c>
      <c r="AB153" s="15"/>
      <c r="AC153" s="15"/>
      <c r="AD153" s="15"/>
      <c r="AE153" s="15"/>
      <c r="AF153" s="15"/>
      <c r="AG153" s="15"/>
      <c r="AH153" s="15"/>
      <c r="AI153" s="15"/>
      <c r="AJ153" s="15"/>
      <c r="AK153" s="15"/>
      <c r="AL153" s="15"/>
      <c r="AM153" s="15"/>
      <c r="AN153" s="15"/>
      <c r="AO153" s="15"/>
      <c r="AP153" s="15"/>
      <c r="AQ153" s="15"/>
      <c r="AR153" s="15" t="s">
        <v>76</v>
      </c>
      <c r="AS153" s="15" t="s">
        <v>40</v>
      </c>
      <c r="AT153" s="15" t="s">
        <v>74</v>
      </c>
      <c r="AU153" s="15" t="s">
        <v>77</v>
      </c>
      <c r="AV153" s="15" t="s">
        <v>78</v>
      </c>
      <c r="AW153" s="15" t="s">
        <v>76</v>
      </c>
      <c r="AX153" s="15" t="s">
        <v>40</v>
      </c>
      <c r="AY153" s="15" t="s">
        <v>74</v>
      </c>
      <c r="AZ153" s="15" t="s">
        <v>77</v>
      </c>
      <c r="BA153" s="15" t="s">
        <v>78</v>
      </c>
      <c r="BB153" s="15" t="s">
        <v>286</v>
      </c>
      <c r="BC153" s="15"/>
      <c r="BD153" s="15"/>
    </row>
    <row r="154" spans="2:56" x14ac:dyDescent="0.25">
      <c r="B154" s="37"/>
      <c r="C154" s="37"/>
      <c r="D154" s="37"/>
      <c r="I154" s="23">
        <v>5509</v>
      </c>
      <c r="J154" s="15" t="s">
        <v>284</v>
      </c>
      <c r="K154" s="15" t="s">
        <v>70</v>
      </c>
      <c r="L154" s="15" t="s">
        <v>994</v>
      </c>
      <c r="M154" s="16"/>
      <c r="N154" s="16"/>
      <c r="O154" s="15"/>
      <c r="P154" s="24"/>
      <c r="Q154" s="15"/>
      <c r="R154" s="24"/>
      <c r="S154" s="15"/>
      <c r="T154" s="18"/>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row>
    <row r="155" spans="2:56" x14ac:dyDescent="0.25">
      <c r="B155" s="37" t="s">
        <v>1464</v>
      </c>
      <c r="C155" s="37"/>
      <c r="D155" s="37"/>
      <c r="I155" s="15">
        <v>5514</v>
      </c>
      <c r="J155" s="15" t="s">
        <v>302</v>
      </c>
      <c r="K155" s="15" t="s">
        <v>70</v>
      </c>
      <c r="L155" s="15" t="s">
        <v>303</v>
      </c>
      <c r="M155" s="16">
        <v>0.33333333333333331</v>
      </c>
      <c r="N155" s="16">
        <v>0.70833333333333337</v>
      </c>
      <c r="O155" s="15" t="s">
        <v>71</v>
      </c>
      <c r="P155" s="24"/>
      <c r="Q155" s="15"/>
      <c r="R155" s="24"/>
      <c r="S155" s="15"/>
      <c r="T155" s="18"/>
      <c r="U155" s="15"/>
      <c r="V155" s="15" t="s">
        <v>304</v>
      </c>
      <c r="W155" s="15"/>
      <c r="X155" s="15" t="s">
        <v>40</v>
      </c>
      <c r="Y155" s="15" t="s">
        <v>74</v>
      </c>
      <c r="Z155" s="49">
        <v>97301</v>
      </c>
      <c r="AA155" s="15" t="s">
        <v>78</v>
      </c>
      <c r="AB155" s="15"/>
      <c r="AC155" s="15"/>
      <c r="AD155" s="15"/>
      <c r="AE155" s="15"/>
      <c r="AF155" s="15"/>
      <c r="AG155" s="15"/>
      <c r="AH155" s="15"/>
      <c r="AI155" s="15"/>
      <c r="AJ155" s="15"/>
      <c r="AK155" s="15"/>
      <c r="AL155" s="15"/>
      <c r="AM155" s="15"/>
      <c r="AN155" s="15"/>
      <c r="AO155" s="15"/>
      <c r="AP155" s="15"/>
      <c r="AQ155" s="15"/>
      <c r="AR155" s="15" t="s">
        <v>76</v>
      </c>
      <c r="AS155" s="15" t="s">
        <v>40</v>
      </c>
      <c r="AT155" s="15" t="s">
        <v>74</v>
      </c>
      <c r="AU155" s="15" t="s">
        <v>77</v>
      </c>
      <c r="AV155" s="15" t="s">
        <v>78</v>
      </c>
      <c r="AW155" s="15" t="s">
        <v>76</v>
      </c>
      <c r="AX155" s="15" t="s">
        <v>40</v>
      </c>
      <c r="AY155" s="15" t="s">
        <v>74</v>
      </c>
      <c r="AZ155" s="15" t="s">
        <v>77</v>
      </c>
      <c r="BA155" s="15" t="s">
        <v>78</v>
      </c>
      <c r="BB155" s="15" t="s">
        <v>83</v>
      </c>
      <c r="BC155" s="15"/>
      <c r="BD155" s="15"/>
    </row>
    <row r="156" spans="2:56" x14ac:dyDescent="0.25">
      <c r="B156" s="236" t="s">
        <v>1466</v>
      </c>
      <c r="C156" s="237"/>
      <c r="D156" s="238"/>
      <c r="I156" s="23" t="s">
        <v>710</v>
      </c>
      <c r="J156" s="15" t="s">
        <v>69</v>
      </c>
      <c r="K156" s="15" t="s">
        <v>80</v>
      </c>
      <c r="L156" s="15" t="s">
        <v>711</v>
      </c>
      <c r="M156" s="16">
        <v>0.33333333333333331</v>
      </c>
      <c r="N156" s="16">
        <v>0.70833333333333337</v>
      </c>
      <c r="O156" s="15" t="s">
        <v>71</v>
      </c>
      <c r="P156" s="34" t="s">
        <v>679</v>
      </c>
      <c r="Q156" s="15"/>
      <c r="R156" s="34" t="s">
        <v>680</v>
      </c>
      <c r="S156" s="15"/>
      <c r="T156" s="18">
        <v>5</v>
      </c>
      <c r="U156" s="35"/>
      <c r="V156" t="s">
        <v>155</v>
      </c>
      <c r="W156" s="15"/>
      <c r="X156" s="15" t="s">
        <v>151</v>
      </c>
      <c r="Y156" s="15" t="s">
        <v>74</v>
      </c>
      <c r="Z156" s="15">
        <v>97401</v>
      </c>
      <c r="AA156" s="15" t="s">
        <v>697</v>
      </c>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v>117</v>
      </c>
      <c r="BD156" s="15"/>
    </row>
    <row r="157" spans="2:56" x14ac:dyDescent="0.25">
      <c r="B157" s="239"/>
      <c r="C157" s="240"/>
      <c r="D157" s="241"/>
      <c r="I157" s="91"/>
      <c r="J157" s="37"/>
      <c r="K157" s="37"/>
      <c r="L157" s="37"/>
      <c r="M157" s="92"/>
      <c r="N157" s="92"/>
      <c r="O157" s="37"/>
      <c r="P157" s="96"/>
      <c r="Q157" s="37"/>
      <c r="R157" s="96"/>
      <c r="S157" s="15"/>
      <c r="T157" s="41"/>
      <c r="U157" s="94"/>
      <c r="V157"/>
      <c r="W157" s="37"/>
      <c r="X157" s="37"/>
      <c r="Y157" s="37"/>
      <c r="Z157" s="37"/>
      <c r="AA157" s="37"/>
      <c r="AB157" s="37"/>
      <c r="AC157" s="37"/>
      <c r="AD157" s="37"/>
      <c r="AE157" s="37"/>
      <c r="AF157" s="37"/>
      <c r="AG157" s="37"/>
      <c r="AH157" s="37"/>
      <c r="AI157" s="37"/>
      <c r="AJ157" s="37"/>
      <c r="AK157" s="37"/>
      <c r="AL157" s="37"/>
      <c r="AM157" s="37"/>
      <c r="AN157" s="37"/>
      <c r="AO157" s="37"/>
      <c r="AP157" s="37"/>
      <c r="AQ157" s="37"/>
    </row>
    <row r="158" spans="2:56" x14ac:dyDescent="0.25">
      <c r="B158" s="239"/>
      <c r="C158" s="240"/>
      <c r="D158" s="241"/>
      <c r="I158" s="91"/>
      <c r="J158" s="37"/>
      <c r="K158" s="37"/>
      <c r="L158" s="37"/>
      <c r="M158" s="92"/>
      <c r="N158" s="92"/>
      <c r="O158" s="37"/>
      <c r="P158" s="96"/>
      <c r="Q158" s="37"/>
      <c r="R158" s="96"/>
      <c r="S158" s="97"/>
      <c r="T158" s="41"/>
      <c r="U158" s="94"/>
      <c r="V158"/>
      <c r="W158" s="37"/>
      <c r="X158" s="37"/>
      <c r="Y158" s="37"/>
      <c r="Z158" s="37"/>
      <c r="AA158" s="37"/>
      <c r="AB158" s="37"/>
      <c r="AC158" s="37"/>
      <c r="AD158" s="37"/>
      <c r="AE158" s="37"/>
      <c r="AF158" s="37"/>
      <c r="AG158" s="37"/>
      <c r="AH158" s="37"/>
      <c r="AI158" s="37"/>
      <c r="AJ158" s="37"/>
      <c r="AK158" s="37"/>
      <c r="AL158" s="37"/>
      <c r="AM158" s="37"/>
      <c r="AN158" s="37"/>
      <c r="AO158" s="37"/>
      <c r="AP158" s="37"/>
      <c r="AQ158" s="37"/>
    </row>
    <row r="159" spans="2:56" x14ac:dyDescent="0.25">
      <c r="B159" s="239"/>
      <c r="C159" s="240"/>
      <c r="D159" s="241"/>
      <c r="I159" s="91"/>
      <c r="J159" s="37"/>
      <c r="K159" s="37"/>
      <c r="L159" s="37"/>
      <c r="M159" s="92"/>
      <c r="N159" s="92"/>
      <c r="O159" s="37"/>
      <c r="P159" s="93"/>
      <c r="Q159" s="37"/>
      <c r="R159" s="93"/>
      <c r="S159" s="94"/>
      <c r="T159" s="41"/>
      <c r="U159" s="94"/>
      <c r="V159" s="37"/>
      <c r="W159" s="37"/>
      <c r="X159" s="37"/>
      <c r="Y159" s="37"/>
      <c r="Z159" s="37"/>
      <c r="AA159" s="37"/>
    </row>
    <row r="160" spans="2:56" x14ac:dyDescent="0.25">
      <c r="B160" s="242"/>
      <c r="C160" s="243"/>
      <c r="D160" s="244"/>
      <c r="I160" s="91"/>
      <c r="J160" s="37"/>
      <c r="K160" s="37"/>
      <c r="L160" s="37"/>
      <c r="M160" s="92"/>
      <c r="N160" s="92"/>
      <c r="O160" s="37"/>
      <c r="P160" s="93"/>
      <c r="Q160" s="37"/>
      <c r="R160" s="93"/>
      <c r="S160" s="94"/>
      <c r="T160" s="41"/>
      <c r="U160" s="94"/>
      <c r="V160" s="37"/>
      <c r="W160" s="37"/>
      <c r="X160" s="37"/>
      <c r="Y160" s="37"/>
      <c r="Z160" s="37"/>
      <c r="AA160" s="37"/>
    </row>
    <row r="161" spans="2:56" x14ac:dyDescent="0.25">
      <c r="B161" s="37"/>
      <c r="C161" s="37"/>
      <c r="D161" s="37"/>
      <c r="I161" s="91"/>
      <c r="J161" s="98"/>
      <c r="K161" s="92"/>
      <c r="L161" s="92"/>
      <c r="M161" s="92"/>
      <c r="N161" s="92"/>
      <c r="O161" s="37"/>
      <c r="P161" s="93"/>
      <c r="Q161" s="37"/>
      <c r="R161" s="41"/>
      <c r="S161" s="37"/>
      <c r="T161" s="41"/>
      <c r="U161" s="37"/>
      <c r="V161" s="37"/>
      <c r="W161" s="37"/>
      <c r="X161" s="37"/>
      <c r="Y161" s="37"/>
      <c r="Z161" s="37"/>
      <c r="AA161" s="37"/>
    </row>
    <row r="162" spans="2:56" x14ac:dyDescent="0.25">
      <c r="B162" s="37" t="s">
        <v>1462</v>
      </c>
      <c r="C162" s="37"/>
      <c r="D162" s="37"/>
      <c r="I162" s="91"/>
      <c r="J162" s="37"/>
      <c r="K162" s="37"/>
      <c r="L162" s="37"/>
      <c r="M162" s="92"/>
      <c r="N162" s="92"/>
      <c r="O162" s="37"/>
      <c r="P162" s="93"/>
      <c r="Q162" s="37"/>
      <c r="R162" s="93"/>
      <c r="S162" s="94"/>
      <c r="T162" s="41"/>
      <c r="U162" s="94"/>
      <c r="V162" s="37"/>
      <c r="W162" s="37"/>
      <c r="X162" s="37"/>
      <c r="Y162" s="37"/>
      <c r="Z162" s="37"/>
      <c r="AA162" s="37"/>
    </row>
    <row r="163" spans="2:56" x14ac:dyDescent="0.25">
      <c r="B163" s="236" t="s">
        <v>1463</v>
      </c>
      <c r="C163" s="237"/>
      <c r="D163" s="238"/>
      <c r="I163" s="91"/>
      <c r="J163" s="37"/>
      <c r="K163" s="37"/>
      <c r="L163" s="37"/>
      <c r="M163" s="92"/>
      <c r="N163" s="92"/>
      <c r="O163" s="37"/>
      <c r="P163" s="93"/>
      <c r="Q163" s="37"/>
      <c r="R163" s="93"/>
      <c r="S163" s="94"/>
      <c r="T163" s="41"/>
      <c r="U163" s="94"/>
      <c r="V163" s="37"/>
      <c r="W163" s="37"/>
      <c r="X163" s="37"/>
      <c r="Y163" s="37"/>
      <c r="Z163" s="37"/>
      <c r="AA163" s="37"/>
      <c r="AB163" s="37"/>
      <c r="AC163" s="98"/>
      <c r="AD163" s="37"/>
      <c r="AE163" s="37"/>
      <c r="AF163" s="37"/>
      <c r="AG163" s="37"/>
      <c r="AH163" s="37"/>
      <c r="AI163" s="37"/>
      <c r="AJ163" s="101"/>
      <c r="AK163" s="101"/>
      <c r="AL163" s="37"/>
      <c r="AM163" s="101"/>
      <c r="AN163" s="101"/>
      <c r="AO163" s="37"/>
      <c r="AP163" s="37"/>
      <c r="AQ163" s="37"/>
      <c r="AR163" s="37"/>
      <c r="AS163" s="37"/>
      <c r="AT163" s="37"/>
      <c r="AU163" s="37"/>
      <c r="AV163" s="37"/>
      <c r="AW163" s="37"/>
      <c r="AX163" s="37"/>
      <c r="AY163" s="37"/>
      <c r="AZ163" s="37"/>
      <c r="BA163" s="37"/>
      <c r="BB163" s="37"/>
      <c r="BC163" s="37"/>
      <c r="BD163" s="37"/>
    </row>
    <row r="164" spans="2:56" x14ac:dyDescent="0.25">
      <c r="B164" s="239"/>
      <c r="C164" s="240"/>
      <c r="D164" s="241"/>
      <c r="I164" s="37"/>
      <c r="J164" s="37"/>
      <c r="K164" s="92"/>
      <c r="L164" s="92"/>
      <c r="M164" s="37"/>
      <c r="N164" s="93"/>
      <c r="O164" s="37"/>
      <c r="P164" s="93"/>
      <c r="Q164" s="37"/>
      <c r="R164" s="41"/>
      <c r="S164" s="37"/>
      <c r="T164" s="37"/>
      <c r="U164" s="37"/>
      <c r="V164" s="37"/>
      <c r="W164" s="37"/>
      <c r="X164" s="37"/>
      <c r="Y164" s="37"/>
      <c r="Z164" s="37"/>
      <c r="AA164" s="37"/>
    </row>
    <row r="165" spans="2:56" x14ac:dyDescent="0.25">
      <c r="B165" s="239"/>
      <c r="C165" s="240"/>
      <c r="D165" s="241"/>
    </row>
    <row r="166" spans="2:56" x14ac:dyDescent="0.25">
      <c r="B166" s="239"/>
      <c r="C166" s="240"/>
      <c r="D166" s="241"/>
    </row>
    <row r="167" spans="2:56" x14ac:dyDescent="0.25">
      <c r="B167" s="239"/>
      <c r="C167" s="240"/>
      <c r="D167" s="241"/>
    </row>
    <row r="168" spans="2:56" x14ac:dyDescent="0.25">
      <c r="B168" s="239"/>
      <c r="C168" s="240"/>
      <c r="D168" s="241"/>
    </row>
    <row r="169" spans="2:56" x14ac:dyDescent="0.25">
      <c r="B169" s="239"/>
      <c r="C169" s="240"/>
      <c r="D169" s="241"/>
    </row>
    <row r="170" spans="2:56" x14ac:dyDescent="0.25">
      <c r="B170" s="239"/>
      <c r="C170" s="240"/>
      <c r="D170" s="241"/>
    </row>
    <row r="171" spans="2:56" x14ac:dyDescent="0.25">
      <c r="B171" s="239"/>
      <c r="C171" s="240"/>
      <c r="D171" s="241"/>
    </row>
    <row r="172" spans="2:56" x14ac:dyDescent="0.25">
      <c r="B172" s="239"/>
      <c r="C172" s="240"/>
      <c r="D172" s="241"/>
    </row>
    <row r="173" spans="2:56" x14ac:dyDescent="0.25">
      <c r="B173" s="239"/>
      <c r="C173" s="240"/>
      <c r="D173" s="241"/>
    </row>
    <row r="174" spans="2:56" x14ac:dyDescent="0.25">
      <c r="B174" s="239"/>
      <c r="C174" s="240"/>
      <c r="D174" s="241"/>
    </row>
    <row r="175" spans="2:56" x14ac:dyDescent="0.25">
      <c r="B175" s="239"/>
      <c r="C175" s="240"/>
      <c r="D175" s="241"/>
    </row>
    <row r="176" spans="2:56" x14ac:dyDescent="0.25">
      <c r="B176" s="242"/>
      <c r="C176" s="243"/>
      <c r="D176" s="244"/>
    </row>
    <row r="177" spans="2:4" x14ac:dyDescent="0.25">
      <c r="B177" s="37"/>
      <c r="C177" s="37"/>
      <c r="D177" s="37"/>
    </row>
    <row r="178" spans="2:4" x14ac:dyDescent="0.25">
      <c r="B178" s="37" t="s">
        <v>1449</v>
      </c>
      <c r="C178" s="37"/>
      <c r="D178" s="37"/>
    </row>
    <row r="179" spans="2:4" x14ac:dyDescent="0.25">
      <c r="B179" s="236" t="s">
        <v>1455</v>
      </c>
      <c r="C179" s="237"/>
      <c r="D179" s="238"/>
    </row>
    <row r="180" spans="2:4" x14ac:dyDescent="0.25">
      <c r="B180" s="239"/>
      <c r="C180" s="240"/>
      <c r="D180" s="241"/>
    </row>
    <row r="181" spans="2:4" x14ac:dyDescent="0.25">
      <c r="B181" s="239"/>
      <c r="C181" s="240"/>
      <c r="D181" s="241"/>
    </row>
    <row r="182" spans="2:4" x14ac:dyDescent="0.25">
      <c r="B182" s="239"/>
      <c r="C182" s="240"/>
      <c r="D182" s="241"/>
    </row>
    <row r="183" spans="2:4" x14ac:dyDescent="0.25">
      <c r="B183" s="242"/>
      <c r="C183" s="243"/>
      <c r="D183" s="244"/>
    </row>
    <row r="184" spans="2:4" x14ac:dyDescent="0.25">
      <c r="B184" s="37"/>
      <c r="C184" s="37"/>
      <c r="D184" s="37"/>
    </row>
    <row r="185" spans="2:4" x14ac:dyDescent="0.25">
      <c r="B185" s="37" t="s">
        <v>1448</v>
      </c>
      <c r="C185" s="37"/>
      <c r="D185" s="37"/>
    </row>
    <row r="186" spans="2:4" x14ac:dyDescent="0.25">
      <c r="B186" s="236" t="s">
        <v>1447</v>
      </c>
      <c r="C186" s="237"/>
      <c r="D186" s="238"/>
    </row>
    <row r="187" spans="2:4" x14ac:dyDescent="0.25">
      <c r="B187" s="239"/>
      <c r="C187" s="240"/>
      <c r="D187" s="241"/>
    </row>
    <row r="188" spans="2:4" x14ac:dyDescent="0.25">
      <c r="B188" s="242"/>
      <c r="C188" s="243"/>
      <c r="D188" s="244"/>
    </row>
    <row r="189" spans="2:4" x14ac:dyDescent="0.25">
      <c r="B189" s="37"/>
      <c r="C189" s="37"/>
      <c r="D189" s="37"/>
    </row>
    <row r="190" spans="2:4" x14ac:dyDescent="0.25">
      <c r="B190" s="37" t="s">
        <v>1436</v>
      </c>
      <c r="C190" s="37"/>
      <c r="D190" s="37"/>
    </row>
    <row r="191" spans="2:4" x14ac:dyDescent="0.25">
      <c r="B191" s="236" t="s">
        <v>1438</v>
      </c>
      <c r="C191" s="237"/>
      <c r="D191" s="238"/>
    </row>
    <row r="192" spans="2:4" x14ac:dyDescent="0.25">
      <c r="B192" s="242"/>
      <c r="C192" s="243"/>
      <c r="D192" s="244"/>
    </row>
    <row r="193" spans="2:4" x14ac:dyDescent="0.25">
      <c r="B193" s="37"/>
      <c r="C193" s="37"/>
      <c r="D193" s="37"/>
    </row>
    <row r="194" spans="2:4" x14ac:dyDescent="0.25">
      <c r="B194" s="37" t="s">
        <v>1427</v>
      </c>
      <c r="C194" s="37"/>
      <c r="D194" s="37"/>
    </row>
    <row r="195" spans="2:4" x14ac:dyDescent="0.25">
      <c r="B195" s="236" t="s">
        <v>1433</v>
      </c>
      <c r="C195" s="237"/>
      <c r="D195" s="238"/>
    </row>
    <row r="196" spans="2:4" x14ac:dyDescent="0.25">
      <c r="B196" s="239"/>
      <c r="C196" s="240"/>
      <c r="D196" s="241"/>
    </row>
    <row r="197" spans="2:4" x14ac:dyDescent="0.25">
      <c r="B197" s="239"/>
      <c r="C197" s="240"/>
      <c r="D197" s="241"/>
    </row>
    <row r="198" spans="2:4" x14ac:dyDescent="0.25">
      <c r="B198" s="239"/>
      <c r="C198" s="240"/>
      <c r="D198" s="241"/>
    </row>
    <row r="199" spans="2:4" x14ac:dyDescent="0.25">
      <c r="B199" s="239"/>
      <c r="C199" s="240"/>
      <c r="D199" s="241"/>
    </row>
    <row r="200" spans="2:4" x14ac:dyDescent="0.25">
      <c r="B200" s="242"/>
      <c r="C200" s="243"/>
      <c r="D200" s="244"/>
    </row>
    <row r="201" spans="2:4" x14ac:dyDescent="0.25">
      <c r="B201" s="37"/>
      <c r="C201" s="37"/>
      <c r="D201" s="37"/>
    </row>
    <row r="202" spans="2:4" x14ac:dyDescent="0.25">
      <c r="B202" s="37" t="s">
        <v>1417</v>
      </c>
      <c r="C202" s="37"/>
      <c r="D202" s="37"/>
    </row>
    <row r="203" spans="2:4" x14ac:dyDescent="0.25">
      <c r="B203" s="236" t="s">
        <v>1426</v>
      </c>
      <c r="C203" s="237"/>
      <c r="D203" s="238"/>
    </row>
    <row r="204" spans="2:4" x14ac:dyDescent="0.25">
      <c r="B204" s="239"/>
      <c r="C204" s="240"/>
      <c r="D204" s="241"/>
    </row>
    <row r="205" spans="2:4" x14ac:dyDescent="0.25">
      <c r="B205" s="239"/>
      <c r="C205" s="240"/>
      <c r="D205" s="241"/>
    </row>
    <row r="206" spans="2:4" x14ac:dyDescent="0.25">
      <c r="B206" s="239"/>
      <c r="C206" s="240"/>
      <c r="D206" s="241"/>
    </row>
    <row r="207" spans="2:4" x14ac:dyDescent="0.25">
      <c r="B207" s="239"/>
      <c r="C207" s="240"/>
      <c r="D207" s="241"/>
    </row>
    <row r="208" spans="2:4" x14ac:dyDescent="0.25">
      <c r="B208" s="239"/>
      <c r="C208" s="240"/>
      <c r="D208" s="241"/>
    </row>
    <row r="209" spans="2:4" x14ac:dyDescent="0.25">
      <c r="B209" s="239"/>
      <c r="C209" s="240"/>
      <c r="D209" s="241"/>
    </row>
    <row r="210" spans="2:4" x14ac:dyDescent="0.25">
      <c r="B210" s="242"/>
      <c r="C210" s="243"/>
      <c r="D210" s="244"/>
    </row>
    <row r="211" spans="2:4" x14ac:dyDescent="0.25">
      <c r="B211" s="37"/>
      <c r="C211" s="37"/>
      <c r="D211" s="37"/>
    </row>
    <row r="212" spans="2:4" x14ac:dyDescent="0.25">
      <c r="B212" s="37" t="s">
        <v>1410</v>
      </c>
      <c r="C212" s="37"/>
      <c r="D212" s="37"/>
    </row>
    <row r="213" spans="2:4" x14ac:dyDescent="0.25">
      <c r="B213" s="236" t="s">
        <v>1412</v>
      </c>
      <c r="C213" s="237"/>
      <c r="D213" s="238"/>
    </row>
    <row r="214" spans="2:4" x14ac:dyDescent="0.25">
      <c r="B214" s="239"/>
      <c r="C214" s="240"/>
      <c r="D214" s="241"/>
    </row>
    <row r="215" spans="2:4" x14ac:dyDescent="0.25">
      <c r="B215" s="239"/>
      <c r="C215" s="240"/>
      <c r="D215" s="241"/>
    </row>
    <row r="216" spans="2:4" x14ac:dyDescent="0.25">
      <c r="B216" s="239"/>
      <c r="C216" s="240"/>
      <c r="D216" s="241"/>
    </row>
    <row r="217" spans="2:4" x14ac:dyDescent="0.25">
      <c r="B217" s="239"/>
      <c r="C217" s="240"/>
      <c r="D217" s="241"/>
    </row>
    <row r="218" spans="2:4" x14ac:dyDescent="0.25">
      <c r="B218" s="239"/>
      <c r="C218" s="240"/>
      <c r="D218" s="241"/>
    </row>
    <row r="219" spans="2:4" x14ac:dyDescent="0.25">
      <c r="B219" s="242"/>
      <c r="C219" s="243"/>
      <c r="D219" s="244"/>
    </row>
    <row r="220" spans="2:4" x14ac:dyDescent="0.25">
      <c r="B220" s="37"/>
      <c r="C220" s="37"/>
      <c r="D220" s="37"/>
    </row>
    <row r="221" spans="2:4" x14ac:dyDescent="0.25">
      <c r="B221" s="37" t="s">
        <v>1405</v>
      </c>
      <c r="C221" s="37"/>
      <c r="D221" s="37"/>
    </row>
    <row r="222" spans="2:4" x14ac:dyDescent="0.25">
      <c r="B222" s="236" t="s">
        <v>1411</v>
      </c>
      <c r="C222" s="237"/>
      <c r="D222" s="238"/>
    </row>
    <row r="223" spans="2:4" x14ac:dyDescent="0.25">
      <c r="B223" s="239"/>
      <c r="C223" s="240"/>
      <c r="D223" s="241"/>
    </row>
    <row r="224" spans="2:4" x14ac:dyDescent="0.25">
      <c r="B224" s="239"/>
      <c r="C224" s="240"/>
      <c r="D224" s="241"/>
    </row>
    <row r="225" spans="2:4" x14ac:dyDescent="0.25">
      <c r="B225" s="239"/>
      <c r="C225" s="240"/>
      <c r="D225" s="241"/>
    </row>
    <row r="226" spans="2:4" x14ac:dyDescent="0.25">
      <c r="B226" s="242"/>
      <c r="C226" s="243"/>
      <c r="D226" s="244"/>
    </row>
    <row r="227" spans="2:4" x14ac:dyDescent="0.25">
      <c r="B227" s="37"/>
      <c r="C227" s="37"/>
      <c r="D227" s="37"/>
    </row>
    <row r="228" spans="2:4" x14ac:dyDescent="0.25">
      <c r="B228" s="37" t="s">
        <v>1402</v>
      </c>
      <c r="C228" s="37"/>
      <c r="D228" s="37"/>
    </row>
    <row r="229" spans="2:4" x14ac:dyDescent="0.25">
      <c r="B229" s="236" t="s">
        <v>1404</v>
      </c>
      <c r="C229" s="237"/>
      <c r="D229" s="238"/>
    </row>
    <row r="230" spans="2:4" x14ac:dyDescent="0.25">
      <c r="B230" s="239"/>
      <c r="C230" s="240"/>
      <c r="D230" s="241"/>
    </row>
    <row r="231" spans="2:4" x14ac:dyDescent="0.25">
      <c r="B231" s="239"/>
      <c r="C231" s="240"/>
      <c r="D231" s="241"/>
    </row>
    <row r="232" spans="2:4" x14ac:dyDescent="0.25">
      <c r="B232" s="239"/>
      <c r="C232" s="240"/>
      <c r="D232" s="241"/>
    </row>
    <row r="233" spans="2:4" x14ac:dyDescent="0.25">
      <c r="B233" s="239"/>
      <c r="C233" s="240"/>
      <c r="D233" s="241"/>
    </row>
    <row r="234" spans="2:4" x14ac:dyDescent="0.25">
      <c r="B234" s="239"/>
      <c r="C234" s="240"/>
      <c r="D234" s="241"/>
    </row>
    <row r="235" spans="2:4" x14ac:dyDescent="0.25">
      <c r="B235" s="239"/>
      <c r="C235" s="240"/>
      <c r="D235" s="241"/>
    </row>
    <row r="236" spans="2:4" x14ac:dyDescent="0.25">
      <c r="B236" s="242"/>
      <c r="C236" s="243"/>
      <c r="D236" s="244"/>
    </row>
    <row r="237" spans="2:4" x14ac:dyDescent="0.25">
      <c r="B237" s="37"/>
      <c r="C237" s="37"/>
      <c r="D237" s="37"/>
    </row>
    <row r="238" spans="2:4" x14ac:dyDescent="0.25">
      <c r="B238" s="37" t="s">
        <v>1398</v>
      </c>
      <c r="C238" s="37"/>
      <c r="D238" s="37"/>
    </row>
    <row r="239" spans="2:4" x14ac:dyDescent="0.25">
      <c r="B239" s="236" t="s">
        <v>1399</v>
      </c>
      <c r="C239" s="237"/>
      <c r="D239" s="238"/>
    </row>
    <row r="240" spans="2:4" x14ac:dyDescent="0.25">
      <c r="B240" s="239"/>
      <c r="C240" s="240"/>
      <c r="D240" s="241"/>
    </row>
    <row r="241" spans="2:4" x14ac:dyDescent="0.25">
      <c r="B241" s="239"/>
      <c r="C241" s="240"/>
      <c r="D241" s="241"/>
    </row>
    <row r="242" spans="2:4" x14ac:dyDescent="0.25">
      <c r="B242" s="239"/>
      <c r="C242" s="240"/>
      <c r="D242" s="241"/>
    </row>
    <row r="243" spans="2:4" x14ac:dyDescent="0.25">
      <c r="B243" s="239"/>
      <c r="C243" s="240"/>
      <c r="D243" s="241"/>
    </row>
    <row r="244" spans="2:4" x14ac:dyDescent="0.25">
      <c r="B244" s="239"/>
      <c r="C244" s="240"/>
      <c r="D244" s="241"/>
    </row>
    <row r="245" spans="2:4" x14ac:dyDescent="0.25">
      <c r="B245" s="239"/>
      <c r="C245" s="240"/>
      <c r="D245" s="241"/>
    </row>
    <row r="246" spans="2:4" x14ac:dyDescent="0.25">
      <c r="B246" s="239"/>
      <c r="C246" s="240"/>
      <c r="D246" s="241"/>
    </row>
    <row r="247" spans="2:4" x14ac:dyDescent="0.25">
      <c r="B247" s="242"/>
      <c r="C247" s="243"/>
      <c r="D247" s="244"/>
    </row>
    <row r="248" spans="2:4" x14ac:dyDescent="0.25">
      <c r="B248" s="37"/>
      <c r="C248" s="37"/>
      <c r="D248" s="37"/>
    </row>
    <row r="249" spans="2:4" x14ac:dyDescent="0.25">
      <c r="B249" s="37" t="s">
        <v>1397</v>
      </c>
      <c r="C249" s="37"/>
      <c r="D249" s="37"/>
    </row>
    <row r="250" spans="2:4" x14ac:dyDescent="0.25">
      <c r="B250" s="236" t="s">
        <v>1396</v>
      </c>
      <c r="C250" s="237"/>
      <c r="D250" s="238"/>
    </row>
    <row r="251" spans="2:4" x14ac:dyDescent="0.25">
      <c r="B251" s="239"/>
      <c r="C251" s="240"/>
      <c r="D251" s="241"/>
    </row>
    <row r="252" spans="2:4" x14ac:dyDescent="0.25">
      <c r="B252" s="239"/>
      <c r="C252" s="240"/>
      <c r="D252" s="241"/>
    </row>
    <row r="253" spans="2:4" x14ac:dyDescent="0.25">
      <c r="B253" s="239"/>
      <c r="C253" s="240"/>
      <c r="D253" s="241"/>
    </row>
    <row r="254" spans="2:4" x14ac:dyDescent="0.25">
      <c r="B254" s="239"/>
      <c r="C254" s="240"/>
      <c r="D254" s="241"/>
    </row>
    <row r="255" spans="2:4" x14ac:dyDescent="0.25">
      <c r="B255" s="239"/>
      <c r="C255" s="240"/>
      <c r="D255" s="241"/>
    </row>
    <row r="256" spans="2:4" x14ac:dyDescent="0.25">
      <c r="B256" s="242"/>
      <c r="C256" s="243"/>
      <c r="D256" s="244"/>
    </row>
    <row r="257" spans="2:4" x14ac:dyDescent="0.25">
      <c r="B257" s="37"/>
      <c r="C257" s="37"/>
      <c r="D257" s="37"/>
    </row>
    <row r="258" spans="2:4" x14ac:dyDescent="0.25">
      <c r="B258" s="37" t="s">
        <v>1376</v>
      </c>
      <c r="C258" s="37"/>
      <c r="D258" s="37"/>
    </row>
    <row r="259" spans="2:4" x14ac:dyDescent="0.25">
      <c r="B259" s="236" t="s">
        <v>1381</v>
      </c>
      <c r="C259" s="237"/>
      <c r="D259" s="238"/>
    </row>
    <row r="260" spans="2:4" x14ac:dyDescent="0.25">
      <c r="B260" s="239"/>
      <c r="C260" s="240"/>
      <c r="D260" s="241"/>
    </row>
    <row r="261" spans="2:4" x14ac:dyDescent="0.25">
      <c r="B261" s="239"/>
      <c r="C261" s="240"/>
      <c r="D261" s="241"/>
    </row>
    <row r="262" spans="2:4" x14ac:dyDescent="0.25">
      <c r="B262" s="239"/>
      <c r="C262" s="240"/>
      <c r="D262" s="241"/>
    </row>
    <row r="263" spans="2:4" x14ac:dyDescent="0.25">
      <c r="B263" s="239"/>
      <c r="C263" s="240"/>
      <c r="D263" s="241"/>
    </row>
    <row r="264" spans="2:4" x14ac:dyDescent="0.25">
      <c r="B264" s="239"/>
      <c r="C264" s="240"/>
      <c r="D264" s="241"/>
    </row>
    <row r="265" spans="2:4" x14ac:dyDescent="0.25">
      <c r="B265" s="239"/>
      <c r="C265" s="240"/>
      <c r="D265" s="241"/>
    </row>
    <row r="266" spans="2:4" x14ac:dyDescent="0.25">
      <c r="B266" s="239"/>
      <c r="C266" s="240"/>
      <c r="D266" s="241"/>
    </row>
    <row r="267" spans="2:4" x14ac:dyDescent="0.25">
      <c r="B267" s="242"/>
      <c r="C267" s="243"/>
      <c r="D267" s="244"/>
    </row>
    <row r="268" spans="2:4" x14ac:dyDescent="0.25">
      <c r="B268" s="37"/>
      <c r="C268" s="37"/>
      <c r="D268" s="37"/>
    </row>
    <row r="269" spans="2:4" x14ac:dyDescent="0.25">
      <c r="B269" s="37" t="s">
        <v>1295</v>
      </c>
      <c r="C269" s="37"/>
      <c r="D269" s="37"/>
    </row>
    <row r="270" spans="2:4" x14ac:dyDescent="0.25">
      <c r="B270" s="236" t="s">
        <v>1311</v>
      </c>
      <c r="C270" s="237"/>
      <c r="D270" s="238"/>
    </row>
    <row r="271" spans="2:4" x14ac:dyDescent="0.25">
      <c r="B271" s="239"/>
      <c r="C271" s="240"/>
      <c r="D271" s="241"/>
    </row>
    <row r="272" spans="2:4" x14ac:dyDescent="0.25">
      <c r="B272" s="239"/>
      <c r="C272" s="240"/>
      <c r="D272" s="241"/>
    </row>
    <row r="273" spans="2:4" x14ac:dyDescent="0.25">
      <c r="B273" s="239"/>
      <c r="C273" s="240"/>
      <c r="D273" s="241"/>
    </row>
    <row r="274" spans="2:4" x14ac:dyDescent="0.25">
      <c r="B274" s="239"/>
      <c r="C274" s="240"/>
      <c r="D274" s="241"/>
    </row>
    <row r="275" spans="2:4" x14ac:dyDescent="0.25">
      <c r="B275" s="239"/>
      <c r="C275" s="240"/>
      <c r="D275" s="241"/>
    </row>
    <row r="276" spans="2:4" x14ac:dyDescent="0.25">
      <c r="B276" s="239"/>
      <c r="C276" s="240"/>
      <c r="D276" s="241"/>
    </row>
    <row r="277" spans="2:4" x14ac:dyDescent="0.25">
      <c r="B277" s="239"/>
      <c r="C277" s="240"/>
      <c r="D277" s="241"/>
    </row>
    <row r="278" spans="2:4" x14ac:dyDescent="0.25">
      <c r="B278" s="239"/>
      <c r="C278" s="240"/>
      <c r="D278" s="241"/>
    </row>
    <row r="279" spans="2:4" x14ac:dyDescent="0.25">
      <c r="B279" s="239"/>
      <c r="C279" s="240"/>
      <c r="D279" s="241"/>
    </row>
    <row r="280" spans="2:4" x14ac:dyDescent="0.25">
      <c r="B280" s="239"/>
      <c r="C280" s="240"/>
      <c r="D280" s="241"/>
    </row>
    <row r="281" spans="2:4" x14ac:dyDescent="0.25">
      <c r="B281" s="239"/>
      <c r="C281" s="240"/>
      <c r="D281" s="241"/>
    </row>
    <row r="282" spans="2:4" x14ac:dyDescent="0.25">
      <c r="B282" s="239"/>
      <c r="C282" s="240"/>
      <c r="D282" s="241"/>
    </row>
    <row r="283" spans="2:4" x14ac:dyDescent="0.25">
      <c r="B283" s="239"/>
      <c r="C283" s="240"/>
      <c r="D283" s="241"/>
    </row>
    <row r="284" spans="2:4" x14ac:dyDescent="0.25">
      <c r="B284" s="242"/>
      <c r="C284" s="243"/>
      <c r="D284" s="244"/>
    </row>
    <row r="285" spans="2:4" x14ac:dyDescent="0.25">
      <c r="B285" s="108"/>
      <c r="C285" s="108"/>
      <c r="D285" s="108"/>
    </row>
    <row r="286" spans="2:4" x14ac:dyDescent="0.25">
      <c r="B286" t="s">
        <v>1292</v>
      </c>
      <c r="C286"/>
      <c r="D286"/>
    </row>
    <row r="287" spans="2:4" x14ac:dyDescent="0.25">
      <c r="B287" s="227" t="s">
        <v>1293</v>
      </c>
      <c r="C287" s="228"/>
      <c r="D287" s="229"/>
    </row>
    <row r="288" spans="2:4" x14ac:dyDescent="0.25">
      <c r="B288" s="230"/>
      <c r="C288" s="231"/>
      <c r="D288" s="232"/>
    </row>
    <row r="289" spans="2:4" x14ac:dyDescent="0.25">
      <c r="B289" s="230"/>
      <c r="C289" s="231"/>
      <c r="D289" s="232"/>
    </row>
    <row r="290" spans="2:4" x14ac:dyDescent="0.25">
      <c r="B290" s="230"/>
      <c r="C290" s="231"/>
      <c r="D290" s="232"/>
    </row>
    <row r="291" spans="2:4" x14ac:dyDescent="0.25">
      <c r="B291" s="230"/>
      <c r="C291" s="231"/>
      <c r="D291" s="232"/>
    </row>
    <row r="292" spans="2:4" x14ac:dyDescent="0.25">
      <c r="B292" s="230"/>
      <c r="C292" s="231"/>
      <c r="D292" s="232"/>
    </row>
    <row r="293" spans="2:4" x14ac:dyDescent="0.25">
      <c r="B293" s="233"/>
      <c r="C293" s="234"/>
      <c r="D293" s="235"/>
    </row>
    <row r="294" spans="2:4" x14ac:dyDescent="0.25">
      <c r="B294" s="107"/>
      <c r="C294" s="107"/>
      <c r="D294" s="107"/>
    </row>
    <row r="295" spans="2:4" x14ac:dyDescent="0.25">
      <c r="B295" t="s">
        <v>1291</v>
      </c>
      <c r="C295" s="107"/>
      <c r="D295" s="107"/>
    </row>
    <row r="296" spans="2:4" x14ac:dyDescent="0.25">
      <c r="B296" s="227" t="s">
        <v>1276</v>
      </c>
      <c r="C296" s="228"/>
      <c r="D296" s="229"/>
    </row>
    <row r="297" spans="2:4" x14ac:dyDescent="0.25">
      <c r="B297" s="230"/>
      <c r="C297" s="245"/>
      <c r="D297" s="232"/>
    </row>
    <row r="298" spans="2:4" x14ac:dyDescent="0.25">
      <c r="B298" s="230"/>
      <c r="C298" s="245"/>
      <c r="D298" s="232"/>
    </row>
    <row r="299" spans="2:4" x14ac:dyDescent="0.25">
      <c r="B299" s="230"/>
      <c r="C299" s="245"/>
      <c r="D299" s="232"/>
    </row>
    <row r="300" spans="2:4" x14ac:dyDescent="0.25">
      <c r="B300" s="230"/>
      <c r="C300" s="245"/>
      <c r="D300" s="232"/>
    </row>
    <row r="301" spans="2:4" x14ac:dyDescent="0.25">
      <c r="B301" s="230"/>
      <c r="C301" s="245"/>
      <c r="D301" s="232"/>
    </row>
    <row r="302" spans="2:4" x14ac:dyDescent="0.25">
      <c r="B302" s="230"/>
      <c r="C302" s="245"/>
      <c r="D302" s="232"/>
    </row>
    <row r="303" spans="2:4" x14ac:dyDescent="0.25">
      <c r="B303" s="230"/>
      <c r="C303" s="245"/>
      <c r="D303" s="232"/>
    </row>
    <row r="304" spans="2:4" x14ac:dyDescent="0.25">
      <c r="B304" s="233"/>
      <c r="C304" s="234"/>
      <c r="D304" s="235"/>
    </row>
    <row r="305" spans="2:4" x14ac:dyDescent="0.25">
      <c r="B305" s="106"/>
      <c r="C305" s="106"/>
      <c r="D305" s="106"/>
    </row>
    <row r="306" spans="2:4" x14ac:dyDescent="0.25">
      <c r="B306" t="s">
        <v>1211</v>
      </c>
      <c r="C306" s="106"/>
      <c r="D306" s="106"/>
    </row>
    <row r="307" spans="2:4" x14ac:dyDescent="0.25">
      <c r="B307" s="236" t="s">
        <v>1210</v>
      </c>
      <c r="C307" s="237"/>
      <c r="D307" s="238"/>
    </row>
    <row r="308" spans="2:4" x14ac:dyDescent="0.25">
      <c r="B308" s="239"/>
      <c r="C308" s="240"/>
      <c r="D308" s="241"/>
    </row>
    <row r="309" spans="2:4" x14ac:dyDescent="0.25">
      <c r="B309" s="239"/>
      <c r="C309" s="240"/>
      <c r="D309" s="241"/>
    </row>
    <row r="310" spans="2:4" x14ac:dyDescent="0.25">
      <c r="B310" s="239"/>
      <c r="C310" s="240"/>
      <c r="D310" s="241"/>
    </row>
    <row r="311" spans="2:4" x14ac:dyDescent="0.25">
      <c r="B311" s="242"/>
      <c r="C311" s="243"/>
      <c r="D311" s="244"/>
    </row>
    <row r="312" spans="2:4" x14ac:dyDescent="0.25">
      <c r="B312" s="37"/>
      <c r="C312" s="37"/>
      <c r="D312" s="37"/>
    </row>
    <row r="313" spans="2:4" x14ac:dyDescent="0.25">
      <c r="B313" s="37" t="s">
        <v>1191</v>
      </c>
      <c r="C313" s="37"/>
      <c r="D313" s="37"/>
    </row>
    <row r="314" spans="2:4" x14ac:dyDescent="0.25">
      <c r="B314" s="236" t="s">
        <v>1190</v>
      </c>
      <c r="C314" s="237"/>
      <c r="D314" s="238"/>
    </row>
    <row r="315" spans="2:4" x14ac:dyDescent="0.25">
      <c r="B315" s="239"/>
      <c r="C315" s="240"/>
      <c r="D315" s="241"/>
    </row>
    <row r="316" spans="2:4" x14ac:dyDescent="0.25">
      <c r="B316" s="239"/>
      <c r="C316" s="240"/>
      <c r="D316" s="241"/>
    </row>
    <row r="317" spans="2:4" x14ac:dyDescent="0.25">
      <c r="B317" s="242"/>
      <c r="C317" s="243"/>
      <c r="D317" s="244"/>
    </row>
    <row r="318" spans="2:4" x14ac:dyDescent="0.25">
      <c r="B318" s="37"/>
      <c r="C318" s="37"/>
      <c r="D318" s="37"/>
    </row>
    <row r="319" spans="2:4" x14ac:dyDescent="0.25">
      <c r="B319" s="37" t="s">
        <v>1174</v>
      </c>
      <c r="C319" s="37"/>
      <c r="D319" s="37"/>
    </row>
    <row r="320" spans="2:4" x14ac:dyDescent="0.25">
      <c r="B320" s="236" t="s">
        <v>1175</v>
      </c>
      <c r="C320" s="237"/>
      <c r="D320" s="238"/>
    </row>
    <row r="321" spans="2:4" x14ac:dyDescent="0.25">
      <c r="B321" s="239"/>
      <c r="C321" s="240"/>
      <c r="D321" s="241"/>
    </row>
    <row r="322" spans="2:4" x14ac:dyDescent="0.25">
      <c r="B322" s="239"/>
      <c r="C322" s="240"/>
      <c r="D322" s="241"/>
    </row>
    <row r="323" spans="2:4" x14ac:dyDescent="0.25">
      <c r="B323" s="242"/>
      <c r="C323" s="243"/>
      <c r="D323" s="244"/>
    </row>
    <row r="324" spans="2:4" x14ac:dyDescent="0.25">
      <c r="B324" s="37"/>
      <c r="C324" s="37"/>
      <c r="D324" s="37"/>
    </row>
    <row r="325" spans="2:4" x14ac:dyDescent="0.25">
      <c r="B325" s="37" t="s">
        <v>1171</v>
      </c>
      <c r="C325" s="37"/>
      <c r="D325" s="37"/>
    </row>
    <row r="326" spans="2:4" x14ac:dyDescent="0.25">
      <c r="B326" s="236" t="s">
        <v>1168</v>
      </c>
      <c r="C326" s="237"/>
      <c r="D326" s="238"/>
    </row>
    <row r="327" spans="2:4" x14ac:dyDescent="0.25">
      <c r="B327" s="239"/>
      <c r="C327" s="240"/>
      <c r="D327" s="241"/>
    </row>
    <row r="328" spans="2:4" x14ac:dyDescent="0.25">
      <c r="B328" s="239"/>
      <c r="C328" s="240"/>
      <c r="D328" s="241"/>
    </row>
    <row r="329" spans="2:4" x14ac:dyDescent="0.25">
      <c r="B329" s="239"/>
      <c r="C329" s="240"/>
      <c r="D329" s="241"/>
    </row>
    <row r="330" spans="2:4" x14ac:dyDescent="0.25">
      <c r="B330" s="239"/>
      <c r="C330" s="240"/>
      <c r="D330" s="241"/>
    </row>
    <row r="331" spans="2:4" x14ac:dyDescent="0.25">
      <c r="B331" s="239"/>
      <c r="C331" s="240"/>
      <c r="D331" s="241"/>
    </row>
    <row r="332" spans="2:4" x14ac:dyDescent="0.25">
      <c r="B332" s="239"/>
      <c r="C332" s="240"/>
      <c r="D332" s="241"/>
    </row>
    <row r="333" spans="2:4" x14ac:dyDescent="0.25">
      <c r="B333" s="239"/>
      <c r="C333" s="240"/>
      <c r="D333" s="241"/>
    </row>
    <row r="334" spans="2:4" x14ac:dyDescent="0.25">
      <c r="B334" s="239"/>
      <c r="C334" s="240"/>
      <c r="D334" s="241"/>
    </row>
    <row r="335" spans="2:4" x14ac:dyDescent="0.25">
      <c r="B335" s="239"/>
      <c r="C335" s="240"/>
      <c r="D335" s="241"/>
    </row>
    <row r="336" spans="2:4" x14ac:dyDescent="0.25">
      <c r="B336" s="239"/>
      <c r="C336" s="240"/>
      <c r="D336" s="241"/>
    </row>
    <row r="337" spans="2:4" x14ac:dyDescent="0.25">
      <c r="B337" s="239"/>
      <c r="C337" s="240"/>
      <c r="D337" s="241"/>
    </row>
    <row r="338" spans="2:4" x14ac:dyDescent="0.25">
      <c r="B338" s="239"/>
      <c r="C338" s="240"/>
      <c r="D338" s="241"/>
    </row>
    <row r="339" spans="2:4" x14ac:dyDescent="0.25">
      <c r="B339" s="239"/>
      <c r="C339" s="240"/>
      <c r="D339" s="241"/>
    </row>
    <row r="340" spans="2:4" x14ac:dyDescent="0.25">
      <c r="B340" s="239"/>
      <c r="C340" s="240"/>
      <c r="D340" s="241"/>
    </row>
    <row r="341" spans="2:4" x14ac:dyDescent="0.25">
      <c r="B341" s="239"/>
      <c r="C341" s="240"/>
      <c r="D341" s="241"/>
    </row>
    <row r="342" spans="2:4" x14ac:dyDescent="0.25">
      <c r="B342" s="239"/>
      <c r="C342" s="240"/>
      <c r="D342" s="241"/>
    </row>
    <row r="343" spans="2:4" x14ac:dyDescent="0.25">
      <c r="B343" s="239"/>
      <c r="C343" s="240"/>
      <c r="D343" s="241"/>
    </row>
    <row r="344" spans="2:4" x14ac:dyDescent="0.25">
      <c r="B344" s="239"/>
      <c r="C344" s="240"/>
      <c r="D344" s="241"/>
    </row>
    <row r="345" spans="2:4" x14ac:dyDescent="0.25">
      <c r="B345" s="239"/>
      <c r="C345" s="240"/>
      <c r="D345" s="241"/>
    </row>
    <row r="346" spans="2:4" x14ac:dyDescent="0.25">
      <c r="B346" s="239"/>
      <c r="C346" s="240"/>
      <c r="D346" s="241"/>
    </row>
    <row r="347" spans="2:4" x14ac:dyDescent="0.25">
      <c r="B347" s="239"/>
      <c r="C347" s="240"/>
      <c r="D347" s="241"/>
    </row>
    <row r="348" spans="2:4" x14ac:dyDescent="0.25">
      <c r="B348" s="239"/>
      <c r="C348" s="240"/>
      <c r="D348" s="241"/>
    </row>
    <row r="349" spans="2:4" x14ac:dyDescent="0.25">
      <c r="B349" s="239"/>
      <c r="C349" s="240"/>
      <c r="D349" s="241"/>
    </row>
    <row r="350" spans="2:4" x14ac:dyDescent="0.25">
      <c r="B350" s="239"/>
      <c r="C350" s="240"/>
      <c r="D350" s="241"/>
    </row>
    <row r="351" spans="2:4" x14ac:dyDescent="0.25">
      <c r="B351" s="239"/>
      <c r="C351" s="240"/>
      <c r="D351" s="241"/>
    </row>
    <row r="352" spans="2:4" x14ac:dyDescent="0.25">
      <c r="B352" s="242"/>
      <c r="C352" s="243"/>
      <c r="D352" s="244"/>
    </row>
    <row r="353" spans="2:4" x14ac:dyDescent="0.25">
      <c r="B353" s="37"/>
      <c r="C353" s="37"/>
      <c r="D353" s="37"/>
    </row>
    <row r="354" spans="2:4" x14ac:dyDescent="0.25">
      <c r="B354" s="37" t="s">
        <v>1158</v>
      </c>
      <c r="C354" s="37"/>
      <c r="D354" s="37"/>
    </row>
    <row r="355" spans="2:4" x14ac:dyDescent="0.25">
      <c r="B355" s="236" t="s">
        <v>1159</v>
      </c>
      <c r="C355" s="237"/>
      <c r="D355" s="238"/>
    </row>
    <row r="356" spans="2:4" x14ac:dyDescent="0.25">
      <c r="B356" s="239"/>
      <c r="C356" s="240"/>
      <c r="D356" s="241"/>
    </row>
    <row r="357" spans="2:4" x14ac:dyDescent="0.25">
      <c r="B357" s="239"/>
      <c r="C357" s="240"/>
      <c r="D357" s="241"/>
    </row>
    <row r="358" spans="2:4" x14ac:dyDescent="0.25">
      <c r="B358" s="239"/>
      <c r="C358" s="240"/>
      <c r="D358" s="241"/>
    </row>
    <row r="359" spans="2:4" x14ac:dyDescent="0.25">
      <c r="B359" s="239"/>
      <c r="C359" s="240"/>
      <c r="D359" s="241"/>
    </row>
    <row r="360" spans="2:4" x14ac:dyDescent="0.25">
      <c r="B360" s="239"/>
      <c r="C360" s="240"/>
      <c r="D360" s="241"/>
    </row>
    <row r="361" spans="2:4" x14ac:dyDescent="0.25">
      <c r="B361" s="242"/>
      <c r="C361" s="243"/>
      <c r="D361" s="244"/>
    </row>
    <row r="362" spans="2:4" x14ac:dyDescent="0.25">
      <c r="B362" s="37"/>
      <c r="C362" s="37"/>
      <c r="D362" s="37"/>
    </row>
    <row r="363" spans="2:4" x14ac:dyDescent="0.25">
      <c r="B363" s="37" t="s">
        <v>1157</v>
      </c>
      <c r="C363" s="37"/>
      <c r="D363" s="37"/>
    </row>
    <row r="364" spans="2:4" x14ac:dyDescent="0.25">
      <c r="B364" s="236" t="s">
        <v>1156</v>
      </c>
      <c r="C364" s="237"/>
      <c r="D364" s="238"/>
    </row>
    <row r="365" spans="2:4" x14ac:dyDescent="0.25">
      <c r="B365" s="239"/>
      <c r="C365" s="240"/>
      <c r="D365" s="241"/>
    </row>
    <row r="366" spans="2:4" x14ac:dyDescent="0.25">
      <c r="B366" s="239"/>
      <c r="C366" s="240"/>
      <c r="D366" s="241"/>
    </row>
    <row r="367" spans="2:4" x14ac:dyDescent="0.25">
      <c r="B367" s="239"/>
      <c r="C367" s="240"/>
      <c r="D367" s="241"/>
    </row>
    <row r="368" spans="2:4" x14ac:dyDescent="0.25">
      <c r="B368" s="239"/>
      <c r="C368" s="240"/>
      <c r="D368" s="241"/>
    </row>
    <row r="369" spans="2:4" x14ac:dyDescent="0.25">
      <c r="B369" s="239"/>
      <c r="C369" s="240"/>
      <c r="D369" s="241"/>
    </row>
    <row r="370" spans="2:4" x14ac:dyDescent="0.25">
      <c r="B370" s="239"/>
      <c r="C370" s="240"/>
      <c r="D370" s="241"/>
    </row>
    <row r="371" spans="2:4" x14ac:dyDescent="0.25">
      <c r="B371" s="239"/>
      <c r="C371" s="240"/>
      <c r="D371" s="241"/>
    </row>
    <row r="372" spans="2:4" x14ac:dyDescent="0.25">
      <c r="B372" s="239"/>
      <c r="C372" s="240"/>
      <c r="D372" s="241"/>
    </row>
    <row r="373" spans="2:4" x14ac:dyDescent="0.25">
      <c r="B373" s="239"/>
      <c r="C373" s="240"/>
      <c r="D373" s="241"/>
    </row>
    <row r="374" spans="2:4" x14ac:dyDescent="0.25">
      <c r="B374" s="239"/>
      <c r="C374" s="240"/>
      <c r="D374" s="241"/>
    </row>
    <row r="375" spans="2:4" x14ac:dyDescent="0.25">
      <c r="B375" s="242"/>
      <c r="C375" s="243"/>
      <c r="D375" s="244"/>
    </row>
    <row r="376" spans="2:4" x14ac:dyDescent="0.25">
      <c r="B376" s="37"/>
      <c r="C376" s="37"/>
      <c r="D376" s="37"/>
    </row>
    <row r="377" spans="2:4" x14ac:dyDescent="0.25">
      <c r="B377" s="37" t="s">
        <v>1154</v>
      </c>
      <c r="C377" s="37"/>
      <c r="D377" s="37"/>
    </row>
    <row r="378" spans="2:4" x14ac:dyDescent="0.25">
      <c r="B378" s="236" t="s">
        <v>1155</v>
      </c>
      <c r="C378" s="237"/>
      <c r="D378" s="238"/>
    </row>
    <row r="379" spans="2:4" x14ac:dyDescent="0.25">
      <c r="B379" s="239"/>
      <c r="C379" s="240"/>
      <c r="D379" s="241"/>
    </row>
    <row r="380" spans="2:4" x14ac:dyDescent="0.25">
      <c r="B380" s="239"/>
      <c r="C380" s="240"/>
      <c r="D380" s="241"/>
    </row>
    <row r="381" spans="2:4" x14ac:dyDescent="0.25">
      <c r="B381" s="239"/>
      <c r="C381" s="240"/>
      <c r="D381" s="241"/>
    </row>
    <row r="382" spans="2:4" x14ac:dyDescent="0.25">
      <c r="B382" s="239"/>
      <c r="C382" s="240"/>
      <c r="D382" s="241"/>
    </row>
    <row r="383" spans="2:4" x14ac:dyDescent="0.25">
      <c r="B383" s="242"/>
      <c r="C383" s="243"/>
      <c r="D383" s="244"/>
    </row>
    <row r="384" spans="2:4" x14ac:dyDescent="0.25">
      <c r="B384" s="37"/>
      <c r="C384" s="37"/>
      <c r="D384" s="37"/>
    </row>
    <row r="385" spans="2:4" x14ac:dyDescent="0.25">
      <c r="B385" s="37" t="s">
        <v>1151</v>
      </c>
      <c r="C385" s="37"/>
      <c r="D385" s="37"/>
    </row>
    <row r="386" spans="2:4" x14ac:dyDescent="0.25">
      <c r="B386" s="236" t="s">
        <v>1149</v>
      </c>
      <c r="C386" s="237"/>
      <c r="D386" s="238"/>
    </row>
    <row r="387" spans="2:4" x14ac:dyDescent="0.25">
      <c r="B387" s="239"/>
      <c r="C387" s="240"/>
      <c r="D387" s="241"/>
    </row>
    <row r="388" spans="2:4" x14ac:dyDescent="0.25">
      <c r="B388" s="239"/>
      <c r="C388" s="240"/>
      <c r="D388" s="241"/>
    </row>
    <row r="389" spans="2:4" x14ac:dyDescent="0.25">
      <c r="B389" s="239"/>
      <c r="C389" s="240"/>
      <c r="D389" s="241"/>
    </row>
    <row r="390" spans="2:4" x14ac:dyDescent="0.25">
      <c r="B390" s="239"/>
      <c r="C390" s="240"/>
      <c r="D390" s="241"/>
    </row>
    <row r="391" spans="2:4" x14ac:dyDescent="0.25">
      <c r="B391" s="239"/>
      <c r="C391" s="240"/>
      <c r="D391" s="241"/>
    </row>
    <row r="392" spans="2:4" x14ac:dyDescent="0.25">
      <c r="B392" s="239"/>
      <c r="C392" s="240"/>
      <c r="D392" s="241"/>
    </row>
    <row r="393" spans="2:4" x14ac:dyDescent="0.25">
      <c r="B393" s="242"/>
      <c r="C393" s="243"/>
      <c r="D393" s="244"/>
    </row>
    <row r="394" spans="2:4" x14ac:dyDescent="0.25">
      <c r="B394" s="37"/>
      <c r="C394" s="37"/>
      <c r="D394" s="37"/>
    </row>
    <row r="395" spans="2:4" x14ac:dyDescent="0.25">
      <c r="B395" s="37" t="s">
        <v>1146</v>
      </c>
      <c r="C395" s="37"/>
      <c r="D395" s="37"/>
    </row>
    <row r="396" spans="2:4" x14ac:dyDescent="0.25">
      <c r="B396" s="236" t="s">
        <v>1147</v>
      </c>
      <c r="C396" s="237"/>
      <c r="D396" s="238"/>
    </row>
    <row r="397" spans="2:4" x14ac:dyDescent="0.25">
      <c r="B397" s="239"/>
      <c r="C397" s="240"/>
      <c r="D397" s="241"/>
    </row>
    <row r="398" spans="2:4" x14ac:dyDescent="0.25">
      <c r="B398" s="239"/>
      <c r="C398" s="240"/>
      <c r="D398" s="241"/>
    </row>
    <row r="399" spans="2:4" x14ac:dyDescent="0.25">
      <c r="B399" s="239"/>
      <c r="C399" s="240"/>
      <c r="D399" s="241"/>
    </row>
    <row r="400" spans="2:4" x14ac:dyDescent="0.25">
      <c r="B400" s="239"/>
      <c r="C400" s="240"/>
      <c r="D400" s="241"/>
    </row>
    <row r="401" spans="2:4" x14ac:dyDescent="0.25">
      <c r="B401" s="239"/>
      <c r="C401" s="240"/>
      <c r="D401" s="241"/>
    </row>
    <row r="402" spans="2:4" x14ac:dyDescent="0.25">
      <c r="B402" s="242"/>
      <c r="C402" s="243"/>
      <c r="D402" s="244"/>
    </row>
    <row r="403" spans="2:4" x14ac:dyDescent="0.25">
      <c r="B403" s="37"/>
      <c r="C403" s="37"/>
      <c r="D403" s="37"/>
    </row>
    <row r="404" spans="2:4" x14ac:dyDescent="0.25">
      <c r="B404" s="37" t="s">
        <v>1139</v>
      </c>
      <c r="C404" s="37"/>
      <c r="D404" s="37"/>
    </row>
    <row r="405" spans="2:4" x14ac:dyDescent="0.25">
      <c r="B405" s="236" t="s">
        <v>1134</v>
      </c>
      <c r="C405" s="237"/>
      <c r="D405" s="238"/>
    </row>
    <row r="406" spans="2:4" x14ac:dyDescent="0.25">
      <c r="B406" s="239"/>
      <c r="C406" s="240"/>
      <c r="D406" s="241"/>
    </row>
    <row r="407" spans="2:4" x14ac:dyDescent="0.25">
      <c r="B407" s="239"/>
      <c r="C407" s="240"/>
      <c r="D407" s="241"/>
    </row>
    <row r="408" spans="2:4" x14ac:dyDescent="0.25">
      <c r="B408" s="239"/>
      <c r="C408" s="240"/>
      <c r="D408" s="241"/>
    </row>
    <row r="409" spans="2:4" x14ac:dyDescent="0.25">
      <c r="B409" s="239"/>
      <c r="C409" s="240"/>
      <c r="D409" s="241"/>
    </row>
    <row r="410" spans="2:4" x14ac:dyDescent="0.25">
      <c r="B410" s="242"/>
      <c r="C410" s="243"/>
      <c r="D410" s="244"/>
    </row>
    <row r="411" spans="2:4" x14ac:dyDescent="0.25">
      <c r="B411" s="37"/>
      <c r="C411" s="37"/>
      <c r="D411" s="37"/>
    </row>
    <row r="412" spans="2:4" x14ac:dyDescent="0.25">
      <c r="B412" s="37" t="s">
        <v>1132</v>
      </c>
      <c r="C412" s="37"/>
      <c r="D412" s="37"/>
    </row>
    <row r="413" spans="2:4" x14ac:dyDescent="0.25">
      <c r="B413" s="236" t="s">
        <v>1133</v>
      </c>
      <c r="C413" s="237"/>
      <c r="D413" s="238"/>
    </row>
    <row r="414" spans="2:4" x14ac:dyDescent="0.25">
      <c r="B414" s="239"/>
      <c r="C414" s="240"/>
      <c r="D414" s="241"/>
    </row>
    <row r="415" spans="2:4" x14ac:dyDescent="0.25">
      <c r="B415" s="239"/>
      <c r="C415" s="240"/>
      <c r="D415" s="241"/>
    </row>
    <row r="416" spans="2:4" x14ac:dyDescent="0.25">
      <c r="B416" s="239"/>
      <c r="C416" s="240"/>
      <c r="D416" s="241"/>
    </row>
    <row r="417" spans="2:4" x14ac:dyDescent="0.25">
      <c r="B417" s="239"/>
      <c r="C417" s="240"/>
      <c r="D417" s="241"/>
    </row>
    <row r="418" spans="2:4" x14ac:dyDescent="0.25">
      <c r="B418" s="239"/>
      <c r="C418" s="240"/>
      <c r="D418" s="241"/>
    </row>
    <row r="419" spans="2:4" x14ac:dyDescent="0.25">
      <c r="B419" s="242"/>
      <c r="C419" s="243"/>
      <c r="D419" s="244"/>
    </row>
    <row r="420" spans="2:4" x14ac:dyDescent="0.25">
      <c r="B420" s="37"/>
      <c r="C420" s="37"/>
      <c r="D420" s="37"/>
    </row>
    <row r="421" spans="2:4" x14ac:dyDescent="0.25">
      <c r="B421" s="37" t="s">
        <v>1122</v>
      </c>
      <c r="C421" s="37"/>
      <c r="D421" s="37"/>
    </row>
    <row r="422" spans="2:4" x14ac:dyDescent="0.25">
      <c r="B422" s="236" t="s">
        <v>1128</v>
      </c>
      <c r="C422" s="237"/>
      <c r="D422" s="238"/>
    </row>
    <row r="423" spans="2:4" x14ac:dyDescent="0.25">
      <c r="B423" s="239"/>
      <c r="C423" s="240"/>
      <c r="D423" s="241"/>
    </row>
    <row r="424" spans="2:4" x14ac:dyDescent="0.25">
      <c r="B424" s="239"/>
      <c r="C424" s="240"/>
      <c r="D424" s="241"/>
    </row>
    <row r="425" spans="2:4" x14ac:dyDescent="0.25">
      <c r="B425" s="239"/>
      <c r="C425" s="240"/>
      <c r="D425" s="241"/>
    </row>
    <row r="426" spans="2:4" x14ac:dyDescent="0.25">
      <c r="B426" s="239"/>
      <c r="C426" s="240"/>
      <c r="D426" s="241"/>
    </row>
    <row r="427" spans="2:4" x14ac:dyDescent="0.25">
      <c r="B427" s="239"/>
      <c r="C427" s="240"/>
      <c r="D427" s="241"/>
    </row>
    <row r="428" spans="2:4" x14ac:dyDescent="0.25">
      <c r="B428" s="239"/>
      <c r="C428" s="240"/>
      <c r="D428" s="241"/>
    </row>
    <row r="429" spans="2:4" x14ac:dyDescent="0.25">
      <c r="B429" s="239"/>
      <c r="C429" s="240"/>
      <c r="D429" s="241"/>
    </row>
    <row r="430" spans="2:4" x14ac:dyDescent="0.25">
      <c r="B430" s="242"/>
      <c r="C430" s="243"/>
      <c r="D430" s="244"/>
    </row>
    <row r="431" spans="2:4" x14ac:dyDescent="0.25">
      <c r="B431" s="37"/>
      <c r="C431" s="37"/>
      <c r="D431" s="37"/>
    </row>
    <row r="432" spans="2:4" x14ac:dyDescent="0.25">
      <c r="B432" s="37" t="s">
        <v>1118</v>
      </c>
      <c r="C432" s="37"/>
      <c r="D432" s="37"/>
    </row>
    <row r="433" spans="2:4" x14ac:dyDescent="0.25">
      <c r="B433" s="236" t="s">
        <v>1119</v>
      </c>
      <c r="C433" s="237"/>
      <c r="D433" s="238"/>
    </row>
    <row r="434" spans="2:4" x14ac:dyDescent="0.25">
      <c r="B434" s="239"/>
      <c r="C434" s="240"/>
      <c r="D434" s="241"/>
    </row>
    <row r="435" spans="2:4" x14ac:dyDescent="0.25">
      <c r="B435" s="239"/>
      <c r="C435" s="240"/>
      <c r="D435" s="241"/>
    </row>
    <row r="436" spans="2:4" x14ac:dyDescent="0.25">
      <c r="B436" s="242"/>
      <c r="C436" s="243"/>
      <c r="D436" s="244"/>
    </row>
    <row r="437" spans="2:4" x14ac:dyDescent="0.25">
      <c r="B437" s="37"/>
      <c r="C437" s="37"/>
      <c r="D437" s="37"/>
    </row>
    <row r="438" spans="2:4" x14ac:dyDescent="0.25">
      <c r="B438" s="37" t="s">
        <v>1110</v>
      </c>
      <c r="C438" s="37"/>
      <c r="D438" s="37"/>
    </row>
    <row r="439" spans="2:4" x14ac:dyDescent="0.25">
      <c r="B439" s="236" t="s">
        <v>1116</v>
      </c>
      <c r="C439" s="237"/>
      <c r="D439" s="238"/>
    </row>
    <row r="440" spans="2:4" x14ac:dyDescent="0.25">
      <c r="B440" s="239"/>
      <c r="C440" s="240"/>
      <c r="D440" s="241"/>
    </row>
    <row r="441" spans="2:4" x14ac:dyDescent="0.25">
      <c r="B441" s="239"/>
      <c r="C441" s="240"/>
      <c r="D441" s="241"/>
    </row>
    <row r="442" spans="2:4" x14ac:dyDescent="0.25">
      <c r="B442" s="239"/>
      <c r="C442" s="240"/>
      <c r="D442" s="241"/>
    </row>
    <row r="443" spans="2:4" x14ac:dyDescent="0.25">
      <c r="B443" s="242"/>
      <c r="C443" s="243"/>
      <c r="D443" s="244"/>
    </row>
    <row r="444" spans="2:4" x14ac:dyDescent="0.25">
      <c r="B444" s="37"/>
      <c r="C444" s="37"/>
      <c r="D444" s="37"/>
    </row>
    <row r="445" spans="2:4" x14ac:dyDescent="0.25">
      <c r="B445" s="37" t="s">
        <v>1106</v>
      </c>
      <c r="C445" s="37"/>
      <c r="D445" s="37"/>
    </row>
    <row r="446" spans="2:4" x14ac:dyDescent="0.25">
      <c r="B446" s="236" t="s">
        <v>1109</v>
      </c>
      <c r="C446" s="237"/>
      <c r="D446" s="238"/>
    </row>
    <row r="447" spans="2:4" x14ac:dyDescent="0.25">
      <c r="B447" s="239"/>
      <c r="C447" s="240"/>
      <c r="D447" s="241"/>
    </row>
    <row r="448" spans="2:4" x14ac:dyDescent="0.25">
      <c r="B448" s="239"/>
      <c r="C448" s="240"/>
      <c r="D448" s="241"/>
    </row>
    <row r="449" spans="2:4" x14ac:dyDescent="0.25">
      <c r="B449" s="239"/>
      <c r="C449" s="240"/>
      <c r="D449" s="241"/>
    </row>
    <row r="450" spans="2:4" x14ac:dyDescent="0.25">
      <c r="B450" s="239"/>
      <c r="C450" s="240"/>
      <c r="D450" s="241"/>
    </row>
    <row r="451" spans="2:4" x14ac:dyDescent="0.25">
      <c r="B451" s="239"/>
      <c r="C451" s="240"/>
      <c r="D451" s="241"/>
    </row>
    <row r="452" spans="2:4" x14ac:dyDescent="0.25">
      <c r="B452" s="239"/>
      <c r="C452" s="240"/>
      <c r="D452" s="241"/>
    </row>
    <row r="453" spans="2:4" x14ac:dyDescent="0.25">
      <c r="B453" s="239"/>
      <c r="C453" s="240"/>
      <c r="D453" s="241"/>
    </row>
    <row r="454" spans="2:4" x14ac:dyDescent="0.25">
      <c r="B454" s="239"/>
      <c r="C454" s="240"/>
      <c r="D454" s="241"/>
    </row>
    <row r="455" spans="2:4" x14ac:dyDescent="0.25">
      <c r="B455" s="239"/>
      <c r="C455" s="240"/>
      <c r="D455" s="241"/>
    </row>
    <row r="456" spans="2:4" x14ac:dyDescent="0.25">
      <c r="B456" s="242"/>
      <c r="C456" s="243"/>
      <c r="D456" s="244"/>
    </row>
    <row r="457" spans="2:4" x14ac:dyDescent="0.25">
      <c r="B457" s="37"/>
      <c r="C457" s="37"/>
      <c r="D457" s="37"/>
    </row>
    <row r="458" spans="2:4" x14ac:dyDescent="0.25">
      <c r="B458" s="37" t="s">
        <v>1094</v>
      </c>
      <c r="C458" s="37"/>
      <c r="D458" s="37"/>
    </row>
    <row r="459" spans="2:4" x14ac:dyDescent="0.25">
      <c r="B459" s="236" t="s">
        <v>1101</v>
      </c>
      <c r="C459" s="237"/>
      <c r="D459" s="238"/>
    </row>
    <row r="460" spans="2:4" x14ac:dyDescent="0.25">
      <c r="B460" s="239"/>
      <c r="C460" s="240"/>
      <c r="D460" s="241"/>
    </row>
    <row r="461" spans="2:4" x14ac:dyDescent="0.25">
      <c r="B461" s="239"/>
      <c r="C461" s="240"/>
      <c r="D461" s="241"/>
    </row>
    <row r="462" spans="2:4" x14ac:dyDescent="0.25">
      <c r="B462" s="239"/>
      <c r="C462" s="240"/>
      <c r="D462" s="241"/>
    </row>
    <row r="463" spans="2:4" x14ac:dyDescent="0.25">
      <c r="B463" s="239"/>
      <c r="C463" s="240"/>
      <c r="D463" s="241"/>
    </row>
    <row r="464" spans="2:4" x14ac:dyDescent="0.25">
      <c r="B464" s="239"/>
      <c r="C464" s="240"/>
      <c r="D464" s="241"/>
    </row>
    <row r="465" spans="2:4" x14ac:dyDescent="0.25">
      <c r="B465" s="239"/>
      <c r="C465" s="240"/>
      <c r="D465" s="241"/>
    </row>
    <row r="466" spans="2:4" x14ac:dyDescent="0.25">
      <c r="B466" s="239"/>
      <c r="C466" s="240"/>
      <c r="D466" s="241"/>
    </row>
    <row r="467" spans="2:4" x14ac:dyDescent="0.25">
      <c r="B467" s="239"/>
      <c r="C467" s="240"/>
      <c r="D467" s="241"/>
    </row>
    <row r="468" spans="2:4" x14ac:dyDescent="0.25">
      <c r="B468" s="242"/>
      <c r="C468" s="243"/>
      <c r="D468" s="244"/>
    </row>
    <row r="469" spans="2:4" x14ac:dyDescent="0.25">
      <c r="B469" s="37"/>
      <c r="C469" s="37"/>
      <c r="D469" s="37"/>
    </row>
    <row r="470" spans="2:4" x14ac:dyDescent="0.25">
      <c r="B470" s="37" t="s">
        <v>1089</v>
      </c>
      <c r="C470" s="37"/>
      <c r="D470" s="37"/>
    </row>
    <row r="471" spans="2:4" x14ac:dyDescent="0.25">
      <c r="B471" s="236" t="s">
        <v>1090</v>
      </c>
      <c r="C471" s="237"/>
      <c r="D471" s="238"/>
    </row>
    <row r="472" spans="2:4" x14ac:dyDescent="0.25">
      <c r="B472" s="239"/>
      <c r="C472" s="240"/>
      <c r="D472" s="241"/>
    </row>
    <row r="473" spans="2:4" x14ac:dyDescent="0.25">
      <c r="B473" s="239"/>
      <c r="C473" s="240"/>
      <c r="D473" s="241"/>
    </row>
    <row r="474" spans="2:4" x14ac:dyDescent="0.25">
      <c r="B474" s="239"/>
      <c r="C474" s="240"/>
      <c r="D474" s="241"/>
    </row>
    <row r="475" spans="2:4" x14ac:dyDescent="0.25">
      <c r="B475" s="239"/>
      <c r="C475" s="240"/>
      <c r="D475" s="241"/>
    </row>
    <row r="476" spans="2:4" x14ac:dyDescent="0.25">
      <c r="B476" s="239"/>
      <c r="C476" s="240"/>
      <c r="D476" s="241"/>
    </row>
    <row r="477" spans="2:4" x14ac:dyDescent="0.25">
      <c r="B477" s="239"/>
      <c r="C477" s="240"/>
      <c r="D477" s="241"/>
    </row>
    <row r="478" spans="2:4" x14ac:dyDescent="0.25">
      <c r="B478" s="239"/>
      <c r="C478" s="240"/>
      <c r="D478" s="241"/>
    </row>
    <row r="479" spans="2:4" x14ac:dyDescent="0.25">
      <c r="B479" s="242"/>
      <c r="C479" s="243"/>
      <c r="D479" s="244"/>
    </row>
    <row r="480" spans="2:4" x14ac:dyDescent="0.25">
      <c r="B480" s="37"/>
      <c r="C480" s="37"/>
      <c r="D480" s="37"/>
    </row>
    <row r="481" spans="2:4" x14ac:dyDescent="0.25">
      <c r="B481" s="37" t="s">
        <v>1052</v>
      </c>
      <c r="C481" s="37"/>
      <c r="D481" s="37"/>
    </row>
    <row r="482" spans="2:4" x14ac:dyDescent="0.25">
      <c r="B482" s="236" t="s">
        <v>1050</v>
      </c>
      <c r="C482" s="237"/>
      <c r="D482" s="238"/>
    </row>
    <row r="483" spans="2:4" x14ac:dyDescent="0.25">
      <c r="B483" s="239"/>
      <c r="C483" s="240"/>
      <c r="D483" s="241"/>
    </row>
    <row r="484" spans="2:4" x14ac:dyDescent="0.25">
      <c r="B484" s="239"/>
      <c r="C484" s="240"/>
      <c r="D484" s="241"/>
    </row>
    <row r="485" spans="2:4" x14ac:dyDescent="0.25">
      <c r="B485" s="239"/>
      <c r="C485" s="240"/>
      <c r="D485" s="241"/>
    </row>
    <row r="486" spans="2:4" x14ac:dyDescent="0.25">
      <c r="B486" s="239"/>
      <c r="C486" s="240"/>
      <c r="D486" s="241"/>
    </row>
    <row r="487" spans="2:4" x14ac:dyDescent="0.25">
      <c r="B487" s="239"/>
      <c r="C487" s="240"/>
      <c r="D487" s="241"/>
    </row>
    <row r="488" spans="2:4" x14ac:dyDescent="0.25">
      <c r="B488" s="239"/>
      <c r="C488" s="240"/>
      <c r="D488" s="241"/>
    </row>
    <row r="489" spans="2:4" x14ac:dyDescent="0.25">
      <c r="B489" s="242"/>
      <c r="C489" s="243"/>
      <c r="D489" s="244"/>
    </row>
    <row r="490" spans="2:4" x14ac:dyDescent="0.25">
      <c r="B490" s="37"/>
      <c r="C490" s="37"/>
      <c r="D490" s="37"/>
    </row>
    <row r="491" spans="2:4" x14ac:dyDescent="0.25">
      <c r="B491" s="37" t="s">
        <v>1046</v>
      </c>
      <c r="C491" s="37"/>
      <c r="D491" s="37"/>
    </row>
    <row r="492" spans="2:4" x14ac:dyDescent="0.25">
      <c r="B492" s="236" t="s">
        <v>1045</v>
      </c>
      <c r="C492" s="237"/>
      <c r="D492" s="238"/>
    </row>
    <row r="493" spans="2:4" x14ac:dyDescent="0.25">
      <c r="B493" s="242"/>
      <c r="C493" s="243"/>
      <c r="D493" s="244"/>
    </row>
    <row r="494" spans="2:4" x14ac:dyDescent="0.25">
      <c r="B494" s="37"/>
      <c r="C494" s="37"/>
      <c r="D494" s="37"/>
    </row>
    <row r="495" spans="2:4" x14ac:dyDescent="0.25">
      <c r="B495" s="37" t="s">
        <v>1044</v>
      </c>
      <c r="C495" s="37"/>
      <c r="D495" s="37"/>
    </row>
    <row r="496" spans="2:4" x14ac:dyDescent="0.25">
      <c r="B496" s="236" t="s">
        <v>1043</v>
      </c>
      <c r="C496" s="237"/>
      <c r="D496" s="238"/>
    </row>
    <row r="497" spans="2:4" x14ac:dyDescent="0.25">
      <c r="B497" s="239"/>
      <c r="C497" s="240"/>
      <c r="D497" s="241"/>
    </row>
    <row r="498" spans="2:4" x14ac:dyDescent="0.25">
      <c r="B498" s="239"/>
      <c r="C498" s="240"/>
      <c r="D498" s="241"/>
    </row>
    <row r="499" spans="2:4" x14ac:dyDescent="0.25">
      <c r="B499" s="239"/>
      <c r="C499" s="240"/>
      <c r="D499" s="241"/>
    </row>
    <row r="500" spans="2:4" x14ac:dyDescent="0.25">
      <c r="B500" s="239"/>
      <c r="C500" s="240"/>
      <c r="D500" s="241"/>
    </row>
    <row r="501" spans="2:4" x14ac:dyDescent="0.25">
      <c r="B501" s="239"/>
      <c r="C501" s="240"/>
      <c r="D501" s="241"/>
    </row>
    <row r="502" spans="2:4" x14ac:dyDescent="0.25">
      <c r="B502" s="239"/>
      <c r="C502" s="240"/>
      <c r="D502" s="241"/>
    </row>
    <row r="503" spans="2:4" x14ac:dyDescent="0.25">
      <c r="B503" s="239"/>
      <c r="C503" s="240"/>
      <c r="D503" s="241"/>
    </row>
    <row r="504" spans="2:4" x14ac:dyDescent="0.25">
      <c r="B504" s="239"/>
      <c r="C504" s="240"/>
      <c r="D504" s="241"/>
    </row>
    <row r="505" spans="2:4" x14ac:dyDescent="0.25">
      <c r="B505" s="239"/>
      <c r="C505" s="240"/>
      <c r="D505" s="241"/>
    </row>
    <row r="506" spans="2:4" x14ac:dyDescent="0.25">
      <c r="B506" s="239"/>
      <c r="C506" s="240"/>
      <c r="D506" s="241"/>
    </row>
    <row r="507" spans="2:4" x14ac:dyDescent="0.25">
      <c r="B507" s="239"/>
      <c r="C507" s="240"/>
      <c r="D507" s="241"/>
    </row>
    <row r="508" spans="2:4" x14ac:dyDescent="0.25">
      <c r="B508" s="242"/>
      <c r="C508" s="243"/>
      <c r="D508" s="244"/>
    </row>
    <row r="509" spans="2:4" x14ac:dyDescent="0.25">
      <c r="B509" s="37"/>
      <c r="C509" s="37"/>
      <c r="D509" s="37"/>
    </row>
    <row r="510" spans="2:4" x14ac:dyDescent="0.25">
      <c r="B510" s="37" t="s">
        <v>1041</v>
      </c>
      <c r="C510" s="37"/>
      <c r="D510" s="37"/>
    </row>
    <row r="511" spans="2:4" x14ac:dyDescent="0.25">
      <c r="B511" s="236" t="s">
        <v>1042</v>
      </c>
      <c r="C511" s="237"/>
      <c r="D511" s="238"/>
    </row>
    <row r="512" spans="2:4" x14ac:dyDescent="0.25">
      <c r="B512" s="239"/>
      <c r="C512" s="240"/>
      <c r="D512" s="241"/>
    </row>
    <row r="513" spans="2:4" x14ac:dyDescent="0.25">
      <c r="B513" s="239"/>
      <c r="C513" s="240"/>
      <c r="D513" s="241"/>
    </row>
    <row r="514" spans="2:4" x14ac:dyDescent="0.25">
      <c r="B514" s="239"/>
      <c r="C514" s="240"/>
      <c r="D514" s="241"/>
    </row>
    <row r="515" spans="2:4" x14ac:dyDescent="0.25">
      <c r="B515" s="239"/>
      <c r="C515" s="240"/>
      <c r="D515" s="241"/>
    </row>
    <row r="516" spans="2:4" x14ac:dyDescent="0.25">
      <c r="B516" s="242"/>
      <c r="C516" s="243"/>
      <c r="D516" s="244"/>
    </row>
    <row r="517" spans="2:4" x14ac:dyDescent="0.25">
      <c r="B517" s="37"/>
      <c r="C517" s="37"/>
      <c r="D517" s="37"/>
    </row>
    <row r="518" spans="2:4" x14ac:dyDescent="0.25">
      <c r="B518" s="37" t="s">
        <v>1034</v>
      </c>
      <c r="C518" s="37"/>
      <c r="D518" s="37"/>
    </row>
    <row r="519" spans="2:4" x14ac:dyDescent="0.25">
      <c r="B519" s="236" t="s">
        <v>1036</v>
      </c>
      <c r="C519" s="237"/>
      <c r="D519" s="238"/>
    </row>
    <row r="520" spans="2:4" x14ac:dyDescent="0.25">
      <c r="B520" s="239"/>
      <c r="C520" s="240"/>
      <c r="D520" s="241"/>
    </row>
    <row r="521" spans="2:4" x14ac:dyDescent="0.25">
      <c r="B521" s="239"/>
      <c r="C521" s="240"/>
      <c r="D521" s="241"/>
    </row>
    <row r="522" spans="2:4" x14ac:dyDescent="0.25">
      <c r="B522" s="239"/>
      <c r="C522" s="240"/>
      <c r="D522" s="241"/>
    </row>
    <row r="523" spans="2:4" x14ac:dyDescent="0.25">
      <c r="B523" s="239"/>
      <c r="C523" s="240"/>
      <c r="D523" s="241"/>
    </row>
    <row r="524" spans="2:4" x14ac:dyDescent="0.25">
      <c r="B524" s="239"/>
      <c r="C524" s="240"/>
      <c r="D524" s="241"/>
    </row>
    <row r="525" spans="2:4" x14ac:dyDescent="0.25">
      <c r="B525" s="239"/>
      <c r="C525" s="240"/>
      <c r="D525" s="241"/>
    </row>
    <row r="526" spans="2:4" x14ac:dyDescent="0.25">
      <c r="B526" s="239"/>
      <c r="C526" s="240"/>
      <c r="D526" s="241"/>
    </row>
    <row r="527" spans="2:4" x14ac:dyDescent="0.25">
      <c r="B527" s="242"/>
      <c r="C527" s="243"/>
      <c r="D527" s="244"/>
    </row>
    <row r="528" spans="2:4" x14ac:dyDescent="0.25">
      <c r="B528" s="37"/>
      <c r="C528" s="37"/>
      <c r="D528" s="37"/>
    </row>
    <row r="529" spans="2:4" x14ac:dyDescent="0.25">
      <c r="B529" s="37" t="s">
        <v>1030</v>
      </c>
      <c r="C529" s="37"/>
      <c r="D529" s="37"/>
    </row>
    <row r="530" spans="2:4" x14ac:dyDescent="0.25">
      <c r="B530" s="236" t="s">
        <v>1032</v>
      </c>
      <c r="C530" s="237"/>
      <c r="D530" s="238"/>
    </row>
    <row r="531" spans="2:4" ht="15" customHeight="1" x14ac:dyDescent="0.25">
      <c r="B531" s="239"/>
      <c r="C531" s="240"/>
      <c r="D531" s="241"/>
    </row>
    <row r="532" spans="2:4" x14ac:dyDescent="0.25">
      <c r="B532" s="239"/>
      <c r="C532" s="240"/>
      <c r="D532" s="241"/>
    </row>
    <row r="533" spans="2:4" x14ac:dyDescent="0.25">
      <c r="B533" s="239"/>
      <c r="C533" s="240"/>
      <c r="D533" s="241"/>
    </row>
    <row r="534" spans="2:4" x14ac:dyDescent="0.25">
      <c r="B534" s="239"/>
      <c r="C534" s="240"/>
      <c r="D534" s="241"/>
    </row>
    <row r="535" spans="2:4" x14ac:dyDescent="0.25">
      <c r="B535" s="239"/>
      <c r="C535" s="240"/>
      <c r="D535" s="241"/>
    </row>
    <row r="536" spans="2:4" x14ac:dyDescent="0.25">
      <c r="B536" s="239"/>
      <c r="C536" s="240"/>
      <c r="D536" s="241"/>
    </row>
    <row r="537" spans="2:4" x14ac:dyDescent="0.25">
      <c r="B537" s="239"/>
      <c r="C537" s="240"/>
      <c r="D537" s="241"/>
    </row>
    <row r="538" spans="2:4" x14ac:dyDescent="0.25">
      <c r="B538" s="239"/>
      <c r="C538" s="240"/>
      <c r="D538" s="241"/>
    </row>
    <row r="539" spans="2:4" x14ac:dyDescent="0.25">
      <c r="B539" s="239"/>
      <c r="C539" s="240"/>
      <c r="D539" s="241"/>
    </row>
    <row r="540" spans="2:4" x14ac:dyDescent="0.25">
      <c r="B540" s="242"/>
      <c r="C540" s="243"/>
      <c r="D540" s="244"/>
    </row>
    <row r="541" spans="2:4" x14ac:dyDescent="0.25">
      <c r="B541" s="37"/>
      <c r="C541" s="37"/>
      <c r="D541" s="37"/>
    </row>
    <row r="542" spans="2:4" x14ac:dyDescent="0.25">
      <c r="B542" s="37" t="s">
        <v>1028</v>
      </c>
      <c r="C542" s="37"/>
      <c r="D542" s="37"/>
    </row>
    <row r="543" spans="2:4" x14ac:dyDescent="0.25">
      <c r="B543" s="236" t="s">
        <v>1029</v>
      </c>
      <c r="C543" s="237"/>
      <c r="D543" s="238"/>
    </row>
    <row r="544" spans="2:4" x14ac:dyDescent="0.25">
      <c r="B544" s="239"/>
      <c r="C544" s="240"/>
      <c r="D544" s="241"/>
    </row>
    <row r="545" spans="2:4" x14ac:dyDescent="0.25">
      <c r="B545" s="239"/>
      <c r="C545" s="240"/>
      <c r="D545" s="241"/>
    </row>
    <row r="546" spans="2:4" x14ac:dyDescent="0.25">
      <c r="B546" s="242"/>
      <c r="C546" s="243"/>
      <c r="D546" s="244"/>
    </row>
    <row r="547" spans="2:4" x14ac:dyDescent="0.25">
      <c r="B547" s="37"/>
      <c r="C547" s="37"/>
      <c r="D547" s="37"/>
    </row>
    <row r="548" spans="2:4" x14ac:dyDescent="0.25">
      <c r="B548" s="37" t="s">
        <v>1026</v>
      </c>
      <c r="C548" s="37"/>
      <c r="D548" s="37"/>
    </row>
    <row r="549" spans="2:4" x14ac:dyDescent="0.25">
      <c r="B549" s="236" t="s">
        <v>1027</v>
      </c>
      <c r="C549" s="237"/>
      <c r="D549" s="238"/>
    </row>
    <row r="550" spans="2:4" x14ac:dyDescent="0.25">
      <c r="B550" s="239"/>
      <c r="C550" s="240"/>
      <c r="D550" s="241"/>
    </row>
    <row r="551" spans="2:4" x14ac:dyDescent="0.25">
      <c r="B551" s="242"/>
      <c r="C551" s="243"/>
      <c r="D551" s="244"/>
    </row>
    <row r="552" spans="2:4" x14ac:dyDescent="0.25">
      <c r="B552" s="37"/>
      <c r="C552" s="37"/>
      <c r="D552" s="37"/>
    </row>
    <row r="553" spans="2:4" x14ac:dyDescent="0.25">
      <c r="B553" s="37" t="s">
        <v>1019</v>
      </c>
      <c r="C553" s="37"/>
      <c r="D553" s="37"/>
    </row>
    <row r="554" spans="2:4" x14ac:dyDescent="0.25">
      <c r="B554" s="236" t="s">
        <v>1020</v>
      </c>
      <c r="C554" s="237"/>
      <c r="D554" s="238"/>
    </row>
    <row r="555" spans="2:4" x14ac:dyDescent="0.25">
      <c r="B555" s="239"/>
      <c r="C555" s="240"/>
      <c r="D555" s="241"/>
    </row>
    <row r="556" spans="2:4" x14ac:dyDescent="0.25">
      <c r="B556" s="242"/>
      <c r="C556" s="243"/>
      <c r="D556" s="244"/>
    </row>
    <row r="557" spans="2:4" x14ac:dyDescent="0.25">
      <c r="B557" s="37"/>
      <c r="C557" s="37"/>
      <c r="D557" s="37"/>
    </row>
    <row r="558" spans="2:4" x14ac:dyDescent="0.25">
      <c r="B558" s="37" t="s">
        <v>1017</v>
      </c>
      <c r="C558" s="37"/>
      <c r="D558" s="37"/>
    </row>
    <row r="559" spans="2:4" x14ac:dyDescent="0.25">
      <c r="B559" s="236" t="s">
        <v>1018</v>
      </c>
      <c r="C559" s="237"/>
      <c r="D559" s="238"/>
    </row>
    <row r="560" spans="2:4" x14ac:dyDescent="0.25">
      <c r="B560" s="239"/>
      <c r="C560" s="240"/>
      <c r="D560" s="241"/>
    </row>
    <row r="561" spans="2:4" x14ac:dyDescent="0.25">
      <c r="B561" s="239"/>
      <c r="C561" s="240"/>
      <c r="D561" s="241"/>
    </row>
    <row r="562" spans="2:4" x14ac:dyDescent="0.25">
      <c r="B562" s="239"/>
      <c r="C562" s="240"/>
      <c r="D562" s="241"/>
    </row>
    <row r="563" spans="2:4" x14ac:dyDescent="0.25">
      <c r="B563" s="239"/>
      <c r="C563" s="240"/>
      <c r="D563" s="241"/>
    </row>
    <row r="564" spans="2:4" x14ac:dyDescent="0.25">
      <c r="B564" s="239"/>
      <c r="C564" s="240"/>
      <c r="D564" s="241"/>
    </row>
    <row r="565" spans="2:4" x14ac:dyDescent="0.25">
      <c r="B565" s="239"/>
      <c r="C565" s="240"/>
      <c r="D565" s="241"/>
    </row>
    <row r="566" spans="2:4" x14ac:dyDescent="0.25">
      <c r="B566" s="239"/>
      <c r="C566" s="240"/>
      <c r="D566" s="241"/>
    </row>
    <row r="567" spans="2:4" x14ac:dyDescent="0.25">
      <c r="B567" s="239"/>
      <c r="C567" s="240"/>
      <c r="D567" s="241"/>
    </row>
    <row r="568" spans="2:4" x14ac:dyDescent="0.25">
      <c r="B568" s="239"/>
      <c r="C568" s="240"/>
      <c r="D568" s="241"/>
    </row>
    <row r="569" spans="2:4" x14ac:dyDescent="0.25">
      <c r="B569" s="239"/>
      <c r="C569" s="240"/>
      <c r="D569" s="241"/>
    </row>
    <row r="570" spans="2:4" x14ac:dyDescent="0.25">
      <c r="B570" s="242"/>
      <c r="C570" s="243"/>
      <c r="D570" s="244"/>
    </row>
    <row r="571" spans="2:4" x14ac:dyDescent="0.25">
      <c r="B571" s="37"/>
      <c r="C571" s="37"/>
      <c r="D571" s="37"/>
    </row>
    <row r="572" spans="2:4" x14ac:dyDescent="0.25">
      <c r="B572" s="37" t="s">
        <v>1015</v>
      </c>
      <c r="C572" s="37"/>
      <c r="D572" s="37"/>
    </row>
    <row r="573" spans="2:4" x14ac:dyDescent="0.25">
      <c r="B573" s="236" t="s">
        <v>1016</v>
      </c>
      <c r="C573" s="237"/>
      <c r="D573" s="238"/>
    </row>
    <row r="574" spans="2:4" x14ac:dyDescent="0.25">
      <c r="B574" s="239"/>
      <c r="C574" s="240"/>
      <c r="D574" s="241"/>
    </row>
    <row r="575" spans="2:4" x14ac:dyDescent="0.25">
      <c r="B575" s="239"/>
      <c r="C575" s="240"/>
      <c r="D575" s="241"/>
    </row>
    <row r="576" spans="2:4" x14ac:dyDescent="0.25">
      <c r="B576" s="242"/>
      <c r="C576" s="243"/>
      <c r="D576" s="244"/>
    </row>
    <row r="577" spans="2:4" x14ac:dyDescent="0.25">
      <c r="B577" s="37"/>
      <c r="C577" s="37"/>
      <c r="D577" s="37"/>
    </row>
    <row r="578" spans="2:4" x14ac:dyDescent="0.25">
      <c r="B578" s="37" t="s">
        <v>1014</v>
      </c>
      <c r="C578" s="37"/>
      <c r="D578" s="37"/>
    </row>
    <row r="579" spans="2:4" x14ac:dyDescent="0.25">
      <c r="B579" s="236" t="s">
        <v>1013</v>
      </c>
      <c r="C579" s="237"/>
      <c r="D579" s="238"/>
    </row>
    <row r="580" spans="2:4" x14ac:dyDescent="0.25">
      <c r="B580" s="239"/>
      <c r="C580" s="240"/>
      <c r="D580" s="241"/>
    </row>
    <row r="581" spans="2:4" x14ac:dyDescent="0.25">
      <c r="B581" s="239"/>
      <c r="C581" s="240"/>
      <c r="D581" s="241"/>
    </row>
    <row r="582" spans="2:4" x14ac:dyDescent="0.25">
      <c r="B582" s="239"/>
      <c r="C582" s="240"/>
      <c r="D582" s="241"/>
    </row>
    <row r="583" spans="2:4" x14ac:dyDescent="0.25">
      <c r="B583" s="239"/>
      <c r="C583" s="240"/>
      <c r="D583" s="241"/>
    </row>
    <row r="584" spans="2:4" x14ac:dyDescent="0.25">
      <c r="B584" s="239"/>
      <c r="C584" s="240"/>
      <c r="D584" s="241"/>
    </row>
    <row r="585" spans="2:4" x14ac:dyDescent="0.25">
      <c r="B585" s="239"/>
      <c r="C585" s="240"/>
      <c r="D585" s="241"/>
    </row>
    <row r="586" spans="2:4" x14ac:dyDescent="0.25">
      <c r="B586" s="239"/>
      <c r="C586" s="240"/>
      <c r="D586" s="241"/>
    </row>
    <row r="587" spans="2:4" x14ac:dyDescent="0.25">
      <c r="B587" s="239"/>
      <c r="C587" s="240"/>
      <c r="D587" s="241"/>
    </row>
    <row r="588" spans="2:4" x14ac:dyDescent="0.25">
      <c r="B588" s="239"/>
      <c r="C588" s="240"/>
      <c r="D588" s="241"/>
    </row>
    <row r="589" spans="2:4" x14ac:dyDescent="0.25">
      <c r="B589" s="239"/>
      <c r="C589" s="240"/>
      <c r="D589" s="241"/>
    </row>
    <row r="590" spans="2:4" x14ac:dyDescent="0.25">
      <c r="B590" s="239"/>
      <c r="C590" s="240"/>
      <c r="D590" s="241"/>
    </row>
    <row r="591" spans="2:4" x14ac:dyDescent="0.25">
      <c r="B591" s="239"/>
      <c r="C591" s="240"/>
      <c r="D591" s="241"/>
    </row>
    <row r="592" spans="2:4" x14ac:dyDescent="0.25">
      <c r="B592" s="239"/>
      <c r="C592" s="240"/>
      <c r="D592" s="241"/>
    </row>
    <row r="593" spans="2:4" x14ac:dyDescent="0.25">
      <c r="B593" s="242"/>
      <c r="C593" s="243"/>
      <c r="D593" s="244"/>
    </row>
    <row r="594" spans="2:4" x14ac:dyDescent="0.25">
      <c r="B594" s="37"/>
      <c r="C594" s="37"/>
      <c r="D594" s="37"/>
    </row>
    <row r="595" spans="2:4" x14ac:dyDescent="0.25">
      <c r="B595" s="37" t="s">
        <v>1009</v>
      </c>
      <c r="C595" s="37"/>
      <c r="D595" s="37"/>
    </row>
    <row r="596" spans="2:4" x14ac:dyDescent="0.25">
      <c r="B596" s="236" t="s">
        <v>1008</v>
      </c>
      <c r="C596" s="237"/>
      <c r="D596" s="238"/>
    </row>
    <row r="597" spans="2:4" x14ac:dyDescent="0.25">
      <c r="B597" s="239"/>
      <c r="C597" s="240"/>
      <c r="D597" s="241"/>
    </row>
    <row r="598" spans="2:4" x14ac:dyDescent="0.25">
      <c r="B598" s="239"/>
      <c r="C598" s="240"/>
      <c r="D598" s="241"/>
    </row>
    <row r="599" spans="2:4" x14ac:dyDescent="0.25">
      <c r="B599" s="239"/>
      <c r="C599" s="240"/>
      <c r="D599" s="241"/>
    </row>
    <row r="600" spans="2:4" x14ac:dyDescent="0.25">
      <c r="B600" s="239"/>
      <c r="C600" s="240"/>
      <c r="D600" s="241"/>
    </row>
    <row r="601" spans="2:4" x14ac:dyDescent="0.25">
      <c r="B601" s="239"/>
      <c r="C601" s="240"/>
      <c r="D601" s="241"/>
    </row>
    <row r="602" spans="2:4" x14ac:dyDescent="0.25">
      <c r="B602" s="239"/>
      <c r="C602" s="240"/>
      <c r="D602" s="241"/>
    </row>
    <row r="603" spans="2:4" x14ac:dyDescent="0.25">
      <c r="B603" s="239"/>
      <c r="C603" s="240"/>
      <c r="D603" s="241"/>
    </row>
    <row r="604" spans="2:4" x14ac:dyDescent="0.25">
      <c r="B604" s="239"/>
      <c r="C604" s="240"/>
      <c r="D604" s="241"/>
    </row>
    <row r="605" spans="2:4" x14ac:dyDescent="0.25">
      <c r="B605" s="242"/>
      <c r="C605" s="243"/>
      <c r="D605" s="244"/>
    </row>
    <row r="606" spans="2:4" x14ac:dyDescent="0.25">
      <c r="B606" s="37"/>
      <c r="C606" s="37"/>
      <c r="D606" s="37"/>
    </row>
    <row r="607" spans="2:4" x14ac:dyDescent="0.25">
      <c r="B607" s="37" t="s">
        <v>1006</v>
      </c>
      <c r="C607" s="37"/>
      <c r="D607" s="37"/>
    </row>
    <row r="608" spans="2:4" x14ac:dyDescent="0.25">
      <c r="B608" s="236" t="s">
        <v>1007</v>
      </c>
      <c r="C608" s="237"/>
      <c r="D608" s="238"/>
    </row>
    <row r="609" spans="2:4" x14ac:dyDescent="0.25">
      <c r="B609" s="239"/>
      <c r="C609" s="240"/>
      <c r="D609" s="241"/>
    </row>
    <row r="610" spans="2:4" x14ac:dyDescent="0.25">
      <c r="B610" s="239"/>
      <c r="C610" s="240"/>
      <c r="D610" s="241"/>
    </row>
    <row r="611" spans="2:4" x14ac:dyDescent="0.25">
      <c r="B611" s="239"/>
      <c r="C611" s="240"/>
      <c r="D611" s="241"/>
    </row>
    <row r="612" spans="2:4" x14ac:dyDescent="0.25">
      <c r="B612" s="239"/>
      <c r="C612" s="240"/>
      <c r="D612" s="241"/>
    </row>
    <row r="613" spans="2:4" x14ac:dyDescent="0.25">
      <c r="B613" s="239"/>
      <c r="C613" s="240"/>
      <c r="D613" s="241"/>
    </row>
    <row r="614" spans="2:4" x14ac:dyDescent="0.25">
      <c r="B614" s="239"/>
      <c r="C614" s="240"/>
      <c r="D614" s="241"/>
    </row>
    <row r="615" spans="2:4" x14ac:dyDescent="0.25">
      <c r="B615" s="242"/>
      <c r="C615" s="243"/>
      <c r="D615" s="244"/>
    </row>
    <row r="616" spans="2:4" x14ac:dyDescent="0.25">
      <c r="B616" s="37"/>
      <c r="C616" s="37"/>
      <c r="D616" s="37"/>
    </row>
    <row r="617" spans="2:4" x14ac:dyDescent="0.25">
      <c r="B617" s="37" t="s">
        <v>1004</v>
      </c>
      <c r="C617" s="37"/>
      <c r="D617" s="37"/>
    </row>
    <row r="618" spans="2:4" x14ac:dyDescent="0.25">
      <c r="B618" s="236" t="s">
        <v>1005</v>
      </c>
      <c r="C618" s="237"/>
      <c r="D618" s="238"/>
    </row>
    <row r="619" spans="2:4" x14ac:dyDescent="0.25">
      <c r="B619" s="239"/>
      <c r="C619" s="240"/>
      <c r="D619" s="241"/>
    </row>
    <row r="620" spans="2:4" x14ac:dyDescent="0.25">
      <c r="B620" s="239"/>
      <c r="C620" s="240"/>
      <c r="D620" s="241"/>
    </row>
    <row r="621" spans="2:4" x14ac:dyDescent="0.25">
      <c r="B621" s="239"/>
      <c r="C621" s="240"/>
      <c r="D621" s="241"/>
    </row>
    <row r="622" spans="2:4" x14ac:dyDescent="0.25">
      <c r="B622" s="242"/>
      <c r="C622" s="243"/>
      <c r="D622" s="244"/>
    </row>
    <row r="623" spans="2:4" x14ac:dyDescent="0.25">
      <c r="B623" s="37"/>
      <c r="C623" s="37"/>
      <c r="D623" s="37"/>
    </row>
    <row r="624" spans="2:4" x14ac:dyDescent="0.25">
      <c r="B624" s="37" t="s">
        <v>1000</v>
      </c>
      <c r="C624" s="37"/>
      <c r="D624" s="37"/>
    </row>
    <row r="625" spans="2:4" x14ac:dyDescent="0.25">
      <c r="B625" s="236" t="s">
        <v>1001</v>
      </c>
      <c r="C625" s="237"/>
      <c r="D625" s="238"/>
    </row>
    <row r="626" spans="2:4" x14ac:dyDescent="0.25">
      <c r="B626" s="239"/>
      <c r="C626" s="240"/>
      <c r="D626" s="241"/>
    </row>
    <row r="627" spans="2:4" x14ac:dyDescent="0.25">
      <c r="B627" s="239"/>
      <c r="C627" s="240"/>
      <c r="D627" s="241"/>
    </row>
    <row r="628" spans="2:4" x14ac:dyDescent="0.25">
      <c r="B628" s="239"/>
      <c r="C628" s="240"/>
      <c r="D628" s="241"/>
    </row>
    <row r="629" spans="2:4" x14ac:dyDescent="0.25">
      <c r="B629" s="242"/>
      <c r="C629" s="243"/>
      <c r="D629" s="244"/>
    </row>
    <row r="630" spans="2:4" x14ac:dyDescent="0.25">
      <c r="B630" s="37"/>
      <c r="C630" s="37"/>
      <c r="D630" s="37"/>
    </row>
    <row r="631" spans="2:4" x14ac:dyDescent="0.25">
      <c r="B631" s="37" t="s">
        <v>999</v>
      </c>
      <c r="C631" s="37"/>
      <c r="D631" s="37"/>
    </row>
    <row r="632" spans="2:4" x14ac:dyDescent="0.25">
      <c r="B632" s="236" t="s">
        <v>998</v>
      </c>
      <c r="C632" s="237"/>
      <c r="D632" s="238"/>
    </row>
    <row r="633" spans="2:4" x14ac:dyDescent="0.25">
      <c r="B633" s="239"/>
      <c r="C633" s="240"/>
      <c r="D633" s="241"/>
    </row>
    <row r="634" spans="2:4" x14ac:dyDescent="0.25">
      <c r="B634" s="239"/>
      <c r="C634" s="240"/>
      <c r="D634" s="241"/>
    </row>
    <row r="635" spans="2:4" x14ac:dyDescent="0.25">
      <c r="B635" s="239"/>
      <c r="C635" s="240"/>
      <c r="D635" s="241"/>
    </row>
    <row r="636" spans="2:4" x14ac:dyDescent="0.25">
      <c r="B636" s="239"/>
      <c r="C636" s="240"/>
      <c r="D636" s="241"/>
    </row>
    <row r="637" spans="2:4" x14ac:dyDescent="0.25">
      <c r="B637" s="239"/>
      <c r="C637" s="240"/>
      <c r="D637" s="241"/>
    </row>
    <row r="638" spans="2:4" x14ac:dyDescent="0.25">
      <c r="B638" s="239"/>
      <c r="C638" s="240"/>
      <c r="D638" s="241"/>
    </row>
    <row r="639" spans="2:4" x14ac:dyDescent="0.25">
      <c r="B639" s="242"/>
      <c r="C639" s="243"/>
      <c r="D639" s="244"/>
    </row>
    <row r="640" spans="2:4" x14ac:dyDescent="0.25">
      <c r="B640" s="37"/>
      <c r="C640" s="37"/>
      <c r="D640" s="37"/>
    </row>
    <row r="641" spans="2:4" x14ac:dyDescent="0.25">
      <c r="B641" s="37" t="s">
        <v>995</v>
      </c>
      <c r="C641" s="37"/>
      <c r="D641" s="37"/>
    </row>
    <row r="642" spans="2:4" x14ac:dyDescent="0.25">
      <c r="B642" s="236" t="s">
        <v>997</v>
      </c>
      <c r="C642" s="237"/>
      <c r="D642" s="238"/>
    </row>
    <row r="643" spans="2:4" x14ac:dyDescent="0.25">
      <c r="B643" s="239"/>
      <c r="C643" s="240"/>
      <c r="D643" s="241"/>
    </row>
    <row r="644" spans="2:4" x14ac:dyDescent="0.25">
      <c r="B644" s="239"/>
      <c r="C644" s="240"/>
      <c r="D644" s="241"/>
    </row>
    <row r="645" spans="2:4" x14ac:dyDescent="0.25">
      <c r="B645" s="239"/>
      <c r="C645" s="240"/>
      <c r="D645" s="241"/>
    </row>
    <row r="646" spans="2:4" x14ac:dyDescent="0.25">
      <c r="B646" s="239"/>
      <c r="C646" s="240"/>
      <c r="D646" s="241"/>
    </row>
    <row r="647" spans="2:4" x14ac:dyDescent="0.25">
      <c r="B647" s="239"/>
      <c r="C647" s="240"/>
      <c r="D647" s="241"/>
    </row>
    <row r="648" spans="2:4" x14ac:dyDescent="0.25">
      <c r="B648" s="239"/>
      <c r="C648" s="240"/>
      <c r="D648" s="241"/>
    </row>
    <row r="649" spans="2:4" x14ac:dyDescent="0.25">
      <c r="B649" s="239"/>
      <c r="C649" s="240"/>
      <c r="D649" s="241"/>
    </row>
    <row r="650" spans="2:4" x14ac:dyDescent="0.25">
      <c r="B650" s="239"/>
      <c r="C650" s="240"/>
      <c r="D650" s="241"/>
    </row>
    <row r="651" spans="2:4" x14ac:dyDescent="0.25">
      <c r="B651" s="239"/>
      <c r="C651" s="240"/>
      <c r="D651" s="241"/>
    </row>
    <row r="652" spans="2:4" x14ac:dyDescent="0.25">
      <c r="B652" s="239"/>
      <c r="C652" s="240"/>
      <c r="D652" s="241"/>
    </row>
    <row r="653" spans="2:4" x14ac:dyDescent="0.25">
      <c r="B653" s="239"/>
      <c r="C653" s="240"/>
      <c r="D653" s="241"/>
    </row>
    <row r="654" spans="2:4" x14ac:dyDescent="0.25">
      <c r="B654" s="239"/>
      <c r="C654" s="240"/>
      <c r="D654" s="241"/>
    </row>
    <row r="655" spans="2:4" x14ac:dyDescent="0.25">
      <c r="B655" s="239"/>
      <c r="C655" s="240"/>
      <c r="D655" s="241"/>
    </row>
    <row r="656" spans="2:4" x14ac:dyDescent="0.25">
      <c r="B656" s="242"/>
      <c r="C656" s="243"/>
      <c r="D656" s="244"/>
    </row>
    <row r="657" spans="2:4" x14ac:dyDescent="0.25">
      <c r="B657" s="37"/>
      <c r="C657" s="37"/>
      <c r="D657" s="37"/>
    </row>
    <row r="658" spans="2:4" x14ac:dyDescent="0.25">
      <c r="B658" s="37" t="s">
        <v>989</v>
      </c>
      <c r="C658" s="37"/>
      <c r="D658" s="37"/>
    </row>
    <row r="659" spans="2:4" x14ac:dyDescent="0.25">
      <c r="B659" s="236" t="s">
        <v>992</v>
      </c>
      <c r="C659" s="237"/>
      <c r="D659" s="238"/>
    </row>
    <row r="660" spans="2:4" x14ac:dyDescent="0.25">
      <c r="B660" s="239"/>
      <c r="C660" s="240"/>
      <c r="D660" s="241"/>
    </row>
    <row r="661" spans="2:4" x14ac:dyDescent="0.25">
      <c r="B661" s="239"/>
      <c r="C661" s="240"/>
      <c r="D661" s="241"/>
    </row>
    <row r="662" spans="2:4" x14ac:dyDescent="0.25">
      <c r="B662" s="239"/>
      <c r="C662" s="240"/>
      <c r="D662" s="241"/>
    </row>
    <row r="663" spans="2:4" x14ac:dyDescent="0.25">
      <c r="B663" s="239"/>
      <c r="C663" s="240"/>
      <c r="D663" s="241"/>
    </row>
    <row r="664" spans="2:4" x14ac:dyDescent="0.25">
      <c r="B664" s="239"/>
      <c r="C664" s="240"/>
      <c r="D664" s="241"/>
    </row>
    <row r="665" spans="2:4" x14ac:dyDescent="0.25">
      <c r="B665" s="239"/>
      <c r="C665" s="240"/>
      <c r="D665" s="241"/>
    </row>
    <row r="666" spans="2:4" x14ac:dyDescent="0.25">
      <c r="B666" s="242"/>
      <c r="C666" s="243"/>
      <c r="D666" s="244"/>
    </row>
    <row r="667" spans="2:4" x14ac:dyDescent="0.25">
      <c r="B667" s="37"/>
      <c r="C667" s="37"/>
      <c r="D667" s="37"/>
    </row>
    <row r="668" spans="2:4" x14ac:dyDescent="0.25">
      <c r="B668" s="37" t="s">
        <v>986</v>
      </c>
      <c r="C668" s="37"/>
      <c r="D668" s="37"/>
    </row>
    <row r="669" spans="2:4" x14ac:dyDescent="0.25">
      <c r="B669" s="236" t="s">
        <v>984</v>
      </c>
      <c r="C669" s="237"/>
      <c r="D669" s="238"/>
    </row>
    <row r="670" spans="2:4" x14ac:dyDescent="0.25">
      <c r="B670" s="239"/>
      <c r="C670" s="240"/>
      <c r="D670" s="241"/>
    </row>
    <row r="671" spans="2:4" x14ac:dyDescent="0.25">
      <c r="B671" s="239"/>
      <c r="C671" s="240"/>
      <c r="D671" s="241"/>
    </row>
    <row r="672" spans="2:4" x14ac:dyDescent="0.25">
      <c r="B672" s="239"/>
      <c r="C672" s="240"/>
      <c r="D672" s="241"/>
    </row>
    <row r="673" spans="2:4" x14ac:dyDescent="0.25">
      <c r="B673" s="239"/>
      <c r="C673" s="240"/>
      <c r="D673" s="241"/>
    </row>
    <row r="674" spans="2:4" x14ac:dyDescent="0.25">
      <c r="B674" s="239"/>
      <c r="C674" s="240"/>
      <c r="D674" s="241"/>
    </row>
    <row r="675" spans="2:4" x14ac:dyDescent="0.25">
      <c r="B675" s="239"/>
      <c r="C675" s="240"/>
      <c r="D675" s="241"/>
    </row>
    <row r="676" spans="2:4" x14ac:dyDescent="0.25">
      <c r="B676" s="242"/>
      <c r="C676" s="243"/>
      <c r="D676" s="244"/>
    </row>
    <row r="677" spans="2:4" x14ac:dyDescent="0.25">
      <c r="B677" s="90"/>
      <c r="C677" s="37"/>
      <c r="D677" s="37"/>
    </row>
    <row r="678" spans="2:4" x14ac:dyDescent="0.25">
      <c r="B678" s="37" t="s">
        <v>982</v>
      </c>
      <c r="C678" s="37"/>
      <c r="D678" s="37"/>
    </row>
    <row r="679" spans="2:4" x14ac:dyDescent="0.25">
      <c r="B679" s="236" t="s">
        <v>983</v>
      </c>
      <c r="C679" s="237"/>
      <c r="D679" s="238"/>
    </row>
    <row r="680" spans="2:4" x14ac:dyDescent="0.25">
      <c r="B680" s="239"/>
      <c r="C680" s="240"/>
      <c r="D680" s="241"/>
    </row>
    <row r="681" spans="2:4" x14ac:dyDescent="0.25">
      <c r="B681" s="242"/>
      <c r="C681" s="243"/>
      <c r="D681" s="244"/>
    </row>
    <row r="682" spans="2:4" x14ac:dyDescent="0.25">
      <c r="B682" s="37"/>
      <c r="C682" s="37"/>
      <c r="D682" s="37"/>
    </row>
    <row r="683" spans="2:4" x14ac:dyDescent="0.25">
      <c r="B683" s="37" t="s">
        <v>979</v>
      </c>
      <c r="C683" s="37"/>
      <c r="D683" s="37"/>
    </row>
    <row r="684" spans="2:4" x14ac:dyDescent="0.25">
      <c r="B684" s="236" t="s">
        <v>980</v>
      </c>
      <c r="C684" s="237"/>
      <c r="D684" s="238"/>
    </row>
    <row r="685" spans="2:4" x14ac:dyDescent="0.25">
      <c r="B685" s="239"/>
      <c r="C685" s="240"/>
      <c r="D685" s="241"/>
    </row>
    <row r="686" spans="2:4" x14ac:dyDescent="0.25">
      <c r="B686" s="239"/>
      <c r="C686" s="240"/>
      <c r="D686" s="241"/>
    </row>
    <row r="687" spans="2:4" x14ac:dyDescent="0.25">
      <c r="B687" s="239"/>
      <c r="C687" s="240"/>
      <c r="D687" s="241"/>
    </row>
    <row r="688" spans="2:4" x14ac:dyDescent="0.25">
      <c r="B688" s="239"/>
      <c r="C688" s="240"/>
      <c r="D688" s="241"/>
    </row>
    <row r="689" spans="2:4" x14ac:dyDescent="0.25">
      <c r="B689" s="242"/>
      <c r="C689" s="243"/>
      <c r="D689" s="244"/>
    </row>
    <row r="690" spans="2:4" x14ac:dyDescent="0.25">
      <c r="B690" s="37"/>
      <c r="C690" s="37"/>
      <c r="D690" s="37"/>
    </row>
    <row r="691" spans="2:4" x14ac:dyDescent="0.25">
      <c r="B691" s="37" t="s">
        <v>976</v>
      </c>
      <c r="C691" s="37"/>
      <c r="D691" s="37"/>
    </row>
    <row r="692" spans="2:4" x14ac:dyDescent="0.25">
      <c r="B692" s="236" t="s">
        <v>977</v>
      </c>
      <c r="C692" s="237"/>
      <c r="D692" s="238"/>
    </row>
    <row r="693" spans="2:4" x14ac:dyDescent="0.25">
      <c r="B693" s="239"/>
      <c r="C693" s="240"/>
      <c r="D693" s="241"/>
    </row>
    <row r="694" spans="2:4" x14ac:dyDescent="0.25">
      <c r="B694" s="242"/>
      <c r="C694" s="243"/>
      <c r="D694" s="244"/>
    </row>
    <row r="695" spans="2:4" x14ac:dyDescent="0.25">
      <c r="B695" s="37"/>
      <c r="C695" s="37"/>
      <c r="D695" s="37"/>
    </row>
    <row r="696" spans="2:4" x14ac:dyDescent="0.25">
      <c r="B696" s="37" t="s">
        <v>975</v>
      </c>
      <c r="C696" s="37"/>
      <c r="D696" s="37"/>
    </row>
    <row r="697" spans="2:4" x14ac:dyDescent="0.25">
      <c r="B697" s="236" t="s">
        <v>974</v>
      </c>
      <c r="C697" s="237"/>
      <c r="D697" s="238"/>
    </row>
    <row r="698" spans="2:4" x14ac:dyDescent="0.25">
      <c r="B698" s="239"/>
      <c r="C698" s="240"/>
      <c r="D698" s="241"/>
    </row>
    <row r="699" spans="2:4" x14ac:dyDescent="0.25">
      <c r="B699" s="242"/>
      <c r="C699" s="243"/>
      <c r="D699" s="244"/>
    </row>
    <row r="700" spans="2:4" x14ac:dyDescent="0.25">
      <c r="B700" s="37"/>
      <c r="C700" s="37"/>
      <c r="D700" s="37"/>
    </row>
    <row r="701" spans="2:4" x14ac:dyDescent="0.25">
      <c r="B701" s="37" t="s">
        <v>972</v>
      </c>
      <c r="C701" s="37"/>
      <c r="D701" s="37"/>
    </row>
    <row r="702" spans="2:4" x14ac:dyDescent="0.25">
      <c r="B702" s="236" t="s">
        <v>973</v>
      </c>
      <c r="C702" s="237"/>
      <c r="D702" s="238"/>
    </row>
    <row r="703" spans="2:4" x14ac:dyDescent="0.25">
      <c r="B703" s="239"/>
      <c r="C703" s="240"/>
      <c r="D703" s="241"/>
    </row>
    <row r="704" spans="2:4" x14ac:dyDescent="0.25">
      <c r="B704" s="239"/>
      <c r="C704" s="240"/>
      <c r="D704" s="241"/>
    </row>
    <row r="705" spans="2:4" x14ac:dyDescent="0.25">
      <c r="B705" s="239"/>
      <c r="C705" s="240"/>
      <c r="D705" s="241"/>
    </row>
    <row r="706" spans="2:4" x14ac:dyDescent="0.25">
      <c r="B706" s="242"/>
      <c r="C706" s="243"/>
      <c r="D706" s="244"/>
    </row>
    <row r="707" spans="2:4" x14ac:dyDescent="0.25">
      <c r="B707" s="37"/>
      <c r="C707" s="37"/>
      <c r="D707" s="37"/>
    </row>
    <row r="708" spans="2:4" x14ac:dyDescent="0.25">
      <c r="B708" s="37" t="s">
        <v>969</v>
      </c>
      <c r="C708" s="37"/>
      <c r="D708" s="37"/>
    </row>
    <row r="709" spans="2:4" x14ac:dyDescent="0.25">
      <c r="B709" s="236" t="s">
        <v>970</v>
      </c>
      <c r="C709" s="237"/>
      <c r="D709" s="238"/>
    </row>
    <row r="710" spans="2:4" x14ac:dyDescent="0.25">
      <c r="B710" s="239"/>
      <c r="C710" s="240"/>
      <c r="D710" s="241"/>
    </row>
    <row r="711" spans="2:4" x14ac:dyDescent="0.25">
      <c r="B711" s="239"/>
      <c r="C711" s="240"/>
      <c r="D711" s="241"/>
    </row>
    <row r="712" spans="2:4" x14ac:dyDescent="0.25">
      <c r="B712" s="239"/>
      <c r="C712" s="240"/>
      <c r="D712" s="241"/>
    </row>
    <row r="713" spans="2:4" x14ac:dyDescent="0.25">
      <c r="B713" s="239"/>
      <c r="C713" s="240"/>
      <c r="D713" s="241"/>
    </row>
    <row r="714" spans="2:4" x14ac:dyDescent="0.25">
      <c r="B714" s="239"/>
      <c r="C714" s="240"/>
      <c r="D714" s="241"/>
    </row>
    <row r="715" spans="2:4" x14ac:dyDescent="0.25">
      <c r="B715" s="239"/>
      <c r="C715" s="240"/>
      <c r="D715" s="241"/>
    </row>
    <row r="716" spans="2:4" x14ac:dyDescent="0.25">
      <c r="B716" s="239"/>
      <c r="C716" s="240"/>
      <c r="D716" s="241"/>
    </row>
    <row r="717" spans="2:4" x14ac:dyDescent="0.25">
      <c r="B717" s="239"/>
      <c r="C717" s="240"/>
      <c r="D717" s="241"/>
    </row>
    <row r="718" spans="2:4" x14ac:dyDescent="0.25">
      <c r="B718" s="239"/>
      <c r="C718" s="240"/>
      <c r="D718" s="241"/>
    </row>
    <row r="719" spans="2:4" x14ac:dyDescent="0.25">
      <c r="B719" s="239"/>
      <c r="C719" s="240"/>
      <c r="D719" s="241"/>
    </row>
    <row r="720" spans="2:4" x14ac:dyDescent="0.25">
      <c r="B720" s="239"/>
      <c r="C720" s="240"/>
      <c r="D720" s="241"/>
    </row>
    <row r="721" spans="2:4" x14ac:dyDescent="0.25">
      <c r="B721" s="239"/>
      <c r="C721" s="240"/>
      <c r="D721" s="241"/>
    </row>
    <row r="722" spans="2:4" x14ac:dyDescent="0.25">
      <c r="B722" s="239"/>
      <c r="C722" s="240"/>
      <c r="D722" s="241"/>
    </row>
    <row r="723" spans="2:4" x14ac:dyDescent="0.25">
      <c r="B723" s="239"/>
      <c r="C723" s="240"/>
      <c r="D723" s="241"/>
    </row>
    <row r="724" spans="2:4" x14ac:dyDescent="0.25">
      <c r="B724" s="242"/>
      <c r="C724" s="243"/>
      <c r="D724" s="244"/>
    </row>
    <row r="725" spans="2:4" x14ac:dyDescent="0.25">
      <c r="B725" s="37"/>
      <c r="C725" s="37"/>
      <c r="D725" s="37"/>
    </row>
    <row r="726" spans="2:4" x14ac:dyDescent="0.25">
      <c r="B726" s="37" t="s">
        <v>967</v>
      </c>
      <c r="C726" s="37"/>
      <c r="D726" s="37"/>
    </row>
    <row r="727" spans="2:4" x14ac:dyDescent="0.25">
      <c r="B727" s="236" t="s">
        <v>968</v>
      </c>
      <c r="C727" s="237"/>
      <c r="D727" s="238"/>
    </row>
    <row r="728" spans="2:4" x14ac:dyDescent="0.25">
      <c r="B728" s="239"/>
      <c r="C728" s="240"/>
      <c r="D728" s="241"/>
    </row>
    <row r="729" spans="2:4" x14ac:dyDescent="0.25">
      <c r="B729" s="239"/>
      <c r="C729" s="240"/>
      <c r="D729" s="241"/>
    </row>
    <row r="730" spans="2:4" x14ac:dyDescent="0.25">
      <c r="B730" s="239"/>
      <c r="C730" s="240"/>
      <c r="D730" s="241"/>
    </row>
    <row r="731" spans="2:4" x14ac:dyDescent="0.25">
      <c r="B731" s="239"/>
      <c r="C731" s="240"/>
      <c r="D731" s="241"/>
    </row>
    <row r="732" spans="2:4" x14ac:dyDescent="0.25">
      <c r="B732" s="242"/>
      <c r="C732" s="243"/>
      <c r="D732" s="244"/>
    </row>
    <row r="733" spans="2:4" x14ac:dyDescent="0.25">
      <c r="B733" s="37"/>
      <c r="C733" s="37"/>
      <c r="D733" s="37"/>
    </row>
    <row r="734" spans="2:4" x14ac:dyDescent="0.25">
      <c r="B734" s="37" t="s">
        <v>965</v>
      </c>
      <c r="C734" s="37"/>
      <c r="D734" s="37"/>
    </row>
    <row r="735" spans="2:4" x14ac:dyDescent="0.25">
      <c r="B735" s="236" t="s">
        <v>966</v>
      </c>
      <c r="C735" s="237"/>
      <c r="D735" s="238"/>
    </row>
    <row r="736" spans="2:4" x14ac:dyDescent="0.25">
      <c r="B736" s="239"/>
      <c r="C736" s="240"/>
      <c r="D736" s="241"/>
    </row>
    <row r="737" spans="2:4" x14ac:dyDescent="0.25">
      <c r="B737" s="239"/>
      <c r="C737" s="240"/>
      <c r="D737" s="241"/>
    </row>
    <row r="738" spans="2:4" x14ac:dyDescent="0.25">
      <c r="B738" s="239"/>
      <c r="C738" s="240"/>
      <c r="D738" s="241"/>
    </row>
    <row r="739" spans="2:4" x14ac:dyDescent="0.25">
      <c r="B739" s="239"/>
      <c r="C739" s="240"/>
      <c r="D739" s="241"/>
    </row>
    <row r="740" spans="2:4" x14ac:dyDescent="0.25">
      <c r="B740" s="239"/>
      <c r="C740" s="240"/>
      <c r="D740" s="241"/>
    </row>
    <row r="741" spans="2:4" x14ac:dyDescent="0.25">
      <c r="B741" s="242"/>
      <c r="C741" s="243"/>
      <c r="D741" s="244"/>
    </row>
    <row r="742" spans="2:4" x14ac:dyDescent="0.25">
      <c r="B742" s="37"/>
      <c r="C742" s="37"/>
      <c r="D742" s="37"/>
    </row>
    <row r="743" spans="2:4" x14ac:dyDescent="0.25">
      <c r="B743" s="37" t="s">
        <v>964</v>
      </c>
      <c r="C743" s="37"/>
      <c r="D743" s="37"/>
    </row>
    <row r="744" spans="2:4" x14ac:dyDescent="0.25">
      <c r="B744" s="236" t="s">
        <v>963</v>
      </c>
      <c r="C744" s="237"/>
      <c r="D744" s="238"/>
    </row>
    <row r="745" spans="2:4" x14ac:dyDescent="0.25">
      <c r="B745" s="239"/>
      <c r="C745" s="240"/>
      <c r="D745" s="241"/>
    </row>
    <row r="746" spans="2:4" x14ac:dyDescent="0.25">
      <c r="B746" s="239"/>
      <c r="C746" s="240"/>
      <c r="D746" s="241"/>
    </row>
    <row r="747" spans="2:4" x14ac:dyDescent="0.25">
      <c r="B747" s="239"/>
      <c r="C747" s="240"/>
      <c r="D747" s="241"/>
    </row>
    <row r="748" spans="2:4" x14ac:dyDescent="0.25">
      <c r="B748" s="239"/>
      <c r="C748" s="240"/>
      <c r="D748" s="241"/>
    </row>
    <row r="749" spans="2:4" x14ac:dyDescent="0.25">
      <c r="B749" s="239"/>
      <c r="C749" s="240"/>
      <c r="D749" s="241"/>
    </row>
    <row r="750" spans="2:4" x14ac:dyDescent="0.25">
      <c r="B750" s="239"/>
      <c r="C750" s="240"/>
      <c r="D750" s="241"/>
    </row>
    <row r="751" spans="2:4" x14ac:dyDescent="0.25">
      <c r="B751" s="239"/>
      <c r="C751" s="240"/>
      <c r="D751" s="241"/>
    </row>
    <row r="752" spans="2:4" x14ac:dyDescent="0.25">
      <c r="B752" s="239"/>
      <c r="C752" s="240"/>
      <c r="D752" s="241"/>
    </row>
    <row r="753" spans="2:4" x14ac:dyDescent="0.25">
      <c r="B753" s="239"/>
      <c r="C753" s="240"/>
      <c r="D753" s="241"/>
    </row>
    <row r="754" spans="2:4" x14ac:dyDescent="0.25">
      <c r="B754" s="239"/>
      <c r="C754" s="240"/>
      <c r="D754" s="241"/>
    </row>
    <row r="755" spans="2:4" x14ac:dyDescent="0.25">
      <c r="B755" s="242"/>
      <c r="C755" s="243"/>
      <c r="D755" s="244"/>
    </row>
    <row r="756" spans="2:4" x14ac:dyDescent="0.25">
      <c r="B756" s="37"/>
      <c r="C756" s="37"/>
      <c r="D756" s="37"/>
    </row>
    <row r="757" spans="2:4" x14ac:dyDescent="0.25">
      <c r="B757" s="37" t="s">
        <v>985</v>
      </c>
      <c r="C757" s="37"/>
      <c r="D757" s="37"/>
    </row>
    <row r="758" spans="2:4" x14ac:dyDescent="0.25">
      <c r="B758" s="236" t="s">
        <v>961</v>
      </c>
      <c r="C758" s="237"/>
      <c r="D758" s="238"/>
    </row>
    <row r="759" spans="2:4" x14ac:dyDescent="0.25">
      <c r="B759" s="239"/>
      <c r="C759" s="240"/>
      <c r="D759" s="241"/>
    </row>
    <row r="760" spans="2:4" x14ac:dyDescent="0.25">
      <c r="B760" s="239"/>
      <c r="C760" s="240"/>
      <c r="D760" s="241"/>
    </row>
    <row r="761" spans="2:4" x14ac:dyDescent="0.25">
      <c r="B761" s="239"/>
      <c r="C761" s="240"/>
      <c r="D761" s="241"/>
    </row>
    <row r="762" spans="2:4" x14ac:dyDescent="0.25">
      <c r="B762" s="239"/>
      <c r="C762" s="240"/>
      <c r="D762" s="241"/>
    </row>
    <row r="763" spans="2:4" x14ac:dyDescent="0.25">
      <c r="B763" s="239"/>
      <c r="C763" s="240"/>
      <c r="D763" s="241"/>
    </row>
    <row r="764" spans="2:4" x14ac:dyDescent="0.25">
      <c r="B764" s="239"/>
      <c r="C764" s="240"/>
      <c r="D764" s="241"/>
    </row>
    <row r="765" spans="2:4" x14ac:dyDescent="0.25">
      <c r="B765" s="239"/>
      <c r="C765" s="240"/>
      <c r="D765" s="241"/>
    </row>
    <row r="766" spans="2:4" x14ac:dyDescent="0.25">
      <c r="B766" s="239"/>
      <c r="C766" s="240"/>
      <c r="D766" s="241"/>
    </row>
    <row r="767" spans="2:4" x14ac:dyDescent="0.25">
      <c r="B767" s="239"/>
      <c r="C767" s="240"/>
      <c r="D767" s="241"/>
    </row>
    <row r="768" spans="2:4" x14ac:dyDescent="0.25">
      <c r="B768" s="239"/>
      <c r="C768" s="240"/>
      <c r="D768" s="241"/>
    </row>
    <row r="769" spans="2:4" x14ac:dyDescent="0.25">
      <c r="B769" s="239"/>
      <c r="C769" s="240"/>
      <c r="D769" s="241"/>
    </row>
    <row r="770" spans="2:4" x14ac:dyDescent="0.25">
      <c r="B770" s="242"/>
      <c r="C770" s="243"/>
      <c r="D770" s="244"/>
    </row>
    <row r="771" spans="2:4" x14ac:dyDescent="0.25">
      <c r="B771" s="37"/>
      <c r="C771" s="37"/>
      <c r="D771" s="37"/>
    </row>
    <row r="772" spans="2:4" x14ac:dyDescent="0.25">
      <c r="B772" s="37" t="s">
        <v>957</v>
      </c>
      <c r="C772" s="37"/>
      <c r="D772" s="37"/>
    </row>
    <row r="773" spans="2:4" x14ac:dyDescent="0.25">
      <c r="B773" s="236" t="s">
        <v>971</v>
      </c>
      <c r="C773" s="237"/>
      <c r="D773" s="238"/>
    </row>
    <row r="774" spans="2:4" x14ac:dyDescent="0.25">
      <c r="B774" s="239"/>
      <c r="C774" s="240"/>
      <c r="D774" s="241"/>
    </row>
    <row r="775" spans="2:4" x14ac:dyDescent="0.25">
      <c r="B775" s="239"/>
      <c r="C775" s="240"/>
      <c r="D775" s="241"/>
    </row>
    <row r="776" spans="2:4" x14ac:dyDescent="0.25">
      <c r="B776" s="239"/>
      <c r="C776" s="240"/>
      <c r="D776" s="241"/>
    </row>
    <row r="777" spans="2:4" x14ac:dyDescent="0.25">
      <c r="B777" s="239"/>
      <c r="C777" s="240"/>
      <c r="D777" s="241"/>
    </row>
    <row r="778" spans="2:4" x14ac:dyDescent="0.25">
      <c r="B778" s="239"/>
      <c r="C778" s="240"/>
      <c r="D778" s="241"/>
    </row>
    <row r="779" spans="2:4" x14ac:dyDescent="0.25">
      <c r="B779" s="239"/>
      <c r="C779" s="240"/>
      <c r="D779" s="241"/>
    </row>
    <row r="780" spans="2:4" x14ac:dyDescent="0.25">
      <c r="B780" s="239"/>
      <c r="C780" s="240"/>
      <c r="D780" s="241"/>
    </row>
    <row r="781" spans="2:4" x14ac:dyDescent="0.25">
      <c r="B781" s="239"/>
      <c r="C781" s="240"/>
      <c r="D781" s="241"/>
    </row>
    <row r="782" spans="2:4" x14ac:dyDescent="0.25">
      <c r="B782" s="239"/>
      <c r="C782" s="240"/>
      <c r="D782" s="241"/>
    </row>
    <row r="783" spans="2:4" x14ac:dyDescent="0.25">
      <c r="B783" s="239"/>
      <c r="C783" s="240"/>
      <c r="D783" s="241"/>
    </row>
    <row r="784" spans="2:4" x14ac:dyDescent="0.25">
      <c r="B784" s="242"/>
      <c r="C784" s="243"/>
      <c r="D784" s="244"/>
    </row>
    <row r="785" spans="2:4" x14ac:dyDescent="0.25">
      <c r="B785" s="37"/>
      <c r="C785" s="37"/>
      <c r="D785" s="37"/>
    </row>
    <row r="786" spans="2:4" x14ac:dyDescent="0.25">
      <c r="B786" s="37" t="s">
        <v>956</v>
      </c>
      <c r="C786" s="37"/>
      <c r="D786" s="37"/>
    </row>
    <row r="787" spans="2:4" x14ac:dyDescent="0.25">
      <c r="B787" s="236" t="s">
        <v>955</v>
      </c>
      <c r="C787" s="237"/>
      <c r="D787" s="238"/>
    </row>
    <row r="788" spans="2:4" x14ac:dyDescent="0.25">
      <c r="B788" s="239"/>
      <c r="C788" s="240"/>
      <c r="D788" s="241"/>
    </row>
    <row r="789" spans="2:4" x14ac:dyDescent="0.25">
      <c r="B789" s="239"/>
      <c r="C789" s="240"/>
      <c r="D789" s="241"/>
    </row>
    <row r="790" spans="2:4" x14ac:dyDescent="0.25">
      <c r="B790" s="239"/>
      <c r="C790" s="240"/>
      <c r="D790" s="241"/>
    </row>
    <row r="791" spans="2:4" x14ac:dyDescent="0.25">
      <c r="B791" s="239"/>
      <c r="C791" s="240"/>
      <c r="D791" s="241"/>
    </row>
    <row r="792" spans="2:4" x14ac:dyDescent="0.25">
      <c r="B792" s="239"/>
      <c r="C792" s="240"/>
      <c r="D792" s="241"/>
    </row>
    <row r="793" spans="2:4" x14ac:dyDescent="0.25">
      <c r="B793" s="239"/>
      <c r="C793" s="240"/>
      <c r="D793" s="241"/>
    </row>
    <row r="794" spans="2:4" x14ac:dyDescent="0.25">
      <c r="B794" s="239"/>
      <c r="C794" s="240"/>
      <c r="D794" s="241"/>
    </row>
    <row r="795" spans="2:4" x14ac:dyDescent="0.25">
      <c r="B795" s="239"/>
      <c r="C795" s="240"/>
      <c r="D795" s="241"/>
    </row>
    <row r="796" spans="2:4" x14ac:dyDescent="0.25">
      <c r="B796" s="239"/>
      <c r="C796" s="240"/>
      <c r="D796" s="241"/>
    </row>
    <row r="797" spans="2:4" x14ac:dyDescent="0.25">
      <c r="B797" s="239"/>
      <c r="C797" s="240"/>
      <c r="D797" s="241"/>
    </row>
    <row r="798" spans="2:4" x14ac:dyDescent="0.25">
      <c r="B798" s="239"/>
      <c r="C798" s="240"/>
      <c r="D798" s="241"/>
    </row>
    <row r="799" spans="2:4" x14ac:dyDescent="0.25">
      <c r="B799" s="242"/>
      <c r="C799" s="243"/>
      <c r="D799" s="244"/>
    </row>
    <row r="800" spans="2:4" x14ac:dyDescent="0.25">
      <c r="B800" s="37"/>
      <c r="C800" s="37"/>
      <c r="D800" s="37"/>
    </row>
    <row r="801" spans="2:4" x14ac:dyDescent="0.25">
      <c r="B801" s="37" t="s">
        <v>838</v>
      </c>
      <c r="C801" s="37"/>
      <c r="D801" s="37"/>
    </row>
    <row r="802" spans="2:4" x14ac:dyDescent="0.25">
      <c r="B802" s="236" t="s">
        <v>840</v>
      </c>
      <c r="C802" s="237"/>
      <c r="D802" s="238"/>
    </row>
    <row r="803" spans="2:4" x14ac:dyDescent="0.25">
      <c r="B803" s="239"/>
      <c r="C803" s="240"/>
      <c r="D803" s="241"/>
    </row>
    <row r="804" spans="2:4" x14ac:dyDescent="0.25">
      <c r="B804" s="239"/>
      <c r="C804" s="240"/>
      <c r="D804" s="241"/>
    </row>
    <row r="805" spans="2:4" x14ac:dyDescent="0.25">
      <c r="B805" s="239"/>
      <c r="C805" s="240"/>
      <c r="D805" s="241"/>
    </row>
    <row r="806" spans="2:4" x14ac:dyDescent="0.25">
      <c r="B806" s="239"/>
      <c r="C806" s="240"/>
      <c r="D806" s="241"/>
    </row>
    <row r="807" spans="2:4" x14ac:dyDescent="0.25">
      <c r="B807" s="239"/>
      <c r="C807" s="240"/>
      <c r="D807" s="241"/>
    </row>
    <row r="808" spans="2:4" x14ac:dyDescent="0.25">
      <c r="B808" s="239"/>
      <c r="C808" s="240"/>
      <c r="D808" s="241"/>
    </row>
    <row r="809" spans="2:4" x14ac:dyDescent="0.25">
      <c r="B809" s="239"/>
      <c r="C809" s="240"/>
      <c r="D809" s="241"/>
    </row>
    <row r="810" spans="2:4" x14ac:dyDescent="0.25">
      <c r="B810" s="239"/>
      <c r="C810" s="240"/>
      <c r="D810" s="241"/>
    </row>
    <row r="811" spans="2:4" x14ac:dyDescent="0.25">
      <c r="B811" s="239"/>
      <c r="C811" s="240"/>
      <c r="D811" s="241"/>
    </row>
    <row r="812" spans="2:4" x14ac:dyDescent="0.25">
      <c r="B812" s="242"/>
      <c r="C812" s="243"/>
      <c r="D812" s="244"/>
    </row>
    <row r="813" spans="2:4" x14ac:dyDescent="0.25">
      <c r="B813" s="37"/>
      <c r="C813" s="37"/>
      <c r="D813" s="37"/>
    </row>
    <row r="814" spans="2:4" x14ac:dyDescent="0.25">
      <c r="B814" s="37" t="s">
        <v>839</v>
      </c>
      <c r="C814" s="37"/>
      <c r="D814" s="37"/>
    </row>
    <row r="815" spans="2:4" x14ac:dyDescent="0.25">
      <c r="B815" s="249" t="s">
        <v>837</v>
      </c>
      <c r="C815" s="250"/>
      <c r="D815" s="251"/>
    </row>
    <row r="816" spans="2:4" x14ac:dyDescent="0.25">
      <c r="B816" s="252"/>
      <c r="C816" s="253"/>
      <c r="D816" s="254"/>
    </row>
    <row r="817" spans="2:4" x14ac:dyDescent="0.25">
      <c r="B817" s="255"/>
      <c r="C817" s="256"/>
      <c r="D817" s="257"/>
    </row>
    <row r="818" spans="2:4" x14ac:dyDescent="0.25">
      <c r="B818" s="37"/>
      <c r="C818" s="37"/>
      <c r="D818" s="37"/>
    </row>
    <row r="819" spans="2:4" x14ac:dyDescent="0.25">
      <c r="B819" s="37" t="s">
        <v>835</v>
      </c>
      <c r="C819" s="37"/>
      <c r="D819" s="37"/>
    </row>
    <row r="820" spans="2:4" x14ac:dyDescent="0.25">
      <c r="B820" s="236" t="s">
        <v>836</v>
      </c>
      <c r="C820" s="237"/>
      <c r="D820" s="238"/>
    </row>
    <row r="821" spans="2:4" x14ac:dyDescent="0.25">
      <c r="B821" s="239"/>
      <c r="C821" s="240"/>
      <c r="D821" s="241"/>
    </row>
    <row r="822" spans="2:4" x14ac:dyDescent="0.25">
      <c r="B822" s="242"/>
      <c r="C822" s="243"/>
      <c r="D822" s="244"/>
    </row>
    <row r="823" spans="2:4" x14ac:dyDescent="0.25">
      <c r="B823" s="37"/>
      <c r="C823" s="37"/>
      <c r="D823" s="37"/>
    </row>
    <row r="824" spans="2:4" x14ac:dyDescent="0.25">
      <c r="B824" s="37" t="s">
        <v>832</v>
      </c>
      <c r="C824" s="37"/>
      <c r="D824" s="37"/>
    </row>
    <row r="825" spans="2:4" x14ac:dyDescent="0.25">
      <c r="B825" s="236" t="s">
        <v>833</v>
      </c>
      <c r="C825" s="237"/>
      <c r="D825" s="238"/>
    </row>
    <row r="826" spans="2:4" x14ac:dyDescent="0.25">
      <c r="B826" s="239"/>
      <c r="C826" s="240"/>
      <c r="D826" s="241"/>
    </row>
    <row r="827" spans="2:4" x14ac:dyDescent="0.25">
      <c r="B827" s="242"/>
      <c r="C827" s="243"/>
      <c r="D827" s="244"/>
    </row>
    <row r="828" spans="2:4" x14ac:dyDescent="0.25">
      <c r="B828" s="37"/>
      <c r="C828" s="37"/>
      <c r="D828" s="37"/>
    </row>
    <row r="829" spans="2:4" x14ac:dyDescent="0.25">
      <c r="B829" s="37" t="s">
        <v>824</v>
      </c>
      <c r="C829" s="37"/>
      <c r="D829" s="37"/>
    </row>
    <row r="830" spans="2:4" x14ac:dyDescent="0.25">
      <c r="B830" s="236" t="s">
        <v>825</v>
      </c>
      <c r="C830" s="237"/>
      <c r="D830" s="238"/>
    </row>
    <row r="831" spans="2:4" x14ac:dyDescent="0.25">
      <c r="B831" s="239"/>
      <c r="C831" s="240"/>
      <c r="D831" s="241"/>
    </row>
    <row r="832" spans="2:4" x14ac:dyDescent="0.25">
      <c r="B832" s="239"/>
      <c r="C832" s="240"/>
      <c r="D832" s="241"/>
    </row>
    <row r="833" spans="2:4" x14ac:dyDescent="0.25">
      <c r="B833" s="242"/>
      <c r="C833" s="243"/>
      <c r="D833" s="244"/>
    </row>
    <row r="834" spans="2:4" x14ac:dyDescent="0.25">
      <c r="B834" s="37"/>
      <c r="C834" s="37"/>
      <c r="D834" s="37"/>
    </row>
    <row r="835" spans="2:4" x14ac:dyDescent="0.25">
      <c r="B835" s="37" t="s">
        <v>819</v>
      </c>
      <c r="C835" s="37"/>
      <c r="D835" s="37"/>
    </row>
    <row r="836" spans="2:4" x14ac:dyDescent="0.25">
      <c r="B836" s="236" t="s">
        <v>823</v>
      </c>
      <c r="C836" s="250"/>
      <c r="D836" s="251"/>
    </row>
    <row r="837" spans="2:4" x14ac:dyDescent="0.25">
      <c r="B837" s="252"/>
      <c r="C837" s="253"/>
      <c r="D837" s="254"/>
    </row>
    <row r="838" spans="2:4" x14ac:dyDescent="0.25">
      <c r="B838" s="252"/>
      <c r="C838" s="253"/>
      <c r="D838" s="254"/>
    </row>
    <row r="839" spans="2:4" x14ac:dyDescent="0.25">
      <c r="B839" s="252"/>
      <c r="C839" s="253"/>
      <c r="D839" s="254"/>
    </row>
    <row r="840" spans="2:4" x14ac:dyDescent="0.25">
      <c r="B840" s="255"/>
      <c r="C840" s="256"/>
      <c r="D840" s="257"/>
    </row>
    <row r="841" spans="2:4" x14ac:dyDescent="0.25">
      <c r="B841" s="37"/>
      <c r="C841" s="37"/>
      <c r="D841" s="37"/>
    </row>
    <row r="842" spans="2:4" x14ac:dyDescent="0.25">
      <c r="B842" s="37" t="s">
        <v>818</v>
      </c>
      <c r="C842" s="37"/>
      <c r="D842" s="37"/>
    </row>
    <row r="843" spans="2:4" x14ac:dyDescent="0.25">
      <c r="B843" s="236" t="s">
        <v>822</v>
      </c>
      <c r="C843" s="237"/>
      <c r="D843" s="238"/>
    </row>
    <row r="844" spans="2:4" x14ac:dyDescent="0.25">
      <c r="B844" s="239"/>
      <c r="C844" s="240"/>
      <c r="D844" s="241"/>
    </row>
    <row r="845" spans="2:4" x14ac:dyDescent="0.25">
      <c r="B845" s="239"/>
      <c r="C845" s="240"/>
      <c r="D845" s="241"/>
    </row>
    <row r="846" spans="2:4" x14ac:dyDescent="0.25">
      <c r="B846" s="239"/>
      <c r="C846" s="240"/>
      <c r="D846" s="241"/>
    </row>
    <row r="847" spans="2:4" x14ac:dyDescent="0.25">
      <c r="B847" s="239"/>
      <c r="C847" s="240"/>
      <c r="D847" s="241"/>
    </row>
    <row r="848" spans="2:4" x14ac:dyDescent="0.25">
      <c r="B848" s="239"/>
      <c r="C848" s="240"/>
      <c r="D848" s="241"/>
    </row>
    <row r="849" spans="2:4" x14ac:dyDescent="0.25">
      <c r="B849" s="239"/>
      <c r="C849" s="240"/>
      <c r="D849" s="241"/>
    </row>
    <row r="850" spans="2:4" x14ac:dyDescent="0.25">
      <c r="B850" s="239"/>
      <c r="C850" s="240"/>
      <c r="D850" s="241"/>
    </row>
    <row r="851" spans="2:4" x14ac:dyDescent="0.25">
      <c r="B851" s="239"/>
      <c r="C851" s="240"/>
      <c r="D851" s="241"/>
    </row>
    <row r="852" spans="2:4" x14ac:dyDescent="0.25">
      <c r="B852" s="239"/>
      <c r="C852" s="240"/>
      <c r="D852" s="241"/>
    </row>
    <row r="853" spans="2:4" x14ac:dyDescent="0.25">
      <c r="B853" s="239"/>
      <c r="C853" s="240"/>
      <c r="D853" s="241"/>
    </row>
    <row r="854" spans="2:4" x14ac:dyDescent="0.25">
      <c r="B854" s="239"/>
      <c r="C854" s="240"/>
      <c r="D854" s="241"/>
    </row>
    <row r="855" spans="2:4" x14ac:dyDescent="0.25">
      <c r="B855" s="239"/>
      <c r="C855" s="240"/>
      <c r="D855" s="241"/>
    </row>
    <row r="856" spans="2:4" x14ac:dyDescent="0.25">
      <c r="B856" s="239"/>
      <c r="C856" s="240"/>
      <c r="D856" s="241"/>
    </row>
    <row r="857" spans="2:4" x14ac:dyDescent="0.25">
      <c r="B857" s="239"/>
      <c r="C857" s="240"/>
      <c r="D857" s="241"/>
    </row>
    <row r="858" spans="2:4" x14ac:dyDescent="0.25">
      <c r="B858" s="239"/>
      <c r="C858" s="240"/>
      <c r="D858" s="241"/>
    </row>
    <row r="859" spans="2:4" x14ac:dyDescent="0.25">
      <c r="B859" s="239"/>
      <c r="C859" s="240"/>
      <c r="D859" s="241"/>
    </row>
    <row r="860" spans="2:4" x14ac:dyDescent="0.25">
      <c r="B860" s="239"/>
      <c r="C860" s="240"/>
      <c r="D860" s="241"/>
    </row>
    <row r="861" spans="2:4" x14ac:dyDescent="0.25">
      <c r="B861" s="239"/>
      <c r="C861" s="240"/>
      <c r="D861" s="241"/>
    </row>
    <row r="862" spans="2:4" x14ac:dyDescent="0.25">
      <c r="B862" s="239"/>
      <c r="C862" s="240"/>
      <c r="D862" s="241"/>
    </row>
    <row r="863" spans="2:4" x14ac:dyDescent="0.25">
      <c r="B863" s="239"/>
      <c r="C863" s="240"/>
      <c r="D863" s="241"/>
    </row>
    <row r="864" spans="2:4" x14ac:dyDescent="0.25">
      <c r="B864" s="239"/>
      <c r="C864" s="240"/>
      <c r="D864" s="241"/>
    </row>
    <row r="865" spans="2:4" x14ac:dyDescent="0.25">
      <c r="B865" s="239"/>
      <c r="C865" s="240"/>
      <c r="D865" s="241"/>
    </row>
    <row r="866" spans="2:4" x14ac:dyDescent="0.25">
      <c r="B866" s="239"/>
      <c r="C866" s="240"/>
      <c r="D866" s="241"/>
    </row>
    <row r="867" spans="2:4" x14ac:dyDescent="0.25">
      <c r="B867" s="239"/>
      <c r="C867" s="240"/>
      <c r="D867" s="241"/>
    </row>
    <row r="868" spans="2:4" x14ac:dyDescent="0.25">
      <c r="B868" s="239"/>
      <c r="C868" s="240"/>
      <c r="D868" s="241"/>
    </row>
    <row r="869" spans="2:4" x14ac:dyDescent="0.25">
      <c r="B869" s="239"/>
      <c r="C869" s="240"/>
      <c r="D869" s="241"/>
    </row>
    <row r="870" spans="2:4" x14ac:dyDescent="0.25">
      <c r="B870" s="239"/>
      <c r="C870" s="240"/>
      <c r="D870" s="241"/>
    </row>
    <row r="871" spans="2:4" x14ac:dyDescent="0.25">
      <c r="B871" s="239"/>
      <c r="C871" s="240"/>
      <c r="D871" s="241"/>
    </row>
    <row r="872" spans="2:4" x14ac:dyDescent="0.25">
      <c r="B872" s="239"/>
      <c r="C872" s="240"/>
      <c r="D872" s="241"/>
    </row>
    <row r="873" spans="2:4" x14ac:dyDescent="0.25">
      <c r="B873" s="239"/>
      <c r="C873" s="240"/>
      <c r="D873" s="241"/>
    </row>
    <row r="874" spans="2:4" x14ac:dyDescent="0.25">
      <c r="B874" s="242"/>
      <c r="C874" s="243"/>
      <c r="D874" s="244"/>
    </row>
    <row r="875" spans="2:4" x14ac:dyDescent="0.25">
      <c r="B875" s="37"/>
      <c r="C875" s="37"/>
      <c r="D875" s="43"/>
    </row>
    <row r="876" spans="2:4" x14ac:dyDescent="0.25">
      <c r="B876" s="37" t="s">
        <v>831</v>
      </c>
      <c r="C876" s="37"/>
      <c r="D876" s="43"/>
    </row>
    <row r="877" spans="2:4" x14ac:dyDescent="0.25">
      <c r="B877" s="236" t="s">
        <v>797</v>
      </c>
      <c r="C877" s="237"/>
      <c r="D877" s="238"/>
    </row>
    <row r="878" spans="2:4" x14ac:dyDescent="0.25">
      <c r="B878" s="239"/>
      <c r="C878" s="240"/>
      <c r="D878" s="241"/>
    </row>
    <row r="879" spans="2:4" x14ac:dyDescent="0.25">
      <c r="B879" s="239"/>
      <c r="C879" s="240"/>
      <c r="D879" s="241"/>
    </row>
    <row r="880" spans="2:4" x14ac:dyDescent="0.25">
      <c r="B880" s="239"/>
      <c r="C880" s="240"/>
      <c r="D880" s="241"/>
    </row>
    <row r="881" spans="2:4" x14ac:dyDescent="0.25">
      <c r="B881" s="239"/>
      <c r="C881" s="240"/>
      <c r="D881" s="241"/>
    </row>
    <row r="882" spans="2:4" x14ac:dyDescent="0.25">
      <c r="B882" s="239"/>
      <c r="C882" s="240"/>
      <c r="D882" s="241"/>
    </row>
    <row r="883" spans="2:4" x14ac:dyDescent="0.25">
      <c r="B883" s="239"/>
      <c r="C883" s="240"/>
      <c r="D883" s="241"/>
    </row>
    <row r="884" spans="2:4" x14ac:dyDescent="0.25">
      <c r="B884" s="239"/>
      <c r="C884" s="240"/>
      <c r="D884" s="241"/>
    </row>
    <row r="885" spans="2:4" x14ac:dyDescent="0.25">
      <c r="B885" s="239"/>
      <c r="C885" s="240"/>
      <c r="D885" s="241"/>
    </row>
    <row r="886" spans="2:4" x14ac:dyDescent="0.25">
      <c r="B886" s="242"/>
      <c r="C886" s="243"/>
      <c r="D886" s="244"/>
    </row>
    <row r="887" spans="2:4" x14ac:dyDescent="0.25">
      <c r="B887" s="37"/>
      <c r="C887" s="37"/>
      <c r="D887" s="43"/>
    </row>
    <row r="888" spans="2:4" x14ac:dyDescent="0.25">
      <c r="B888" s="37" t="s">
        <v>830</v>
      </c>
      <c r="C888" s="37"/>
      <c r="D888" s="43"/>
    </row>
    <row r="889" spans="2:4" x14ac:dyDescent="0.25">
      <c r="B889" s="236" t="s">
        <v>792</v>
      </c>
      <c r="C889" s="237"/>
      <c r="D889" s="238"/>
    </row>
    <row r="890" spans="2:4" x14ac:dyDescent="0.25">
      <c r="B890" s="239"/>
      <c r="C890" s="240"/>
      <c r="D890" s="241"/>
    </row>
    <row r="891" spans="2:4" x14ac:dyDescent="0.25">
      <c r="B891" s="239"/>
      <c r="C891" s="240"/>
      <c r="D891" s="241"/>
    </row>
    <row r="892" spans="2:4" x14ac:dyDescent="0.25">
      <c r="B892" s="239"/>
      <c r="C892" s="240"/>
      <c r="D892" s="241"/>
    </row>
    <row r="893" spans="2:4" x14ac:dyDescent="0.25">
      <c r="B893" s="242"/>
      <c r="C893" s="243"/>
      <c r="D893" s="244"/>
    </row>
    <row r="894" spans="2:4" x14ac:dyDescent="0.25">
      <c r="B894" s="37"/>
      <c r="C894" s="37"/>
      <c r="D894" s="44"/>
    </row>
    <row r="895" spans="2:4" x14ac:dyDescent="0.25">
      <c r="B895" s="37" t="s">
        <v>1012</v>
      </c>
      <c r="C895" s="37"/>
      <c r="D895" s="44"/>
    </row>
    <row r="896" spans="2:4" x14ac:dyDescent="0.25">
      <c r="B896" s="236" t="s">
        <v>791</v>
      </c>
      <c r="C896" s="237"/>
      <c r="D896" s="238"/>
    </row>
    <row r="897" spans="2:4" x14ac:dyDescent="0.25">
      <c r="B897" s="239"/>
      <c r="C897" s="240"/>
      <c r="D897" s="241"/>
    </row>
    <row r="898" spans="2:4" x14ac:dyDescent="0.25">
      <c r="B898" s="239"/>
      <c r="C898" s="240"/>
      <c r="D898" s="241"/>
    </row>
    <row r="899" spans="2:4" x14ac:dyDescent="0.25">
      <c r="B899" s="239"/>
      <c r="C899" s="240"/>
      <c r="D899" s="241"/>
    </row>
    <row r="900" spans="2:4" x14ac:dyDescent="0.25">
      <c r="B900" s="242"/>
      <c r="C900" s="243"/>
      <c r="D900" s="244"/>
    </row>
    <row r="901" spans="2:4" x14ac:dyDescent="0.25">
      <c r="B901" s="37"/>
      <c r="C901" s="37"/>
      <c r="D901" s="44"/>
    </row>
    <row r="902" spans="2:4" x14ac:dyDescent="0.25">
      <c r="B902" s="37" t="s">
        <v>829</v>
      </c>
      <c r="C902" s="37"/>
      <c r="D902" s="44"/>
    </row>
    <row r="903" spans="2:4" x14ac:dyDescent="0.25">
      <c r="B903" s="236" t="s">
        <v>790</v>
      </c>
      <c r="C903" s="237"/>
      <c r="D903" s="238"/>
    </row>
    <row r="904" spans="2:4" x14ac:dyDescent="0.25">
      <c r="B904" s="239"/>
      <c r="C904" s="240"/>
      <c r="D904" s="241"/>
    </row>
    <row r="905" spans="2:4" x14ac:dyDescent="0.25">
      <c r="B905" s="242"/>
      <c r="C905" s="243"/>
      <c r="D905" s="244"/>
    </row>
    <row r="906" spans="2:4" x14ac:dyDescent="0.25">
      <c r="B906" s="37"/>
      <c r="C906" s="37"/>
      <c r="D906" s="44"/>
    </row>
    <row r="907" spans="2:4" x14ac:dyDescent="0.25">
      <c r="B907" s="37" t="s">
        <v>828</v>
      </c>
      <c r="C907" s="37"/>
      <c r="D907" s="44"/>
    </row>
    <row r="908" spans="2:4" x14ac:dyDescent="0.25">
      <c r="B908" s="236" t="s">
        <v>789</v>
      </c>
      <c r="C908" s="237"/>
      <c r="D908" s="238"/>
    </row>
    <row r="909" spans="2:4" x14ac:dyDescent="0.25">
      <c r="B909" s="239"/>
      <c r="C909" s="240"/>
      <c r="D909" s="241"/>
    </row>
    <row r="910" spans="2:4" x14ac:dyDescent="0.25">
      <c r="B910" s="239"/>
      <c r="C910" s="240"/>
      <c r="D910" s="241"/>
    </row>
    <row r="911" spans="2:4" x14ac:dyDescent="0.25">
      <c r="B911" s="242"/>
      <c r="C911" s="243"/>
      <c r="D911" s="244"/>
    </row>
    <row r="912" spans="2:4" x14ac:dyDescent="0.25">
      <c r="B912" s="37"/>
      <c r="C912" s="37"/>
      <c r="D912" s="44"/>
    </row>
    <row r="913" spans="2:4" x14ac:dyDescent="0.25">
      <c r="B913" s="37" t="s">
        <v>827</v>
      </c>
      <c r="C913" s="37"/>
      <c r="D913" s="44"/>
    </row>
    <row r="914" spans="2:4" x14ac:dyDescent="0.25">
      <c r="B914" s="236" t="s">
        <v>788</v>
      </c>
      <c r="C914" s="237"/>
      <c r="D914" s="238"/>
    </row>
    <row r="915" spans="2:4" x14ac:dyDescent="0.25">
      <c r="B915" s="239"/>
      <c r="C915" s="240"/>
      <c r="D915" s="241"/>
    </row>
    <row r="916" spans="2:4" x14ac:dyDescent="0.25">
      <c r="B916" s="242"/>
      <c r="C916" s="243"/>
      <c r="D916" s="244"/>
    </row>
    <row r="917" spans="2:4" x14ac:dyDescent="0.25">
      <c r="B917" s="37"/>
      <c r="C917" s="37"/>
    </row>
    <row r="918" spans="2:4" x14ac:dyDescent="0.25">
      <c r="B918" s="37" t="s">
        <v>826</v>
      </c>
      <c r="C918" s="37"/>
    </row>
    <row r="919" spans="2:4" x14ac:dyDescent="0.25">
      <c r="B919" s="236" t="s">
        <v>781</v>
      </c>
      <c r="C919" s="237"/>
      <c r="D919" s="238"/>
    </row>
    <row r="920" spans="2:4" x14ac:dyDescent="0.25">
      <c r="B920" s="242"/>
      <c r="C920" s="243"/>
      <c r="D920" s="244"/>
    </row>
    <row r="921" spans="2:4" x14ac:dyDescent="0.25">
      <c r="B921" s="37"/>
      <c r="C921" s="37"/>
    </row>
    <row r="922" spans="2:4" x14ac:dyDescent="0.25">
      <c r="B922" s="37" t="s">
        <v>1091</v>
      </c>
      <c r="C922" s="37"/>
    </row>
    <row r="923" spans="2:4" x14ac:dyDescent="0.25">
      <c r="B923" s="236" t="s">
        <v>1092</v>
      </c>
      <c r="C923" s="237"/>
      <c r="D923" s="238"/>
    </row>
    <row r="924" spans="2:4" x14ac:dyDescent="0.25">
      <c r="B924" s="239"/>
      <c r="C924" s="240"/>
      <c r="D924" s="241"/>
    </row>
    <row r="925" spans="2:4" x14ac:dyDescent="0.25">
      <c r="B925" s="239"/>
      <c r="C925" s="240"/>
      <c r="D925" s="241"/>
    </row>
    <row r="926" spans="2:4" x14ac:dyDescent="0.25">
      <c r="B926" s="239"/>
      <c r="C926" s="240"/>
      <c r="D926" s="241"/>
    </row>
    <row r="927" spans="2:4" x14ac:dyDescent="0.25">
      <c r="B927" s="239"/>
      <c r="C927" s="240"/>
      <c r="D927" s="241"/>
    </row>
    <row r="928" spans="2:4" x14ac:dyDescent="0.25">
      <c r="B928" s="239"/>
      <c r="C928" s="240"/>
      <c r="D928" s="241"/>
    </row>
    <row r="929" spans="2:4" x14ac:dyDescent="0.25">
      <c r="B929" s="239"/>
      <c r="C929" s="240"/>
      <c r="D929" s="241"/>
    </row>
    <row r="930" spans="2:4" x14ac:dyDescent="0.25">
      <c r="B930" s="239"/>
      <c r="C930" s="240"/>
      <c r="D930" s="241"/>
    </row>
    <row r="931" spans="2:4" x14ac:dyDescent="0.25">
      <c r="B931" s="242"/>
      <c r="C931" s="243"/>
      <c r="D931" s="244"/>
    </row>
    <row r="932" spans="2:4" x14ac:dyDescent="0.25">
      <c r="B932" s="37"/>
      <c r="C932" s="37"/>
    </row>
    <row r="933" spans="2:4" x14ac:dyDescent="0.25">
      <c r="B933" s="37" t="s">
        <v>1056</v>
      </c>
      <c r="C933" s="37"/>
    </row>
    <row r="934" spans="2:4" x14ac:dyDescent="0.25">
      <c r="B934" s="236" t="s">
        <v>776</v>
      </c>
      <c r="C934" s="237"/>
      <c r="D934" s="238"/>
    </row>
    <row r="935" spans="2:4" x14ac:dyDescent="0.25">
      <c r="B935" s="239"/>
      <c r="C935" s="240"/>
      <c r="D935" s="241"/>
    </row>
    <row r="936" spans="2:4" x14ac:dyDescent="0.25">
      <c r="B936" s="239"/>
      <c r="C936" s="240"/>
      <c r="D936" s="241"/>
    </row>
    <row r="937" spans="2:4" x14ac:dyDescent="0.25">
      <c r="B937" s="239"/>
      <c r="C937" s="240"/>
      <c r="D937" s="241"/>
    </row>
    <row r="938" spans="2:4" x14ac:dyDescent="0.25">
      <c r="B938" s="239"/>
      <c r="C938" s="240"/>
      <c r="D938" s="241"/>
    </row>
    <row r="939" spans="2:4" x14ac:dyDescent="0.25">
      <c r="B939" s="242"/>
      <c r="C939" s="243"/>
      <c r="D939" s="244"/>
    </row>
    <row r="940" spans="2:4" x14ac:dyDescent="0.25">
      <c r="B940" s="37"/>
      <c r="C940" s="37"/>
    </row>
    <row r="941" spans="2:4" x14ac:dyDescent="0.25">
      <c r="B941" s="37" t="s">
        <v>1057</v>
      </c>
      <c r="C941" s="37"/>
    </row>
    <row r="942" spans="2:4" x14ac:dyDescent="0.25">
      <c r="B942" s="236" t="s">
        <v>727</v>
      </c>
      <c r="C942" s="237"/>
      <c r="D942" s="238"/>
    </row>
    <row r="943" spans="2:4" x14ac:dyDescent="0.25">
      <c r="B943" s="239"/>
      <c r="C943" s="240"/>
      <c r="D943" s="241"/>
    </row>
    <row r="944" spans="2:4" x14ac:dyDescent="0.25">
      <c r="B944" s="239"/>
      <c r="C944" s="240"/>
      <c r="D944" s="241"/>
    </row>
    <row r="945" spans="2:4" x14ac:dyDescent="0.25">
      <c r="B945" s="242"/>
      <c r="C945" s="243"/>
      <c r="D945" s="244"/>
    </row>
    <row r="946" spans="2:4" x14ac:dyDescent="0.25">
      <c r="B946" s="37"/>
      <c r="C946" s="37"/>
    </row>
    <row r="947" spans="2:4" x14ac:dyDescent="0.25">
      <c r="B947" s="37" t="s">
        <v>1055</v>
      </c>
      <c r="C947" s="37"/>
    </row>
    <row r="948" spans="2:4" x14ac:dyDescent="0.25">
      <c r="B948" s="246" t="s">
        <v>726</v>
      </c>
      <c r="C948" s="247"/>
      <c r="D948" s="248"/>
    </row>
    <row r="950" spans="2:4" x14ac:dyDescent="0.25">
      <c r="B950" s="7" t="s">
        <v>1054</v>
      </c>
    </row>
    <row r="951" spans="2:4" x14ac:dyDescent="0.25">
      <c r="B951" s="236" t="s">
        <v>728</v>
      </c>
      <c r="C951" s="237"/>
      <c r="D951" s="238"/>
    </row>
    <row r="952" spans="2:4" x14ac:dyDescent="0.25">
      <c r="B952" s="239"/>
      <c r="C952" s="240"/>
      <c r="D952" s="241"/>
    </row>
    <row r="953" spans="2:4" x14ac:dyDescent="0.25">
      <c r="B953" s="239"/>
      <c r="C953" s="240"/>
      <c r="D953" s="241"/>
    </row>
    <row r="954" spans="2:4" x14ac:dyDescent="0.25">
      <c r="B954" s="239"/>
      <c r="C954" s="240"/>
      <c r="D954" s="241"/>
    </row>
    <row r="955" spans="2:4" x14ac:dyDescent="0.25">
      <c r="B955" s="239"/>
      <c r="C955" s="240"/>
      <c r="D955" s="241"/>
    </row>
    <row r="956" spans="2:4" x14ac:dyDescent="0.25">
      <c r="B956" s="239"/>
      <c r="C956" s="240"/>
      <c r="D956" s="241"/>
    </row>
    <row r="957" spans="2:4" x14ac:dyDescent="0.25">
      <c r="B957" s="239"/>
      <c r="C957" s="240"/>
      <c r="D957" s="241"/>
    </row>
    <row r="958" spans="2:4" x14ac:dyDescent="0.25">
      <c r="B958" s="239"/>
      <c r="C958" s="240"/>
      <c r="D958" s="241"/>
    </row>
    <row r="959" spans="2:4" x14ac:dyDescent="0.25">
      <c r="B959" s="239"/>
      <c r="C959" s="240"/>
      <c r="D959" s="241"/>
    </row>
    <row r="960" spans="2:4" x14ac:dyDescent="0.25">
      <c r="B960" s="239"/>
      <c r="C960" s="240"/>
      <c r="D960" s="241"/>
    </row>
    <row r="961" spans="2:4" x14ac:dyDescent="0.25">
      <c r="B961" s="239"/>
      <c r="C961" s="240"/>
      <c r="D961" s="241"/>
    </row>
    <row r="962" spans="2:4" x14ac:dyDescent="0.25">
      <c r="B962" s="239"/>
      <c r="C962" s="240"/>
      <c r="D962" s="241"/>
    </row>
    <row r="963" spans="2:4" x14ac:dyDescent="0.25">
      <c r="B963" s="239"/>
      <c r="C963" s="240"/>
      <c r="D963" s="241"/>
    </row>
    <row r="964" spans="2:4" x14ac:dyDescent="0.25">
      <c r="B964" s="239"/>
      <c r="C964" s="240"/>
      <c r="D964" s="241"/>
    </row>
    <row r="965" spans="2:4" x14ac:dyDescent="0.25">
      <c r="B965" s="242"/>
      <c r="C965" s="243"/>
      <c r="D965" s="244"/>
    </row>
    <row r="966" spans="2:4" x14ac:dyDescent="0.25">
      <c r="B966" s="64"/>
      <c r="C966" s="64"/>
    </row>
    <row r="967" spans="2:4" x14ac:dyDescent="0.25">
      <c r="B967" s="99" t="s">
        <v>1053</v>
      </c>
      <c r="C967" s="65"/>
    </row>
    <row r="968" spans="2:4" x14ac:dyDescent="0.25">
      <c r="B968" s="236" t="s">
        <v>730</v>
      </c>
      <c r="C968" s="237"/>
      <c r="D968" s="238"/>
    </row>
    <row r="969" spans="2:4" x14ac:dyDescent="0.25">
      <c r="B969" s="239"/>
      <c r="C969" s="240"/>
      <c r="D969" s="241"/>
    </row>
    <row r="970" spans="2:4" x14ac:dyDescent="0.25">
      <c r="B970" s="239"/>
      <c r="C970" s="240"/>
      <c r="D970" s="241"/>
    </row>
    <row r="971" spans="2:4" x14ac:dyDescent="0.25">
      <c r="B971" s="239"/>
      <c r="C971" s="240"/>
      <c r="D971" s="241"/>
    </row>
    <row r="972" spans="2:4" x14ac:dyDescent="0.25">
      <c r="B972" s="239"/>
      <c r="C972" s="240"/>
      <c r="D972" s="241"/>
    </row>
    <row r="973" spans="2:4" x14ac:dyDescent="0.25">
      <c r="B973" s="239"/>
      <c r="C973" s="240"/>
      <c r="D973" s="241"/>
    </row>
    <row r="974" spans="2:4" x14ac:dyDescent="0.25">
      <c r="B974" s="242"/>
      <c r="C974" s="243"/>
      <c r="D974" s="244"/>
    </row>
    <row r="976" spans="2:4" x14ac:dyDescent="0.25">
      <c r="B976" s="7" t="s">
        <v>1059</v>
      </c>
    </row>
    <row r="977" spans="2:4" x14ac:dyDescent="0.25">
      <c r="B977" s="236" t="s">
        <v>696</v>
      </c>
      <c r="C977" s="237"/>
      <c r="D977" s="238"/>
    </row>
    <row r="978" spans="2:4" x14ac:dyDescent="0.25">
      <c r="B978" s="239"/>
      <c r="C978" s="240"/>
      <c r="D978" s="241"/>
    </row>
    <row r="979" spans="2:4" x14ac:dyDescent="0.25">
      <c r="B979" s="239"/>
      <c r="C979" s="240"/>
      <c r="D979" s="241"/>
    </row>
    <row r="980" spans="2:4" x14ac:dyDescent="0.25">
      <c r="B980" s="239"/>
      <c r="C980" s="240"/>
      <c r="D980" s="241"/>
    </row>
    <row r="981" spans="2:4" x14ac:dyDescent="0.25">
      <c r="B981" s="239"/>
      <c r="C981" s="240"/>
      <c r="D981" s="241"/>
    </row>
    <row r="982" spans="2:4" x14ac:dyDescent="0.25">
      <c r="B982" s="239"/>
      <c r="C982" s="240"/>
      <c r="D982" s="241"/>
    </row>
    <row r="983" spans="2:4" x14ac:dyDescent="0.25">
      <c r="B983" s="239"/>
      <c r="C983" s="240"/>
      <c r="D983" s="241"/>
    </row>
    <row r="984" spans="2:4" x14ac:dyDescent="0.25">
      <c r="B984" s="242"/>
      <c r="C984" s="243"/>
      <c r="D984" s="244"/>
    </row>
    <row r="985" spans="2:4" x14ac:dyDescent="0.25">
      <c r="B985" s="65"/>
      <c r="C985" s="65"/>
    </row>
    <row r="986" spans="2:4" x14ac:dyDescent="0.25">
      <c r="B986" t="s">
        <v>1060</v>
      </c>
      <c r="C986"/>
    </row>
    <row r="987" spans="2:4" x14ac:dyDescent="0.25">
      <c r="B987" s="227" t="s">
        <v>1058</v>
      </c>
      <c r="C987" s="228"/>
      <c r="D987" s="229"/>
    </row>
    <row r="988" spans="2:4" x14ac:dyDescent="0.25">
      <c r="B988" s="230"/>
      <c r="C988" s="245"/>
      <c r="D988" s="232"/>
    </row>
    <row r="989" spans="2:4" x14ac:dyDescent="0.25">
      <c r="B989" s="230"/>
      <c r="C989" s="245"/>
      <c r="D989" s="232"/>
    </row>
    <row r="990" spans="2:4" x14ac:dyDescent="0.25">
      <c r="B990" s="230"/>
      <c r="C990" s="245"/>
      <c r="D990" s="232"/>
    </row>
    <row r="991" spans="2:4" x14ac:dyDescent="0.25">
      <c r="B991" s="230"/>
      <c r="C991" s="245"/>
      <c r="D991" s="232"/>
    </row>
    <row r="992" spans="2:4" x14ac:dyDescent="0.25">
      <c r="B992" s="230"/>
      <c r="C992" s="245"/>
      <c r="D992" s="232"/>
    </row>
    <row r="993" spans="2:4" x14ac:dyDescent="0.25">
      <c r="B993" s="230"/>
      <c r="C993" s="245"/>
      <c r="D993" s="232"/>
    </row>
    <row r="994" spans="2:4" x14ac:dyDescent="0.25">
      <c r="B994" s="230"/>
      <c r="C994" s="245"/>
      <c r="D994" s="232"/>
    </row>
    <row r="995" spans="2:4" x14ac:dyDescent="0.25">
      <c r="B995" s="230"/>
      <c r="C995" s="245"/>
      <c r="D995" s="232"/>
    </row>
    <row r="996" spans="2:4" x14ac:dyDescent="0.25">
      <c r="B996" s="230"/>
      <c r="C996" s="245"/>
      <c r="D996" s="232"/>
    </row>
    <row r="997" spans="2:4" x14ac:dyDescent="0.25">
      <c r="B997" s="230"/>
      <c r="C997" s="245"/>
      <c r="D997" s="232"/>
    </row>
    <row r="998" spans="2:4" x14ac:dyDescent="0.25">
      <c r="B998" s="230"/>
      <c r="C998" s="245"/>
      <c r="D998" s="232"/>
    </row>
    <row r="999" spans="2:4" x14ac:dyDescent="0.25">
      <c r="B999" s="230"/>
      <c r="C999" s="245"/>
      <c r="D999" s="232"/>
    </row>
    <row r="1000" spans="2:4" x14ac:dyDescent="0.25">
      <c r="B1000" s="230"/>
      <c r="C1000" s="245"/>
      <c r="D1000" s="232"/>
    </row>
    <row r="1001" spans="2:4" x14ac:dyDescent="0.25">
      <c r="B1001" s="230"/>
      <c r="C1001" s="245"/>
      <c r="D1001" s="232"/>
    </row>
    <row r="1002" spans="2:4" x14ac:dyDescent="0.25">
      <c r="B1002" s="230"/>
      <c r="C1002" s="245"/>
      <c r="D1002" s="232"/>
    </row>
    <row r="1003" spans="2:4" x14ac:dyDescent="0.25">
      <c r="B1003" s="230"/>
      <c r="C1003" s="245"/>
      <c r="D1003" s="232"/>
    </row>
    <row r="1004" spans="2:4" x14ac:dyDescent="0.25">
      <c r="B1004" s="233"/>
      <c r="C1004" s="234"/>
      <c r="D1004" s="235"/>
    </row>
  </sheetData>
  <mergeCells count="103">
    <mergeCell ref="B439:D443"/>
    <mergeCell ref="B405:D410"/>
    <mergeCell ref="B433:D436"/>
    <mergeCell ref="B386:D393"/>
    <mergeCell ref="B396:D402"/>
    <mergeCell ref="B903:D905"/>
    <mergeCell ref="B908:D911"/>
    <mergeCell ref="B287:D293"/>
    <mergeCell ref="B36:D39"/>
    <mergeCell ref="B42:D49"/>
    <mergeCell ref="B63:D68"/>
    <mergeCell ref="B75:D85"/>
    <mergeCell ref="B111:D124"/>
    <mergeCell ref="B102:D108"/>
    <mergeCell ref="B52:D60"/>
    <mergeCell ref="B179:D183"/>
    <mergeCell ref="B203:D210"/>
    <mergeCell ref="B140:D144"/>
    <mergeCell ref="B147:D153"/>
    <mergeCell ref="B96:D99"/>
    <mergeCell ref="B156:D160"/>
    <mergeCell ref="B163:D176"/>
    <mergeCell ref="B127:D131"/>
    <mergeCell ref="B134:D137"/>
    <mergeCell ref="B459:D468"/>
    <mergeCell ref="B496:D508"/>
    <mergeCell ref="B511:D516"/>
    <mergeCell ref="B543:D546"/>
    <mergeCell ref="B482:D489"/>
    <mergeCell ref="B471:D479"/>
    <mergeCell ref="B519:D527"/>
    <mergeCell ref="B530:D540"/>
    <mergeCell ref="B446:D456"/>
    <mergeCell ref="B744:D755"/>
    <mergeCell ref="B758:D770"/>
    <mergeCell ref="B942:D945"/>
    <mergeCell ref="B948:D948"/>
    <mergeCell ref="B579:D593"/>
    <mergeCell ref="B830:D833"/>
    <mergeCell ref="B919:D920"/>
    <mergeCell ref="B923:D931"/>
    <mergeCell ref="B934:D939"/>
    <mergeCell ref="B815:D817"/>
    <mergeCell ref="B843:D874"/>
    <mergeCell ref="B820:D822"/>
    <mergeCell ref="B825:D827"/>
    <mergeCell ref="B836:D840"/>
    <mergeCell ref="B889:D893"/>
    <mergeCell ref="B773:D784"/>
    <mergeCell ref="B735:D741"/>
    <mergeCell ref="B608:D615"/>
    <mergeCell ref="B625:D629"/>
    <mergeCell ref="B618:D622"/>
    <mergeCell ref="B727:D732"/>
    <mergeCell ref="B914:D916"/>
    <mergeCell ref="B213:D219"/>
    <mergeCell ref="B222:D226"/>
    <mergeCell ref="B987:D1004"/>
    <mergeCell ref="B492:D493"/>
    <mergeCell ref="B709:D724"/>
    <mergeCell ref="B632:D639"/>
    <mergeCell ref="B692:D694"/>
    <mergeCell ref="B697:D699"/>
    <mergeCell ref="B702:D706"/>
    <mergeCell ref="B669:D676"/>
    <mergeCell ref="B679:D681"/>
    <mergeCell ref="B642:D656"/>
    <mergeCell ref="B684:D689"/>
    <mergeCell ref="B659:D666"/>
    <mergeCell ref="B896:D900"/>
    <mergeCell ref="B977:D984"/>
    <mergeCell ref="B951:D965"/>
    <mergeCell ref="B968:D974"/>
    <mergeCell ref="B877:D886"/>
    <mergeCell ref="B596:D605"/>
    <mergeCell ref="B549:D551"/>
    <mergeCell ref="B554:D556"/>
    <mergeCell ref="B802:D812"/>
    <mergeCell ref="B787:D799"/>
    <mergeCell ref="B23:D26"/>
    <mergeCell ref="B29:D33"/>
    <mergeCell ref="B559:D570"/>
    <mergeCell ref="B573:D576"/>
    <mergeCell ref="B307:D311"/>
    <mergeCell ref="B422:D430"/>
    <mergeCell ref="B71:D72"/>
    <mergeCell ref="B229:D236"/>
    <mergeCell ref="B88:D93"/>
    <mergeCell ref="B364:D375"/>
    <mergeCell ref="B378:D383"/>
    <mergeCell ref="B250:D256"/>
    <mergeCell ref="B270:D284"/>
    <mergeCell ref="B296:D304"/>
    <mergeCell ref="B355:D361"/>
    <mergeCell ref="B239:D247"/>
    <mergeCell ref="B259:D267"/>
    <mergeCell ref="B326:D352"/>
    <mergeCell ref="B314:D317"/>
    <mergeCell ref="B320:D323"/>
    <mergeCell ref="B413:D419"/>
    <mergeCell ref="B191:D192"/>
    <mergeCell ref="B186:D188"/>
    <mergeCell ref="B195:D20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8C404-986D-4669-8F0C-4B851A56BF7D}">
  <sheetPr codeName="Sheet1"/>
  <dimension ref="A1:F27"/>
  <sheetViews>
    <sheetView workbookViewId="0">
      <selection activeCell="E1" sqref="E1:E6"/>
    </sheetView>
  </sheetViews>
  <sheetFormatPr defaultRowHeight="15" x14ac:dyDescent="0.25"/>
  <cols>
    <col min="1" max="1" width="19.42578125" bestFit="1" customWidth="1"/>
    <col min="2" max="2" width="32.140625" bestFit="1" customWidth="1"/>
    <col min="4" max="4" width="28.42578125" bestFit="1" customWidth="1"/>
    <col min="5" max="5" width="31.85546875" bestFit="1" customWidth="1"/>
  </cols>
  <sheetData>
    <row r="1" spans="1:6" ht="15.75" x14ac:dyDescent="0.25">
      <c r="A1" s="35" t="s">
        <v>1637</v>
      </c>
      <c r="C1" s="188"/>
      <c r="D1" s="35" t="s">
        <v>763</v>
      </c>
      <c r="E1" s="35" t="s">
        <v>1643</v>
      </c>
      <c r="F1" s="188"/>
    </row>
    <row r="2" spans="1:6" ht="15.75" x14ac:dyDescent="0.25">
      <c r="A2" s="35" t="s">
        <v>1638</v>
      </c>
      <c r="C2" s="188"/>
      <c r="D2" s="35" t="s">
        <v>764</v>
      </c>
      <c r="E2" s="35" t="s">
        <v>1644</v>
      </c>
      <c r="F2" s="188"/>
    </row>
    <row r="3" spans="1:6" ht="15.75" x14ac:dyDescent="0.25">
      <c r="A3" s="35" t="s">
        <v>1639</v>
      </c>
      <c r="C3" s="188"/>
      <c r="D3" s="35" t="s">
        <v>765</v>
      </c>
      <c r="E3" s="35" t="s">
        <v>1645</v>
      </c>
      <c r="F3" s="188"/>
    </row>
    <row r="4" spans="1:6" x14ac:dyDescent="0.25">
      <c r="A4" s="35" t="s">
        <v>750</v>
      </c>
      <c r="B4" s="35"/>
      <c r="C4" s="188"/>
      <c r="D4" s="35" t="s">
        <v>766</v>
      </c>
      <c r="E4" s="35" t="s">
        <v>1646</v>
      </c>
      <c r="F4" s="188"/>
    </row>
    <row r="5" spans="1:6" x14ac:dyDescent="0.25">
      <c r="A5" s="35" t="s">
        <v>751</v>
      </c>
      <c r="B5" s="35"/>
      <c r="C5" s="188"/>
      <c r="D5" s="35" t="s">
        <v>767</v>
      </c>
      <c r="E5" s="35" t="s">
        <v>1647</v>
      </c>
      <c r="F5" s="188"/>
    </row>
    <row r="6" spans="1:6" x14ac:dyDescent="0.25">
      <c r="A6" s="35" t="s">
        <v>752</v>
      </c>
      <c r="B6" s="35"/>
      <c r="C6" s="188"/>
      <c r="D6" s="35" t="s">
        <v>768</v>
      </c>
      <c r="E6" s="35" t="s">
        <v>1648</v>
      </c>
      <c r="F6" s="188"/>
    </row>
    <row r="7" spans="1:6" ht="15.75" x14ac:dyDescent="0.25">
      <c r="A7" s="35" t="s">
        <v>1640</v>
      </c>
      <c r="C7" s="188"/>
      <c r="F7" s="188"/>
    </row>
    <row r="8" spans="1:6" ht="15.75" x14ac:dyDescent="0.25">
      <c r="A8" s="35" t="s">
        <v>1641</v>
      </c>
      <c r="C8" s="188"/>
      <c r="F8" s="188"/>
    </row>
    <row r="9" spans="1:6" ht="15.75" x14ac:dyDescent="0.25">
      <c r="A9" s="35" t="s">
        <v>1642</v>
      </c>
      <c r="C9" s="188"/>
      <c r="F9" s="188"/>
    </row>
    <row r="10" spans="1:6" x14ac:dyDescent="0.25">
      <c r="A10" s="35" t="s">
        <v>753</v>
      </c>
      <c r="C10" s="188"/>
      <c r="F10" s="188"/>
    </row>
    <row r="11" spans="1:6" x14ac:dyDescent="0.25">
      <c r="A11" s="35" t="s">
        <v>754</v>
      </c>
      <c r="C11" s="188"/>
      <c r="F11" s="188"/>
    </row>
    <row r="12" spans="1:6" x14ac:dyDescent="0.25">
      <c r="C12" s="188"/>
      <c r="F12" s="188"/>
    </row>
    <row r="13" spans="1:6" x14ac:dyDescent="0.25">
      <c r="C13" s="188"/>
      <c r="F13" s="188"/>
    </row>
    <row r="14" spans="1:6" x14ac:dyDescent="0.25">
      <c r="C14" s="188"/>
      <c r="F14" s="188"/>
    </row>
    <row r="15" spans="1:6" x14ac:dyDescent="0.25">
      <c r="C15" s="188"/>
      <c r="F15" s="188"/>
    </row>
    <row r="16" spans="1:6" x14ac:dyDescent="0.25">
      <c r="C16" s="188"/>
      <c r="F16" s="188"/>
    </row>
    <row r="17" spans="3:6" x14ac:dyDescent="0.25">
      <c r="C17" s="188"/>
      <c r="F17" s="188"/>
    </row>
    <row r="18" spans="3:6" x14ac:dyDescent="0.25">
      <c r="C18" s="188"/>
      <c r="F18" s="188"/>
    </row>
    <row r="19" spans="3:6" x14ac:dyDescent="0.25">
      <c r="C19" s="188"/>
      <c r="F19" s="188"/>
    </row>
    <row r="20" spans="3:6" x14ac:dyDescent="0.25">
      <c r="C20" s="188"/>
      <c r="F20" s="188"/>
    </row>
    <row r="21" spans="3:6" x14ac:dyDescent="0.25">
      <c r="C21" s="188"/>
      <c r="F21" s="188"/>
    </row>
    <row r="22" spans="3:6" x14ac:dyDescent="0.25">
      <c r="C22" s="188"/>
      <c r="F22" s="188"/>
    </row>
    <row r="23" spans="3:6" x14ac:dyDescent="0.25">
      <c r="C23" s="188"/>
      <c r="F23" s="188"/>
    </row>
    <row r="24" spans="3:6" ht="15" customHeight="1" x14ac:dyDescent="0.25">
      <c r="C24" s="188"/>
      <c r="F24" s="188"/>
    </row>
    <row r="25" spans="3:6" x14ac:dyDescent="0.25">
      <c r="C25" s="188"/>
      <c r="F25" s="188"/>
    </row>
    <row r="26" spans="3:6" x14ac:dyDescent="0.25">
      <c r="C26" s="188"/>
      <c r="F26" s="188"/>
    </row>
    <row r="27" spans="3:6" x14ac:dyDescent="0.25">
      <c r="C27" s="188"/>
      <c r="F27" s="1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C5E7-7110-48A4-A0EA-27BCC49023BF}">
  <sheetPr codeName="Sheet5"/>
  <dimension ref="A1:AA184"/>
  <sheetViews>
    <sheetView workbookViewId="0">
      <pane xSplit="9" ySplit="25" topLeftCell="J26" activePane="bottomRight" state="frozen"/>
      <selection pane="topRight" activeCell="J1" sqref="J1"/>
      <selection pane="bottomLeft" activeCell="A26" sqref="A26"/>
      <selection pane="bottomRight" activeCell="R80" sqref="R80"/>
    </sheetView>
  </sheetViews>
  <sheetFormatPr defaultRowHeight="15" x14ac:dyDescent="0.25"/>
  <cols>
    <col min="2" max="2" width="25.7109375" customWidth="1"/>
    <col min="9" max="9" width="14.42578125" bestFit="1" customWidth="1"/>
    <col min="10" max="10" width="10.7109375" bestFit="1" customWidth="1"/>
    <col min="11" max="11" width="7.42578125" bestFit="1" customWidth="1"/>
    <col min="12" max="12" width="30.85546875" bestFit="1" customWidth="1"/>
    <col min="13" max="14" width="17.5703125" bestFit="1" customWidth="1"/>
    <col min="15" max="15" width="10.28515625" bestFit="1" customWidth="1"/>
    <col min="16" max="16" width="14.5703125" bestFit="1" customWidth="1"/>
    <col min="17" max="17" width="9.140625" customWidth="1"/>
    <col min="18" max="18" width="11" bestFit="1" customWidth="1"/>
    <col min="19" max="19" width="30" bestFit="1" customWidth="1"/>
    <col min="22" max="22" width="31.85546875" bestFit="1" customWidth="1"/>
    <col min="23" max="23" width="13.85546875" bestFit="1" customWidth="1"/>
    <col min="24" max="24" width="12.7109375" bestFit="1" customWidth="1"/>
    <col min="26" max="26" width="8.7109375" bestFit="1" customWidth="1"/>
    <col min="27" max="27" width="10.85546875" bestFit="1"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87" t="s">
        <v>812</v>
      </c>
      <c r="C3" s="7" t="str">
        <f>IFERROR(IF(OR(I7="",H7=""),"",""&amp;COUNT(H7:H22)&amp;" Result"&amp;IF(COUNT(H7:H22)=1,"","s")&amp;""),"")</f>
        <v/>
      </c>
      <c r="D3" s="1"/>
      <c r="E3" s="1"/>
      <c r="F3" s="1"/>
      <c r="G3" s="1"/>
      <c r="H3" s="88" t="s">
        <v>960</v>
      </c>
      <c r="I3" s="1"/>
      <c r="J3" s="1"/>
      <c r="K3" s="1"/>
      <c r="L3" s="1"/>
      <c r="M3" s="1"/>
      <c r="N3" s="1"/>
      <c r="O3" s="1"/>
      <c r="P3" s="1"/>
      <c r="Q3" s="1"/>
      <c r="R3" s="1"/>
      <c r="S3" s="1"/>
      <c r="T3" s="1"/>
      <c r="U3" s="1"/>
      <c r="V3" s="1"/>
      <c r="W3" s="1"/>
      <c r="X3" s="1"/>
      <c r="Y3" s="1"/>
      <c r="Z3" s="1"/>
      <c r="AA3" s="1"/>
    </row>
    <row r="4" spans="1:27" x14ac:dyDescent="0.25">
      <c r="A4" s="7"/>
      <c r="B4" s="87" t="s">
        <v>813</v>
      </c>
      <c r="C4" s="7" t="s">
        <v>1724</v>
      </c>
      <c r="D4" s="61"/>
      <c r="E4" s="7"/>
      <c r="F4" s="7"/>
      <c r="G4" s="66"/>
      <c r="H4" s="12" t="s">
        <v>1</v>
      </c>
      <c r="I4" s="12" t="s">
        <v>2</v>
      </c>
      <c r="J4" s="12" t="s">
        <v>3</v>
      </c>
      <c r="K4" s="13" t="s">
        <v>45</v>
      </c>
      <c r="L4" s="13" t="s">
        <v>5</v>
      </c>
      <c r="M4" s="13" t="s">
        <v>6</v>
      </c>
      <c r="N4" s="13" t="s">
        <v>7</v>
      </c>
      <c r="O4" s="12" t="s">
        <v>8</v>
      </c>
      <c r="P4" s="14" t="s">
        <v>9</v>
      </c>
      <c r="Q4" s="12" t="s">
        <v>10</v>
      </c>
      <c r="R4" s="14" t="s">
        <v>11</v>
      </c>
      <c r="S4" s="12" t="s">
        <v>12</v>
      </c>
      <c r="T4" s="12" t="s">
        <v>13</v>
      </c>
      <c r="U4" s="12" t="s">
        <v>14</v>
      </c>
      <c r="V4" s="12" t="s">
        <v>15</v>
      </c>
      <c r="W4" s="12" t="s">
        <v>16</v>
      </c>
      <c r="X4" s="12" t="s">
        <v>17</v>
      </c>
      <c r="Y4" s="12" t="s">
        <v>18</v>
      </c>
      <c r="Z4" s="12" t="s">
        <v>19</v>
      </c>
      <c r="AA4" s="12" t="s">
        <v>20</v>
      </c>
    </row>
    <row r="5" spans="1:27" x14ac:dyDescent="0.25">
      <c r="A5" s="7"/>
      <c r="B5" s="88" t="s">
        <v>959</v>
      </c>
      <c r="D5" s="7"/>
      <c r="E5" s="7"/>
      <c r="F5" s="7"/>
      <c r="G5" s="7"/>
      <c r="H5" s="15"/>
      <c r="I5" s="18" t="s">
        <v>21</v>
      </c>
      <c r="J5" s="18" t="s">
        <v>22</v>
      </c>
      <c r="K5" s="17" t="s">
        <v>23</v>
      </c>
      <c r="L5" s="17" t="s">
        <v>24</v>
      </c>
      <c r="M5" s="17" t="s">
        <v>25</v>
      </c>
      <c r="N5" s="17" t="s">
        <v>26</v>
      </c>
      <c r="O5" s="18" t="s">
        <v>27</v>
      </c>
      <c r="P5" s="19" t="s">
        <v>28</v>
      </c>
      <c r="Q5" s="18" t="s">
        <v>29</v>
      </c>
      <c r="R5" s="19" t="s">
        <v>30</v>
      </c>
      <c r="S5" s="18" t="s">
        <v>31</v>
      </c>
      <c r="T5" s="18" t="s">
        <v>32</v>
      </c>
      <c r="U5" s="18" t="s">
        <v>33</v>
      </c>
      <c r="V5" s="18" t="s">
        <v>34</v>
      </c>
      <c r="W5" s="18" t="s">
        <v>35</v>
      </c>
      <c r="X5" s="18" t="s">
        <v>36</v>
      </c>
      <c r="Y5" s="18" t="s">
        <v>37</v>
      </c>
      <c r="Z5" s="18" t="s">
        <v>38</v>
      </c>
      <c r="AA5" s="18" t="s">
        <v>39</v>
      </c>
    </row>
    <row r="6" spans="1:27" x14ac:dyDescent="0.25">
      <c r="A6" s="7"/>
      <c r="B6" s="10" t="s">
        <v>41</v>
      </c>
      <c r="C6" s="41"/>
      <c r="D6" s="41"/>
      <c r="E6" s="7"/>
      <c r="F6" s="7"/>
      <c r="G6" s="7"/>
      <c r="H6" s="18"/>
      <c r="I6" s="20" t="str">
        <f>IF(ISNA(VLOOKUP('CW Branches'!$H$6,$I$26:$AA$93,1,FALSE))=TRUE,"",VLOOKUP('CW Branches'!$H$6,$I$26:$AA$93,1,FALSE))</f>
        <v/>
      </c>
      <c r="J6" s="20" t="str">
        <f>IF(ISNA(VLOOKUP('CW Branches'!$H$6,$I$26:$AA$93,2,FALSE))=TRUE,"",VLOOKUP('CW Branches'!$H$6,$I$26:$AA$93,2,FALSE))</f>
        <v/>
      </c>
      <c r="K6" s="20" t="str">
        <f>IF(ISNA(VLOOKUP('CW Branches'!$H$6,$I$26:$AA$93,3,FALSE))=TRUE,"",VLOOKUP('CW Branches'!$H$6,$I$26:$AA$93,3,FALSE))</f>
        <v/>
      </c>
      <c r="L6" s="20" t="str">
        <f>IF(ISNA(VLOOKUP('CW Branches'!$H$6,$I$26:$AA$93,4,FALSE))=TRUE,"",VLOOKUP('CW Branches'!$H$6,$I$26:$AA$93,4,FALSE))</f>
        <v/>
      </c>
      <c r="M6" s="17" t="str">
        <f>IF(ISNA(VLOOKUP('CW Branches'!$H$6,$I$26:$AA$93,5,FALSE))=TRUE,"",VLOOKUP('CW Branches'!$H$6,$I$26:$AA$93,5,FALSE))</f>
        <v/>
      </c>
      <c r="N6" s="17" t="str">
        <f>IF(ISNA(VLOOKUP('CW Branches'!$H$6,$I$26:$AA$93,6,FALSE))=TRUE,"",VLOOKUP('CW Branches'!$H$6,$I$26:$AA$93,6,FALSE))</f>
        <v/>
      </c>
      <c r="O6" s="20" t="str">
        <f>IF(ISNA(VLOOKUP('CW Branches'!$H$6,$I$26:$AA$93,7,FALSE))=TRUE,"",VLOOKUP('CW Branches'!$H$6,$I$26:$AA$93,7,FALSE))</f>
        <v/>
      </c>
      <c r="P6" s="19" t="str">
        <f>IF(ISNA(VLOOKUP('CW Branches'!$H$6,$I$26:$AA$93,8,FALSE))=TRUE,"",VLOOKUP('CW Branches'!$H$6,$I$26:$AA$93,8,FALSE))</f>
        <v/>
      </c>
      <c r="Q6" s="18" t="str">
        <f>IF(ISNA(VLOOKUP('CW Branches'!$H$6,$I$26:$AA$93,9,FALSE))=TRUE,"",VLOOKUP('CW Branches'!$H$6,$I$26:$AA$93,9,FALSE))</f>
        <v/>
      </c>
      <c r="R6" s="19" t="str">
        <f>IF(ISNA(VLOOKUP('CW Branches'!$H$6,$I$26:$AA$93,10,FALSE))=TRUE,"",VLOOKUP('CW Branches'!$H$6,$I$26:$AA$93,10,FALSE))</f>
        <v/>
      </c>
      <c r="S6" s="20" t="str">
        <f>IF(ISNA(VLOOKUP('CW Branches'!$H$6,$I$26:$AA$93,11,FALSE))=TRUE,"",VLOOKUP('CW Branches'!$H$6,$I$26:$AA$93,11,FALSE))</f>
        <v/>
      </c>
      <c r="T6" s="21" t="str">
        <f>IF(ISNA(VLOOKUP('CW Branches'!$H$6,$I$26:$AA$93,12,FALSE))=TRUE,"",VLOOKUP('CW Branches'!$H$6,$I$26:$AA$93,12,FALSE))</f>
        <v/>
      </c>
      <c r="U6" s="20" t="str">
        <f>IF(ISNA(VLOOKUP('CW Branches'!$H$6,$I$26:$AA$93,13,FALSE))=TRUE,"",VLOOKUP('CW Branches'!$H$6,$I$26:$AA$93,13,FALSE))</f>
        <v/>
      </c>
      <c r="V6" s="20" t="str">
        <f>IF(ISNA(VLOOKUP('CW Branches'!$H$6,$I$26:$AA$93,14,FALSE))=TRUE,"",VLOOKUP('CW Branches'!$H$6,$I$26:$AA$93,14,FALSE))</f>
        <v/>
      </c>
      <c r="W6" s="20" t="str">
        <f>IF(ISNA(VLOOKUP('CW Branches'!$H$6,$I$26:$AA$93,15,FALSE))=TRUE,"",IF(VLOOKUP('CW Branches'!$H$6,$I$26:$AA$93,15,FALSE)=0,"",VLOOKUP('CW Branches'!$H$6,$I$26:$AA$93,15,FALSE)))</f>
        <v/>
      </c>
      <c r="X6" s="20" t="str">
        <f>IF(ISNA(VLOOKUP('CW Branches'!$H$6,$I$26:$AA$93,16,FALSE))=TRUE,"",VLOOKUP('CW Branches'!$H$6,$I$26:$AA$93,16,FALSE))</f>
        <v/>
      </c>
      <c r="Y6" s="20" t="str">
        <f>IF(ISNA(VLOOKUP('CW Branches'!$H$6,$I$26:$AA$93,17,FALSE))=TRUE,"",VLOOKUP('CW Branches'!$H$6,$I$26:$AA$93,17,FALSE))</f>
        <v/>
      </c>
      <c r="Z6" s="20" t="str">
        <f>IF(ISNA(VLOOKUP('CW Branches'!$H$6,$I$26:$AA$93,18,FALSE))=TRUE,"",VLOOKUP('CW Branches'!$H$6,$I$26:$AA$93,18,FALSE))</f>
        <v/>
      </c>
      <c r="AA6" s="20" t="str">
        <f>IF(ISNA(VLOOKUP('CW Branches'!$H$6,$I$26:$AA$93,19,FALSE))=TRUE,"",VLOOKUP('CW Branches'!$H$6,$I$26:$AA$93,19,FALSE))</f>
        <v/>
      </c>
    </row>
    <row r="7" spans="1:27" x14ac:dyDescent="0.25">
      <c r="A7" s="7">
        <v>1</v>
      </c>
      <c r="B7" s="22" t="str">
        <f>IF(AND(I6="",I7=""),"",IF('CW Branches'!$H$6="","",IF(I6="",""&amp;L7&amp;" "&amp;K7&amp;""&amp;CHAR(10)&amp;""&amp;V7&amp;" "&amp;W7&amp;""&amp;CHAR(10)&amp;""&amp;X7&amp;", "&amp;Y7&amp;" "&amp;Z7&amp;""&amp;IF(ISNA("Phone Number: "&amp;TEXT(P7,"(000) 000-0000")&amp;"")=TRUE,"",""&amp;CHAR(10)&amp;""&amp;AA7&amp;" County"&amp;CHAR(10)&amp;"District "&amp;T7&amp;""&amp;CHAR(10)&amp;"Phone Number: "&amp;TEXT(P7,"(000) 000-0000")&amp;"")&amp;"",""&amp;L6&amp;" "&amp;K6&amp;""&amp;CHAR(10)&amp;""&amp;V6&amp;" "&amp;W6&amp;""&amp;CHAR(10)&amp;""&amp;X6&amp;", "&amp;Y6&amp;" "&amp;Z6&amp;""&amp;CHAR(10)&amp;""&amp;AA6&amp;" County"&amp;CHAR(10)&amp;"District "&amp;T6&amp;""&amp;CHAR(10)&amp;"Phone Number: "&amp;TEXT(P6,"(000) 000-0000")&amp;"")&amp;""))</f>
        <v/>
      </c>
      <c r="C7" s="37" t="str">
        <f>""</f>
        <v/>
      </c>
      <c r="D7" s="37"/>
      <c r="E7" s="7" t="str">
        <f>""</f>
        <v/>
      </c>
      <c r="F7" s="7"/>
      <c r="G7" s="7"/>
      <c r="H7" s="18" t="str">
        <f>IF(LEN('CW Branches'!$H$6)&lt;=2,IF(ISERROR(ROW(IF(ISNA(INDEX($I$26:$I$93,MATCH('CW Branches'!$H$6,$T$26:$T$93,0)))=TRUE,"",INDEX($I$26:$I$93,MATCH('CW Branches'!$H$6,$T$26:$T$93,0)))))=TRUE,"",ROW(IF(ISNA(INDEX($I$26:$I$93,MATCH('CW Branches'!$H$6,$T$26:$T$93,0)))=TRUE,"",INDEX($I$26:$I$93,MATCH('CW Branches'!$H$6,$T$26:$T$93,0))))),IF('CW Branches'!$W$6="",ROW(IF(ISNA(INDEX($I$26:$I$93,MATCH("*"&amp;'CW Branches'!$H$6&amp;"*",$U$26:$U$93,0)))=FALSE,INDEX($I$26:$I$93,MATCH("*"&amp;'CW Branches'!$H$6&amp;"*",$U$26:$U$93,0)),IF(ISNA(INDEX($I$26:$I$93,MATCH("*"&amp;'CW Branches'!$H$6&amp;"*",$AA$26:$AA$93,0)))=FALSE,INDEX($I$26:$I$93,MATCH("*"&amp;'CW Branches'!$H$6&amp;"*",$AA$26:$AA$93,0)),IF(ISNA(INDEX($I$26:$I$93,MATCH("*"&amp;'CW Branches'!$H$6&amp;"*",$L$26:$L$93,0)))=FALSE,INDEX($I$26:$I$93,MATCH("*"&amp;'CW Branches'!$H$6&amp;"*",$L$26:$L$93,0)),IF(ISNA(INDEX($I$26:$I$93,MATCH("*"&amp;'CW Branches'!$H$6&amp;"*",$X$26:$X$93,0)))=FALSE,INDEX($I$26:$I$93,MATCH("*"&amp;'CW Branches'!$H$6&amp;"*",$X$26:$X$93,0)),""))))),""))</f>
        <v/>
      </c>
      <c r="I7" s="20" t="str">
        <f>IF(LEN('CW Branches'!$H$6)&lt;=2,IF($I$6="",IF(ISNA(INDEX($I$26:$I$93,MATCH('CW Branches'!$H$6,$T$26:$T$93,0)))=TRUE,"",INDEX($I$26:$I$93,MATCH('CW Branches'!$H$6,$T$26:$T$93,0))),""),IF($I$6="",IF(ISNA(INDEX($I$26:$I$93,MATCH("*"&amp;'CW Branches'!$H$6&amp;"*",$U$26:$U$93,0)))=FALSE,INDEX($I$26:$I$93,MATCH("*"&amp;'CW Branches'!$H$6&amp;"*",$U$26:$U$93,0)),IF(ISNA(INDEX($I$26:$I$93,MATCH("*"&amp;'CW Branches'!$H$6&amp;"*",$AA$26:$AA$93,0)))=FALSE,INDEX($I$26:$I$93,MATCH("*"&amp;'CW Branches'!$H$6&amp;"*",$AA$26:$AA$93,0)),IF(ISNA(INDEX($I$26:$I$93,MATCH("*"&amp;'CW Branches'!$H$6&amp;"*",$L$26:$L$93,0)))=FALSE,INDEX($I$26:$I$93,MATCH("*"&amp;'CW Branches'!$H$6&amp;"*",$L$26:$L$93,0)),IF(ISNA(INDEX($I$26:$I$93,MATCH("*"&amp;'CW Branches'!$H$6&amp;"*",$X$26:$X$93,0)))=FALSE,INDEX($I$26:$I$93,MATCH("*"&amp;'CW Branches'!$H$6&amp;"*",$X$26:$X$93,0)),"")))),""))</f>
        <v/>
      </c>
      <c r="J7" s="20" t="str">
        <f ca="1">IF(ISNA(VLOOKUP($I$7,$I$15:$AA$93,2,FALSE))=TRUE,"",VLOOKUP($I$7,$I$15:$AA$93,2,FALSE))</f>
        <v/>
      </c>
      <c r="K7" s="20" t="str">
        <f ca="1">IF(ISNA(VLOOKUP($I$7,$I$15:$AA$93,3,FALSE))=TRUE,"",VLOOKUP($I$7,$I$15:$AA$93,3,FALSE))</f>
        <v/>
      </c>
      <c r="L7" s="20" t="str">
        <f ca="1">IF(ISNA(VLOOKUP($I$7,$I$15:$AA$93,4,FALSE))=TRUE,"",VLOOKUP($I$7,$I$15:$AA$93,4,FALSE))</f>
        <v/>
      </c>
      <c r="M7" s="17" t="str">
        <f ca="1">IF(ISNA(VLOOKUP($I$7,$I$15:$AA$93,5,FALSE))=TRUE,"",VLOOKUP($I$7,$I$15:$AA$93,5,FALSE))</f>
        <v/>
      </c>
      <c r="N7" s="17" t="str">
        <f ca="1">IF(ISNA(VLOOKUP($I$7,$I$15:$AA$93,6,FALSE))=TRUE,"",VLOOKUP($I$7,$I$15:$AA$93,6,FALSE))</f>
        <v/>
      </c>
      <c r="O7" s="20" t="str">
        <f ca="1">IF(ISNA(VLOOKUP($I$7,$I$15:$AA$93,7,FALSE))=TRUE,"",VLOOKUP($I$7,$I$15:$AA$93,7,FALSE))</f>
        <v/>
      </c>
      <c r="P7" s="19" t="str">
        <f ca="1">IF(ISNA(VLOOKUP($I$7,$I$15:$AA$93,8,FALSE))=TRUE,"",VLOOKUP($I$7,$I$15:$AA$93,8,FALSE))</f>
        <v/>
      </c>
      <c r="Q7" s="18" t="str">
        <f ca="1">IF(ISNA(VLOOKUP($I$7,$I$15:$AA$93,9,FALSE))=TRUE,"",VLOOKUP($I$7,$I$15:$AA$93,9,FALSE))</f>
        <v/>
      </c>
      <c r="R7" s="19" t="str">
        <f ca="1">IF(ISNA(VLOOKUP($I$7,$I$15:$AA$93,10,FALSE))=TRUE,"",VLOOKUP($I$7,$I$15:$AA$93,10,FALSE))</f>
        <v/>
      </c>
      <c r="S7" s="20" t="e">
        <f ca="1">IF(VLOOKUP(I7,$I$15:$AA$93,11,FALSE)="","No Case Transfer Email is Listed.",IF(ISNA(VLOOKUP(I7,$I$15:$AA$93,11,FALSE))=TRUE,"",VLOOKUP(I7,$I$15:$AA$93,11,FALSE)))</f>
        <v>#N/A</v>
      </c>
      <c r="T7" s="21" t="str">
        <f ca="1">IF(ISNA(VLOOKUP($I$7,$I$15:$AA$93,12,FALSE))=TRUE,"",VLOOKUP($I$7,$I$15:$AA$93,12,FALSE))</f>
        <v/>
      </c>
      <c r="U7" s="20" t="str">
        <f ca="1">IF(ISNA(VLOOKUP($I$7,$I$15:$AA$93,13,FALSE))=TRUE,"",VLOOKUP($I$7,$I$15:$AA$93,13,FALSE))</f>
        <v/>
      </c>
      <c r="V7" s="20" t="str">
        <f ca="1">IF(ISNA(VLOOKUP($I$7,$I$15:$AA$93,14,FALSE))=TRUE,"",VLOOKUP($I$7,$I$15:$AA$93,14,FALSE))</f>
        <v/>
      </c>
      <c r="W7" s="20" t="str">
        <f ca="1">IF(ISNA(VLOOKUP($I$7,$I$15:$AA$93,15,FALSE))=TRUE,"",IF(VLOOKUP($I$7,$I$15:$AA$93,15,FALSE)=0,"",VLOOKUP($I$7,$I$15:$AA$93,15,FALSE)))</f>
        <v/>
      </c>
      <c r="X7" s="20" t="str">
        <f ca="1">IF(ISNA(VLOOKUP($I$7,$I$15:$AA$93,16,FALSE))=TRUE,"",VLOOKUP($I$7,$I$15:$AA$93,16,FALSE))</f>
        <v/>
      </c>
      <c r="Y7" s="20" t="str">
        <f ca="1">IF(ISNA(VLOOKUP($I$7,$I$15:$AA$93,17,FALSE))=TRUE,"",VLOOKUP($I$7,$I$15:$AA$93,17,FALSE))</f>
        <v/>
      </c>
      <c r="Z7" s="20" t="str">
        <f ca="1">IF(ISNA(VLOOKUP($I$7,$I$15:$AA$93,18,FALSE))=TRUE,"",VLOOKUP($I$7,$I$15:$AA$93,18,FALSE))</f>
        <v/>
      </c>
      <c r="AA7" s="20" t="str">
        <f ca="1">IF(ISNA(VLOOKUP($I$7,$I$15:$AA$93,19,FALSE))=TRUE,"",VLOOKUP($I$7,$I$15:$AA$93,19,FALSE))</f>
        <v/>
      </c>
    </row>
    <row r="8" spans="1:27" x14ac:dyDescent="0.25">
      <c r="A8" s="7">
        <v>2</v>
      </c>
      <c r="B8" s="15" t="str">
        <f>IF('CW Branches'!$H$6="","",IF(I8="","",""&amp;L8&amp;" "&amp;K8&amp;""&amp;CHAR(10)&amp;""&amp;V8&amp;" "&amp;W8&amp;""&amp;CHAR(10)&amp;""&amp;X8&amp;", "&amp;Y8&amp;" "&amp;Z8&amp;""&amp;CHAR(10)&amp;""&amp;AA8&amp;" County"&amp;CHAR(10)&amp;"District "&amp;T8&amp;""&amp;CHAR(10)&amp;"Phone Number: "&amp;TEXT(P8,"(000) 000-0000")&amp;""))</f>
        <v/>
      </c>
      <c r="C8" s="37" t="str">
        <f>""</f>
        <v/>
      </c>
      <c r="D8" s="37"/>
      <c r="E8" s="7" t="str">
        <f>""</f>
        <v/>
      </c>
      <c r="F8" s="7"/>
      <c r="G8" s="7"/>
      <c r="H8" s="18" t="str">
        <f ca="1">IF(LEN('CW Branches'!$H$6)&lt;=2,
IF(ISERROR(ROW(IF(ISNA(INDEX(INDIRECT("I"&amp;H7+1):$I$94,MATCH('CW Branches'!$H$6,INDIRECT("T"&amp;H7+1):$T$94,0)))=TRUE,"",INDEX(INDIRECT("I"&amp;H7+1):$I$94,MATCH('CW Branches'!$H$6,INDIRECT("T"&amp;H7+1):$T$94,0)))))=TRUE,"",ROW(IF(ISNA(INDEX(INDIRECT("I"&amp;H7+1):$I$94,MATCH('CW Branches'!$H$6,INDIRECT("T"&amp;H7+1):$T$94,0)))=TRUE,"",INDEX(INDIRECT("I"&amp;H7+1):$I$94,MATCH('CW Branches'!$H$6,INDIRECT("T"&amp;H7+1):$T$94,0))))),IF(ISERROR(ROW(IF(ISNA(INDEX(INDIRECT("I"&amp;H7+1):$I$94,MATCH("*"&amp;'CW Branches'!$H$6&amp;"*",INDIRECT("U"&amp;H7+1):$U$94,0)))=FALSE,INDEX(INDIRECT("I"&amp;H7+1):$I$94,MATCH("*"&amp;'CW Branches'!$H$6&amp;"*",INDIRECT("U"&amp;H7+1):$U$94,0)),IF(ISNA(INDEX(INDIRECT("I"&amp;H7+1):$I$94,MATCH("*"&amp;'CW Branches'!$H$6&amp;"*",INDIRECT("X"&amp;H7+1):$X$94,0)))=FALSE,INDEX(INDIRECT("I"&amp;H7+1):$I$94,MATCH("*"&amp;'CW Branches'!$H$6&amp;"*",INDIRECT("X"&amp;H7+1):$X$94,0)),IF(ISNA(INDEX(INDIRECT("I"&amp;H7+1):$I$94,MATCH("*"&amp;'CW Branches'!$H$6&amp;"*",INDIRECT("AA"&amp;H7+1):$AA$94,0)))=FALSE,INDEX(INDIRECT("I"&amp;H7+1):$I$94,MATCH("*"&amp;'CW Branches'!$H$6&amp;"*",INDIRECT("AA"&amp;H7+1):$AA$94,0)),IF(ISNA(INDEX(INDIRECT("I"&amp;H7+1):$I$94,MATCH("*"&amp;'CW Branches'!$H$6&amp;"*",INDIRECT("L"&amp;H7+1):$L$94,0)))=FALSE,INDEX(INDIRECT("I"&amp;H7+1):$I$94,MATCH("*"&amp;'CW Branches'!$H$6&amp;"*",INDIRECT("L"&amp;H7+1):$L$94,0)),""))))))=TRUE,"",ROW(IF(ISNA(INDEX(INDIRECT("I"&amp;H7+1):$I$94,MATCH("*"&amp;'CW Branches'!$H$6&amp;"*",INDIRECT("U"&amp;H7+1):$U$94,0)))=FALSE,INDEX(INDIRECT("I"&amp;H7+1):$I$94,MATCH("*"&amp;'CW Branches'!$H$6&amp;"*",INDIRECT("U"&amp;H7+1):$U$94,0)),IF(ISNA(INDEX(INDIRECT("I"&amp;H7+1):$I$94,MATCH("*"&amp;'CW Branches'!$H$6&amp;"*",INDIRECT("AA"&amp;H7+1):$AA$94,0)))=FALSE,INDEX(INDIRECT("I"&amp;H7+1):$I$94,MATCH("*"&amp;'CW Branches'!$H$6&amp;"*",INDIRECT("AA"&amp;H7+1):$AA$94,0)),IF(ISNA(INDEX(INDIRECT("I"&amp;H7+1):$I$94,MATCH("*"&amp;'CW Branches'!$H$6&amp;"*",INDIRECT("L"&amp;H7+1):$L$94,0)))=FALSE,INDEX(INDIRECT("I"&amp;H7+1):$I$94,MATCH("*"&amp;'CW Branches'!$H$6&amp;"*",INDIRECT("L"&amp;H7+1):$L$94,0)),IF(ISNA(INDEX(INDIRECT("I"&amp;H7+1):$I$94,MATCH("*"&amp;'CW Branches'!$H$6&amp;"*",INDIRECT("X"&amp;H7+1):$X$94,0)))=FALSE,INDEX(INDIRECT("I"&amp;H7+1):$I$94,MATCH("*"&amp;'CW Branches'!$H$6&amp;"*",INDIRECT("X"&amp;H7+1):$X$94,0)),"")))))))</f>
        <v/>
      </c>
      <c r="I8" s="20" t="str">
        <f ca="1">IF(LEN('CW Branches'!$H$6)&lt;=2,IF($I$6="",IF(ISERROR(IF(ISNA(INDEX(INDIRECT("I"&amp;H7+1):$I$94,MATCH('CW Branches'!$H$6,INDIRECT("T"&amp;H7+1):$T$94,0)))=FALSE,INDEX(INDIRECT("I"&amp;H7+1):$I$94,MATCH('CW Branches'!$H$6,INDIRECT("T"&amp;H7+1):$T$94,0)),""))=TRUE,"",IF(ISNA(INDEX(INDIRECT("I"&amp;H7+1):$I$94,MATCH('CW Branches'!$H$6,INDIRECT("T"&amp;H7+1):$T$94,0)))=FALSE,INDEX(INDIRECT("I"&amp;H7+1):$I$94,MATCH('CW Branches'!$H$6,INDIRECT("T"&amp;H7+1):$T$94,0)),"")),""),IF($I$6="",IF(ISERROR(IF(ISNA(INDEX(INDIRECT("I"&amp;H7+1):$I$94,MATCH("*"&amp;'CW Branches'!$H$6&amp;"*",INDIRECT("U"&amp;H7+1):$U$94,0)))=FALSE,INDEX(INDIRECT("I"&amp;H7+1):$I$94,MATCH("*"&amp;'CW Branches'!$H$6&amp;"*",INDIRECT("U"&amp;H7+1):$U$94,0)),IF(ISNA(INDEX(INDIRECT("I"&amp;H7+1):$I$94,MATCH("*"&amp;'CW Branches'!$H$6&amp;"*",INDIRECT("X"&amp;H7+1):$X$94,0)))=FALSE,INDEX(INDIRECT("I"&amp;H7+1):$I$94,MATCH("*"&amp;'CW Branches'!$H$6&amp;"*",INDIRECT("X"&amp;H7+1):$X$94,0)),IF(ISNA(INDEX(INDIRECT("I"&amp;H7+1):$I$94,MATCH("*"&amp;'CW Branches'!$H$6&amp;"*",INDIRECT("L"&amp;H7+1):$L$94,0)))=FALSE,INDEX(INDIRECT("I"&amp;H7+1):$I$94,MATCH("*"&amp;'CW Branches'!$H$6&amp;"*",INDIRECT("L"&amp;H7+1):$L$94,0)),""))))=TRUE,"",IF(ISNA(INDEX(INDIRECT("I"&amp;H7+1):$I$94,MATCH("*"&amp;'CW Branches'!$H$6&amp;"*",INDIRECT("U"&amp;H7+1):$U$94,0)))=FALSE,INDEX(INDIRECT("I"&amp;H7+1):$I$94,MATCH("*"&amp;'CW Branches'!$H$6&amp;"*",INDIRECT("U"&amp;H7+1):$U$94,0)),IF(ISNA(INDEX(INDIRECT("I"&amp;H7+1):$I$94,MATCH("*"&amp;'CW Branches'!$H$6&amp;"*",INDIRECT("AA"&amp;H7+1):$AA$94,0)))=FALSE,INDEX(INDIRECT("I"&amp;H7+1):$I$94,MATCH("*"&amp;'CW Branches'!$H$6&amp;"*",INDIRECT("AA"&amp;H7+1):$AA$94,0)),IF(ISNA(INDEX(INDIRECT("I"&amp;H7+1):$I$94,MATCH("*"&amp;'CW Branches'!$H$6&amp;"*",INDIRECT("L"&amp;H7+1):$L$94,0)))=FALSE,INDEX(INDIRECT("I"&amp;H7+1):$I$94,MATCH("*"&amp;'CW Branches'!$H$6&amp;"*",INDIRECT("L"&amp;H7+1):$L$94,0)),IF(ISNA(INDEX(INDIRECT("I"&amp;H7+1):$I$94,MATCH("*"&amp;'CW Branches'!$H$6&amp;"*",INDIRECT("X"&amp;H7+1):$X$94,0)))=FALSE,INDEX(INDIRECT("I"&amp;H7+1):$I$94,MATCH("*"&amp;'CW Branches'!$H$6&amp;"*",INDIRECT("X"&amp;H7+1):$X$94,0)),""))))),""))</f>
        <v/>
      </c>
      <c r="J8" s="20" t="str">
        <f ca="1">IF(ISNA(VLOOKUP($I$8,$I$26:$AA$93,2,FALSE))=TRUE,"",VLOOKUP($I$8,$I$26:$AA$93,2,FALSE))</f>
        <v/>
      </c>
      <c r="K8" s="20" t="str">
        <f t="shared" ref="K8:K22" ca="1" si="0">IF(ISNA(VLOOKUP(I8,$I$26:$AA$93,3,FALSE))=TRUE,"",VLOOKUP(I8,$I$26:$AA$93,3,FALSE))</f>
        <v/>
      </c>
      <c r="L8" s="20" t="str">
        <f t="shared" ref="L8:L22" ca="1" si="1">IF(ISNA(VLOOKUP(I8,$I$26:$AA$93,4,FALSE))=TRUE,"",VLOOKUP(I8,$I$26:$AA$93,4,FALSE))</f>
        <v/>
      </c>
      <c r="M8" s="17" t="str">
        <f t="shared" ref="M8:M22" ca="1" si="2">IF(ISNA(VLOOKUP(I8,$I$26:$AA$93,5,FALSE))=TRUE,"",VLOOKUP(I8,$I$26:$AA$93,5,FALSE))</f>
        <v/>
      </c>
      <c r="N8" s="17" t="str">
        <f t="shared" ref="N8:N22" ca="1" si="3">IF(ISNA(VLOOKUP(I8,$I$26:$AA$93,6,FALSE))=TRUE,"",VLOOKUP(I8,$I$26:$AA$93,6,FALSE))</f>
        <v/>
      </c>
      <c r="O8" s="20" t="str">
        <f t="shared" ref="O8:O22" ca="1" si="4">IF(ISNA(VLOOKUP(I8,$I$26:$AA$93,7,FALSE))=TRUE,"",VLOOKUP(I8,$I$26:$AA$93,7,FALSE))</f>
        <v/>
      </c>
      <c r="P8" s="19" t="str">
        <f t="shared" ref="P8:P22" ca="1" si="5">IF(ISNA(VLOOKUP(I8,$I$26:$AA$93,8,FALSE))=TRUE,"",VLOOKUP(I8,$I$26:$AA$93,8,FALSE))</f>
        <v/>
      </c>
      <c r="Q8" s="18" t="str">
        <f t="shared" ref="Q8:Q22" ca="1" si="6">IF(ISNA(VLOOKUP(I8,$I$26:$AA$93,9,FALSE))=TRUE,"",VLOOKUP(I8,$I$26:$AA$93,9,FALSE))</f>
        <v/>
      </c>
      <c r="R8" s="19" t="str">
        <f t="shared" ref="R8:R22" ca="1" si="7">IF(ISNA(VLOOKUP(I8,$I$26:$AA$93,10,FALSE))=TRUE,"",VLOOKUP(I8,$I$26:$AA$93,10,FALSE))</f>
        <v/>
      </c>
      <c r="S8" s="20" t="e">
        <f t="shared" ref="S8:S22" ca="1" si="8">IF(VLOOKUP(I8,$I$26:$AA$93,11,FALSE)="","No Case Transfer Email is Listed.",IF(ISNA(VLOOKUP(I8,$I$26:$AA$93,11,FALSE))=TRUE,"",VLOOKUP(I8,$I$26:$AA$93,11,FALSE)))</f>
        <v>#N/A</v>
      </c>
      <c r="T8" s="21" t="str">
        <f t="shared" ref="T8:T22" ca="1" si="9">IF(ISNA(VLOOKUP(I8,$I$26:$AA$93,12,FALSE))=TRUE,"",VLOOKUP(I8,$I$26:$AA$93,12,FALSE))</f>
        <v/>
      </c>
      <c r="U8" s="20" t="str">
        <f t="shared" ref="U8:U22" ca="1" si="10">IF(ISNA(VLOOKUP(I8,$I$26:$AA$93,13,FALSE))=TRUE,"",VLOOKUP(I8,$I$26:$AA$93,13,FALSE))</f>
        <v/>
      </c>
      <c r="V8" s="20" t="str">
        <f t="shared" ref="V8:V22" ca="1" si="11">IF(ISNA(VLOOKUP(I8,$I$26:$AA$93,14,FALSE))=TRUE,"",VLOOKUP(I8,$I$26:$AA$93,14,FALSE))</f>
        <v/>
      </c>
      <c r="W8" s="20" t="str">
        <f t="shared" ref="W8:W22" ca="1" si="12">IF(ISNA(VLOOKUP(I8,$I$26:$AA$93,15,FALSE))=TRUE,"",IF(VLOOKUP(I8,$I$26:$AA$93,15,FALSE)=0,"",VLOOKUP(I8,$I$26:$AA$93,15,FALSE)))</f>
        <v/>
      </c>
      <c r="X8" s="20" t="str">
        <f t="shared" ref="X8:X22" ca="1" si="13">IF(ISNA(VLOOKUP(I8,$I$26:$AA$93,16,FALSE))=TRUE,"",VLOOKUP(I8,$I$26:$AA$93,16,FALSE))</f>
        <v/>
      </c>
      <c r="Y8" s="20" t="str">
        <f t="shared" ref="Y8:Y22" ca="1" si="14">IF(ISNA(VLOOKUP(I8,$I$26:$AA$93,17,FALSE))=TRUE,"",VLOOKUP(I8,$I$26:$AA$93,17,FALSE))</f>
        <v/>
      </c>
      <c r="Z8" s="20" t="str">
        <f t="shared" ref="Z8:Z22" ca="1" si="15">IF(ISNA(VLOOKUP(I8,$I$26:$AA$93,18,FALSE))=TRUE,"",VLOOKUP(I8,$I$26:$AA$93,18,FALSE))</f>
        <v/>
      </c>
      <c r="AA8" s="20" t="str">
        <f t="shared" ref="AA8:AA22" ca="1" si="16">IF(ISNA(VLOOKUP(I8,$I$26:$AA$93,19,FALSE))=TRUE,"",VLOOKUP(I8,$I$26:$AA$93,19,FALSE))</f>
        <v/>
      </c>
    </row>
    <row r="9" spans="1:27" x14ac:dyDescent="0.25">
      <c r="A9" s="7">
        <v>3</v>
      </c>
      <c r="B9" s="15" t="str">
        <f>IF('CW Branches'!$H$6="","",IF(I9="","",""&amp;L9&amp;" "&amp;K9&amp;""&amp;CHAR(10)&amp;""&amp;V9&amp;" "&amp;W9&amp;""&amp;CHAR(10)&amp;""&amp;X9&amp;", "&amp;Y9&amp;" "&amp;Z9&amp;""&amp;CHAR(10)&amp;""&amp;AA9&amp;" County"&amp;CHAR(10)&amp;"District "&amp;T9&amp;""&amp;CHAR(10)&amp;"Phone Number: "&amp;TEXT(P9,"(000) 000-0000")&amp;""))</f>
        <v/>
      </c>
      <c r="C9" s="37" t="str">
        <f>""</f>
        <v/>
      </c>
      <c r="D9" s="37"/>
      <c r="E9" s="7" t="str">
        <f>""</f>
        <v/>
      </c>
      <c r="F9" s="7"/>
      <c r="G9" s="7"/>
      <c r="H9" s="18" t="str">
        <f ca="1">IF(LEN('CW Branches'!$H$6)&lt;=2,
IF(ISERROR(ROW(IF(ISNA(INDEX(INDIRECT("I"&amp;H8+1):$I$94,MATCH('CW Branches'!$H$6,INDIRECT("T"&amp;H8+1):$T$94,0)))=TRUE,"",INDEX(INDIRECT("I"&amp;H8+1):$I$94,MATCH('CW Branches'!$H$6,INDIRECT("T"&amp;H8+1):$T$94,0)))))=TRUE,"",ROW(IF(ISNA(INDEX(INDIRECT("I"&amp;H8+1):$I$94,MATCH('CW Branches'!$H$6,INDIRECT("T"&amp;H8+1):$T$94,0)))=TRUE,"",INDEX(INDIRECT("I"&amp;H8+1):$I$94,MATCH('CW Branches'!$H$6,INDIRECT("T"&amp;H8+1):$T$94,0))))),IF(ISERROR(ROW(IF(ISNA(INDEX(INDIRECT("I"&amp;H8+1):$I$94,MATCH("*"&amp;'CW Branches'!$H$6&amp;"*",INDIRECT("U"&amp;H8+1):$U$94,0)))=FALSE,INDEX(INDIRECT("I"&amp;H8+1):$I$94,MATCH("*"&amp;'CW Branches'!$H$6&amp;"*",INDIRECT("U"&amp;H8+1):$U$94,0)),IF(ISNA(INDEX(INDIRECT("I"&amp;H8+1):$I$94,MATCH("*"&amp;'CW Branches'!$H$6&amp;"*",INDIRECT("X"&amp;H8+1):$X$94,0)))=FALSE,INDEX(INDIRECT("I"&amp;H8+1):$I$94,MATCH("*"&amp;'CW Branches'!$H$6&amp;"*",INDIRECT("X"&amp;H8+1):$X$94,0)),IF(ISNA(INDEX(INDIRECT("I"&amp;H8+1):$I$94,MATCH("*"&amp;'CW Branches'!$H$6&amp;"*",INDIRECT("AA"&amp;H8+1):$AA$94,0)))=FALSE,INDEX(INDIRECT("I"&amp;H8+1):$I$94,MATCH("*"&amp;'CW Branches'!$H$6&amp;"*",INDIRECT("AA"&amp;H8+1):$AA$94,0)),IF(ISNA(INDEX(INDIRECT("I"&amp;H8+1):$I$94,MATCH("*"&amp;'CW Branches'!$H$6&amp;"*",INDIRECT("L"&amp;H8+1):$L$94,0)))=FALSE,INDEX(INDIRECT("I"&amp;H8+1):$I$94,MATCH("*"&amp;'CW Branches'!$H$6&amp;"*",INDIRECT("L"&amp;H8+1):$L$94,0)),""))))))=TRUE,"",ROW(IF(ISNA(INDEX(INDIRECT("I"&amp;H8+1):$I$94,MATCH("*"&amp;'CW Branches'!$H$6&amp;"*",INDIRECT("U"&amp;H8+1):$U$94,0)))=FALSE,INDEX(INDIRECT("I"&amp;H8+1):$I$94,MATCH("*"&amp;'CW Branches'!$H$6&amp;"*",INDIRECT("U"&amp;H8+1):$U$94,0)),IF(ISNA(INDEX(INDIRECT("I"&amp;H8+1):$I$94,MATCH("*"&amp;'CW Branches'!$H$6&amp;"*",INDIRECT("AA"&amp;H8+1):$AA$94,0)))=FALSE,INDEX(INDIRECT("I"&amp;H8+1):$I$94,MATCH("*"&amp;'CW Branches'!$H$6&amp;"*",INDIRECT("AA"&amp;H8+1):$AA$94,0)),IF(ISNA(INDEX(INDIRECT("I"&amp;H8+1):$I$94,MATCH("*"&amp;'CW Branches'!$H$6&amp;"*",INDIRECT("L"&amp;H8+1):$L$94,0)))=FALSE,INDEX(INDIRECT("I"&amp;H8+1):$I$94,MATCH("*"&amp;'CW Branches'!$H$6&amp;"*",INDIRECT("L"&amp;H8+1):$L$94,0)),IF(ISNA(INDEX(INDIRECT("I"&amp;H8+1):$I$94,MATCH("*"&amp;'CW Branches'!$H$6&amp;"*",INDIRECT("X"&amp;H8+1):$X$94,0)))=FALSE,INDEX(INDIRECT("I"&amp;H8+1):$I$94,MATCH("*"&amp;'CW Branches'!$H$6&amp;"*",INDIRECT("X"&amp;H8+1):$X$94,0)),"")))))))</f>
        <v/>
      </c>
      <c r="I9" s="20" t="str">
        <f ca="1">IF(LEN('CW Branches'!$H$6)&lt;=2,IF($I$6="",IF(ISERROR(IF(ISNA(INDEX(INDIRECT("I"&amp;H8+1):$I$94,MATCH('CW Branches'!$H$6,INDIRECT("T"&amp;H8+1):$T$94,0)))=FALSE,INDEX(INDIRECT("I"&amp;H8+1):$I$94,MATCH('CW Branches'!$H$6,INDIRECT("T"&amp;H8+1):$T$94,0)),""))=TRUE,"",IF(ISNA(INDEX(INDIRECT("I"&amp;H8+1):$I$94,MATCH('CW Branches'!$H$6,INDIRECT("T"&amp;H8+1):$T$94,0)))=FALSE,INDEX(INDIRECT("I"&amp;H8+1):$I$94,MATCH('CW Branches'!$H$6,INDIRECT("T"&amp;H8+1):$T$94,0)),"")),""),IF($I$6="",IF(ISERROR(IF(ISNA(INDEX(INDIRECT("I"&amp;H8+1):$I$94,MATCH("*"&amp;'CW Branches'!$H$6&amp;"*",INDIRECT("U"&amp;H8+1):$U$94,0)))=FALSE,INDEX(INDIRECT("I"&amp;H8+1):$I$94,MATCH("*"&amp;'CW Branches'!$H$6&amp;"*",INDIRECT("U"&amp;H8+1):$U$94,0)),IF(ISNA(INDEX(INDIRECT("I"&amp;H8+1):$I$94,MATCH("*"&amp;'CW Branches'!$H$6&amp;"*",INDIRECT("X"&amp;H8+1):$X$94,0)))=FALSE,INDEX(INDIRECT("I"&amp;H8+1):$I$94,MATCH("*"&amp;'CW Branches'!$H$6&amp;"*",INDIRECT("X"&amp;H8+1):$X$94,0)),IF(ISNA(INDEX(INDIRECT("I"&amp;H8+1):$I$94,MATCH("*"&amp;'CW Branches'!$H$6&amp;"*",INDIRECT("L"&amp;H8+1):$L$94,0)))=FALSE,INDEX(INDIRECT("I"&amp;H8+1):$I$94,MATCH("*"&amp;'CW Branches'!$H$6&amp;"*",INDIRECT("L"&amp;H8+1):$L$94,0)),""))))=TRUE,"",IF(ISNA(INDEX(INDIRECT("I"&amp;H8+1):$I$94,MATCH("*"&amp;'CW Branches'!$H$6&amp;"*",INDIRECT("U"&amp;H8+1):$U$94,0)))=FALSE,INDEX(INDIRECT("I"&amp;H8+1):$I$94,MATCH("*"&amp;'CW Branches'!$H$6&amp;"*",INDIRECT("U"&amp;H8+1):$U$94,0)),IF(ISNA(INDEX(INDIRECT("I"&amp;H8+1):$I$94,MATCH("*"&amp;'CW Branches'!$H$6&amp;"*",INDIRECT("AA"&amp;H8+1):$AA$94,0)))=FALSE,INDEX(INDIRECT("I"&amp;H8+1):$I$94,MATCH("*"&amp;'CW Branches'!$H$6&amp;"*",INDIRECT("AA"&amp;H8+1):$AA$94,0)),IF(ISNA(INDEX(INDIRECT("I"&amp;H8+1):$I$94,MATCH("*"&amp;'CW Branches'!$H$6&amp;"*",INDIRECT("L"&amp;H8+1):$L$94,0)))=FALSE,INDEX(INDIRECT("I"&amp;H8+1):$I$94,MATCH("*"&amp;'CW Branches'!$H$6&amp;"*",INDIRECT("L"&amp;H8+1):$L$94,0)),IF(ISNA(INDEX(INDIRECT("I"&amp;H8+1):$I$94,MATCH("*"&amp;'CW Branches'!$H$6&amp;"*",INDIRECT("X"&amp;H8+1):$X$94,0)))=FALSE,INDEX(INDIRECT("I"&amp;H8+1):$I$94,MATCH("*"&amp;'CW Branches'!$H$6&amp;"*",INDIRECT("X"&amp;H8+1):$X$94,0)),""))))),""))</f>
        <v/>
      </c>
      <c r="J9" s="20" t="str">
        <f t="shared" ref="J9:J22" ca="1" si="17">IF(ISNA(VLOOKUP(I9,$I$26:$AA$93,2,FALSE))=TRUE,"",VLOOKUP(I9,$I$26:$AA$93,2,FALSE))</f>
        <v/>
      </c>
      <c r="K9" s="20" t="str">
        <f t="shared" ca="1" si="0"/>
        <v/>
      </c>
      <c r="L9" s="20" t="str">
        <f t="shared" ca="1" si="1"/>
        <v/>
      </c>
      <c r="M9" s="17" t="str">
        <f t="shared" ca="1" si="2"/>
        <v/>
      </c>
      <c r="N9" s="17" t="str">
        <f t="shared" ca="1" si="3"/>
        <v/>
      </c>
      <c r="O9" s="20" t="str">
        <f t="shared" ca="1" si="4"/>
        <v/>
      </c>
      <c r="P9" s="19" t="str">
        <f t="shared" ca="1" si="5"/>
        <v/>
      </c>
      <c r="Q9" s="18" t="str">
        <f t="shared" ca="1" si="6"/>
        <v/>
      </c>
      <c r="R9" s="19" t="str">
        <f t="shared" ca="1" si="7"/>
        <v/>
      </c>
      <c r="S9" s="20" t="e">
        <f t="shared" ca="1" si="8"/>
        <v>#N/A</v>
      </c>
      <c r="T9" s="21" t="str">
        <f t="shared" ca="1" si="9"/>
        <v/>
      </c>
      <c r="U9" s="20" t="str">
        <f t="shared" ca="1" si="10"/>
        <v/>
      </c>
      <c r="V9" s="20" t="str">
        <f t="shared" ca="1" si="11"/>
        <v/>
      </c>
      <c r="W9" s="20" t="str">
        <f t="shared" ca="1" si="12"/>
        <v/>
      </c>
      <c r="X9" s="20" t="str">
        <f t="shared" ca="1" si="13"/>
        <v/>
      </c>
      <c r="Y9" s="20" t="str">
        <f t="shared" ca="1" si="14"/>
        <v/>
      </c>
      <c r="Z9" s="20" t="str">
        <f t="shared" ca="1" si="15"/>
        <v/>
      </c>
      <c r="AA9" s="20" t="str">
        <f t="shared" ca="1" si="16"/>
        <v/>
      </c>
    </row>
    <row r="10" spans="1:27" x14ac:dyDescent="0.25">
      <c r="A10" s="7">
        <v>4</v>
      </c>
      <c r="B10" s="15" t="str">
        <f>IF('CW Branches'!$H$6="","",IF(I10="","",""&amp;L10&amp;" "&amp;K10&amp;""&amp;CHAR(10)&amp;""&amp;V10&amp;" "&amp;W10&amp;""&amp;CHAR(10)&amp;""&amp;X10&amp;", "&amp;Y10&amp;" "&amp;Z10&amp;""&amp;CHAR(10)&amp;""&amp;AA10&amp;" County"&amp;CHAR(10)&amp;"District "&amp;T10&amp;""&amp;CHAR(10)&amp;"Phone Number: "&amp;TEXT(P10,"(000) 000-0000")&amp;""))</f>
        <v/>
      </c>
      <c r="C10" s="37" t="str">
        <f>""</f>
        <v/>
      </c>
      <c r="D10" s="37"/>
      <c r="E10" s="7" t="str">
        <f>""</f>
        <v/>
      </c>
      <c r="F10" s="7"/>
      <c r="G10" s="7"/>
      <c r="H10" s="18" t="str">
        <f ca="1">IF(LEN('CW Branches'!$H$6)&lt;=2,
IF(ISERROR(ROW(IF(ISNA(INDEX(INDIRECT("I"&amp;H9+1):$I$94,MATCH('CW Branches'!$H$6,INDIRECT("T"&amp;H9+1):$T$94,0)))=TRUE,"",INDEX(INDIRECT("I"&amp;H9+1):$I$94,MATCH('CW Branches'!$H$6,INDIRECT("T"&amp;H9+1):$T$94,0)))))=TRUE,"",ROW(IF(ISNA(INDEX(INDIRECT("I"&amp;H9+1):$I$94,MATCH('CW Branches'!$H$6,INDIRECT("T"&amp;H9+1):$T$94,0)))=TRUE,"",INDEX(INDIRECT("I"&amp;H9+1):$I$94,MATCH('CW Branches'!$H$6,INDIRECT("T"&amp;H9+1):$T$94,0))))),IF(ISERROR(ROW(IF(ISNA(INDEX(INDIRECT("I"&amp;H9+1):$I$94,MATCH("*"&amp;'CW Branches'!$H$6&amp;"*",INDIRECT("U"&amp;H9+1):$U$94,0)))=FALSE,INDEX(INDIRECT("I"&amp;H9+1):$I$94,MATCH("*"&amp;'CW Branches'!$H$6&amp;"*",INDIRECT("U"&amp;H9+1):$U$94,0)),IF(ISNA(INDEX(INDIRECT("I"&amp;H9+1):$I$94,MATCH("*"&amp;'CW Branches'!$H$6&amp;"*",INDIRECT("X"&amp;H9+1):$X$94,0)))=FALSE,INDEX(INDIRECT("I"&amp;H9+1):$I$94,MATCH("*"&amp;'CW Branches'!$H$6&amp;"*",INDIRECT("X"&amp;H9+1):$X$94,0)),IF(ISNA(INDEX(INDIRECT("I"&amp;H9+1):$I$94,MATCH("*"&amp;'CW Branches'!$H$6&amp;"*",INDIRECT("AA"&amp;H9+1):$AA$94,0)))=FALSE,INDEX(INDIRECT("I"&amp;H9+1):$I$94,MATCH("*"&amp;'CW Branches'!$H$6&amp;"*",INDIRECT("AA"&amp;H9+1):$AA$94,0)),IF(ISNA(INDEX(INDIRECT("I"&amp;H9+1):$I$94,MATCH("*"&amp;'CW Branches'!$H$6&amp;"*",INDIRECT("L"&amp;H9+1):$L$94,0)))=FALSE,INDEX(INDIRECT("I"&amp;H9+1):$I$94,MATCH("*"&amp;'CW Branches'!$H$6&amp;"*",INDIRECT("L"&amp;H9+1):$L$94,0)),""))))))=TRUE,"",ROW(IF(ISNA(INDEX(INDIRECT("I"&amp;H9+1):$I$94,MATCH("*"&amp;'CW Branches'!$H$6&amp;"*",INDIRECT("U"&amp;H9+1):$U$94,0)))=FALSE,INDEX(INDIRECT("I"&amp;H9+1):$I$94,MATCH("*"&amp;'CW Branches'!$H$6&amp;"*",INDIRECT("U"&amp;H9+1):$U$94,0)),IF(ISNA(INDEX(INDIRECT("I"&amp;H9+1):$I$94,MATCH("*"&amp;'CW Branches'!$H$6&amp;"*",INDIRECT("AA"&amp;H9+1):$AA$94,0)))=FALSE,INDEX(INDIRECT("I"&amp;H9+1):$I$94,MATCH("*"&amp;'CW Branches'!$H$6&amp;"*",INDIRECT("AA"&amp;H9+1):$AA$94,0)),IF(ISNA(INDEX(INDIRECT("I"&amp;H9+1):$I$94,MATCH("*"&amp;'CW Branches'!$H$6&amp;"*",INDIRECT("L"&amp;H9+1):$L$94,0)))=FALSE,INDEX(INDIRECT("I"&amp;H9+1):$I$94,MATCH("*"&amp;'CW Branches'!$H$6&amp;"*",INDIRECT("L"&amp;H9+1):$L$94,0)),IF(ISNA(INDEX(INDIRECT("I"&amp;H9+1):$I$94,MATCH("*"&amp;'CW Branches'!$H$6&amp;"*",INDIRECT("X"&amp;H9+1):$X$94,0)))=FALSE,INDEX(INDIRECT("I"&amp;H9+1):$I$94,MATCH("*"&amp;'CW Branches'!$H$6&amp;"*",INDIRECT("X"&amp;H9+1):$X$94,0)),"")))))))</f>
        <v/>
      </c>
      <c r="I10" s="20" t="str">
        <f ca="1">IF(LEN('CW Branches'!$H$6)&lt;=2,IF($I$6="",IF(ISERROR(IF(ISNA(INDEX(INDIRECT("I"&amp;H9+1):$I$94,MATCH('CW Branches'!$H$6,INDIRECT("T"&amp;H9+1):$T$94,0)))=FALSE,INDEX(INDIRECT("I"&amp;H9+1):$I$94,MATCH('CW Branches'!$H$6,INDIRECT("T"&amp;H9+1):$T$94,0)),""))=TRUE,"",IF(ISNA(INDEX(INDIRECT("I"&amp;H9+1):$I$94,MATCH('CW Branches'!$H$6,INDIRECT("T"&amp;H9+1):$T$94,0)))=FALSE,INDEX(INDIRECT("I"&amp;H9+1):$I$94,MATCH('CW Branches'!$H$6,INDIRECT("T"&amp;H9+1):$T$94,0)),"")),""),IF($I$6="",IF(ISERROR(IF(ISNA(INDEX(INDIRECT("I"&amp;H9+1):$I$94,MATCH("*"&amp;'CW Branches'!$H$6&amp;"*",INDIRECT("U"&amp;H9+1):$U$94,0)))=FALSE,INDEX(INDIRECT("I"&amp;H9+1):$I$94,MATCH("*"&amp;'CW Branches'!$H$6&amp;"*",INDIRECT("U"&amp;H9+1):$U$94,0)),IF(ISNA(INDEX(INDIRECT("I"&amp;H9+1):$I$94,MATCH("*"&amp;'CW Branches'!$H$6&amp;"*",INDIRECT("X"&amp;H9+1):$X$94,0)))=FALSE,INDEX(INDIRECT("I"&amp;H9+1):$I$94,MATCH("*"&amp;'CW Branches'!$H$6&amp;"*",INDIRECT("X"&amp;H9+1):$X$94,0)),IF(ISNA(INDEX(INDIRECT("I"&amp;H9+1):$I$94,MATCH("*"&amp;'CW Branches'!$H$6&amp;"*",INDIRECT("L"&amp;H9+1):$L$94,0)))=FALSE,INDEX(INDIRECT("I"&amp;H9+1):$I$94,MATCH("*"&amp;'CW Branches'!$H$6&amp;"*",INDIRECT("L"&amp;H9+1):$L$94,0)),""))))=TRUE,"",IF(ISNA(INDEX(INDIRECT("I"&amp;H9+1):$I$94,MATCH("*"&amp;'CW Branches'!$H$6&amp;"*",INDIRECT("U"&amp;H9+1):$U$94,0)))=FALSE,INDEX(INDIRECT("I"&amp;H9+1):$I$94,MATCH("*"&amp;'CW Branches'!$H$6&amp;"*",INDIRECT("U"&amp;H9+1):$U$94,0)),IF(ISNA(INDEX(INDIRECT("I"&amp;H9+1):$I$94,MATCH("*"&amp;'CW Branches'!$H$6&amp;"*",INDIRECT("AA"&amp;H9+1):$AA$94,0)))=FALSE,INDEX(INDIRECT("I"&amp;H9+1):$I$94,MATCH("*"&amp;'CW Branches'!$H$6&amp;"*",INDIRECT("AA"&amp;H9+1):$AA$94,0)),IF(ISNA(INDEX(INDIRECT("I"&amp;H9+1):$I$94,MATCH("*"&amp;'CW Branches'!$H$6&amp;"*",INDIRECT("L"&amp;H9+1):$L$94,0)))=FALSE,INDEX(INDIRECT("I"&amp;H9+1):$I$94,MATCH("*"&amp;'CW Branches'!$H$6&amp;"*",INDIRECT("L"&amp;H9+1):$L$94,0)),IF(ISNA(INDEX(INDIRECT("I"&amp;H9+1):$I$94,MATCH("*"&amp;'CW Branches'!$H$6&amp;"*",INDIRECT("X"&amp;H9+1):$X$94,0)))=FALSE,INDEX(INDIRECT("I"&amp;H9+1):$I$94,MATCH("*"&amp;'CW Branches'!$H$6&amp;"*",INDIRECT("X"&amp;H9+1):$X$94,0)),""))))),""))</f>
        <v/>
      </c>
      <c r="J10" s="20" t="str">
        <f t="shared" ca="1" si="17"/>
        <v/>
      </c>
      <c r="K10" s="20" t="str">
        <f t="shared" ca="1" si="0"/>
        <v/>
      </c>
      <c r="L10" s="20" t="str">
        <f t="shared" ca="1" si="1"/>
        <v/>
      </c>
      <c r="M10" s="17" t="str">
        <f t="shared" ca="1" si="2"/>
        <v/>
      </c>
      <c r="N10" s="17" t="str">
        <f t="shared" ca="1" si="3"/>
        <v/>
      </c>
      <c r="O10" s="20" t="str">
        <f t="shared" ca="1" si="4"/>
        <v/>
      </c>
      <c r="P10" s="19" t="str">
        <f t="shared" ca="1" si="5"/>
        <v/>
      </c>
      <c r="Q10" s="18" t="str">
        <f t="shared" ca="1" si="6"/>
        <v/>
      </c>
      <c r="R10" s="19" t="str">
        <f t="shared" ca="1" si="7"/>
        <v/>
      </c>
      <c r="S10" s="20" t="e">
        <f t="shared" ca="1" si="8"/>
        <v>#N/A</v>
      </c>
      <c r="T10" s="21" t="str">
        <f t="shared" ca="1" si="9"/>
        <v/>
      </c>
      <c r="U10" s="20" t="str">
        <f t="shared" ca="1" si="10"/>
        <v/>
      </c>
      <c r="V10" s="20" t="str">
        <f t="shared" ca="1" si="11"/>
        <v/>
      </c>
      <c r="W10" s="20" t="str">
        <f t="shared" ca="1" si="12"/>
        <v/>
      </c>
      <c r="X10" s="20" t="str">
        <f t="shared" ca="1" si="13"/>
        <v/>
      </c>
      <c r="Y10" s="20" t="str">
        <f t="shared" ca="1" si="14"/>
        <v/>
      </c>
      <c r="Z10" s="20" t="str">
        <f t="shared" ca="1" si="15"/>
        <v/>
      </c>
      <c r="AA10" s="20" t="str">
        <f t="shared" ca="1" si="16"/>
        <v/>
      </c>
    </row>
    <row r="11" spans="1:27" x14ac:dyDescent="0.25">
      <c r="A11" s="7">
        <v>5</v>
      </c>
      <c r="B11" s="15" t="str">
        <f>IF('CW Branches'!$H$6="","",IF(I11="","",""&amp;L11&amp;" "&amp;K11&amp;""&amp;CHAR(10)&amp;""&amp;V11&amp;" "&amp;W11&amp;""&amp;CHAR(10)&amp;""&amp;X11&amp;", "&amp;Y11&amp;" "&amp;Z11&amp;""&amp;CHAR(10)&amp;""&amp;AA11&amp;" County"&amp;CHAR(10)&amp;"District "&amp;T11&amp;""&amp;CHAR(10)&amp;"Phone Number: "&amp;TEXT(P11,"(000) 000-0000")&amp;""))</f>
        <v/>
      </c>
      <c r="C11" s="37" t="str">
        <f>""</f>
        <v/>
      </c>
      <c r="D11" s="37"/>
      <c r="E11" s="7" t="str">
        <f>""</f>
        <v/>
      </c>
      <c r="F11" s="7"/>
      <c r="G11" s="7"/>
      <c r="H11" s="18" t="str">
        <f ca="1">IF(LEN('CW Branches'!$H$6)&lt;=2,
IF(ISERROR(ROW(IF(ISNA(INDEX(INDIRECT("I"&amp;H10+1):$I$94,MATCH('CW Branches'!$H$6,INDIRECT("T"&amp;H10+1):$T$94,0)))=TRUE,"",INDEX(INDIRECT("I"&amp;H10+1):$I$94,MATCH('CW Branches'!$H$6,INDIRECT("T"&amp;H10+1):$T$94,0)))))=TRUE,"",ROW(IF(ISNA(INDEX(INDIRECT("I"&amp;H10+1):$I$94,MATCH('CW Branches'!$H$6,INDIRECT("T"&amp;H10+1):$T$94,0)))=TRUE,"",INDEX(INDIRECT("I"&amp;H10+1):$I$94,MATCH('CW Branches'!$H$6,INDIRECT("T"&amp;H10+1):$T$94,0))))),IF(ISERROR(ROW(IF(ISNA(INDEX(INDIRECT("I"&amp;H10+1):$I$94,MATCH("*"&amp;'CW Branches'!$H$6&amp;"*",INDIRECT("U"&amp;H10+1):$U$94,0)))=FALSE,INDEX(INDIRECT("I"&amp;H10+1):$I$94,MATCH("*"&amp;'CW Branches'!$H$6&amp;"*",INDIRECT("U"&amp;H10+1):$U$94,0)),IF(ISNA(INDEX(INDIRECT("I"&amp;H10+1):$I$94,MATCH("*"&amp;'CW Branches'!$H$6&amp;"*",INDIRECT("X"&amp;H10+1):$X$94,0)))=FALSE,INDEX(INDIRECT("I"&amp;H10+1):$I$94,MATCH("*"&amp;'CW Branches'!$H$6&amp;"*",INDIRECT("X"&amp;H10+1):$X$94,0)),IF(ISNA(INDEX(INDIRECT("I"&amp;H10+1):$I$94,MATCH("*"&amp;'CW Branches'!$H$6&amp;"*",INDIRECT("AA"&amp;H10+1):$AA$94,0)))=FALSE,INDEX(INDIRECT("I"&amp;H10+1):$I$94,MATCH("*"&amp;'CW Branches'!$H$6&amp;"*",INDIRECT("AA"&amp;H10+1):$AA$94,0)),IF(ISNA(INDEX(INDIRECT("I"&amp;H10+1):$I$94,MATCH("*"&amp;'CW Branches'!$H$6&amp;"*",INDIRECT("L"&amp;H10+1):$L$94,0)))=FALSE,INDEX(INDIRECT("I"&amp;H10+1):$I$94,MATCH("*"&amp;'CW Branches'!$H$6&amp;"*",INDIRECT("L"&amp;H10+1):$L$94,0)),""))))))=TRUE,"",ROW(IF(ISNA(INDEX(INDIRECT("I"&amp;H10+1):$I$94,MATCH("*"&amp;'CW Branches'!$H$6&amp;"*",INDIRECT("U"&amp;H10+1):$U$94,0)))=FALSE,INDEX(INDIRECT("I"&amp;H10+1):$I$94,MATCH("*"&amp;'CW Branches'!$H$6&amp;"*",INDIRECT("U"&amp;H10+1):$U$94,0)),IF(ISNA(INDEX(INDIRECT("I"&amp;H10+1):$I$94,MATCH("*"&amp;'CW Branches'!$H$6&amp;"*",INDIRECT("AA"&amp;H10+1):$AA$94,0)))=FALSE,INDEX(INDIRECT("I"&amp;H10+1):$I$94,MATCH("*"&amp;'CW Branches'!$H$6&amp;"*",INDIRECT("AA"&amp;H10+1):$AA$94,0)),IF(ISNA(INDEX(INDIRECT("I"&amp;H10+1):$I$94,MATCH("*"&amp;'CW Branches'!$H$6&amp;"*",INDIRECT("L"&amp;H10+1):$L$94,0)))=FALSE,INDEX(INDIRECT("I"&amp;H10+1):$I$94,MATCH("*"&amp;'CW Branches'!$H$6&amp;"*",INDIRECT("L"&amp;H10+1):$L$94,0)),IF(ISNA(INDEX(INDIRECT("I"&amp;H10+1):$I$94,MATCH("*"&amp;'CW Branches'!$H$6&amp;"*",INDIRECT("X"&amp;H10+1):$X$94,0)))=FALSE,INDEX(INDIRECT("I"&amp;H10+1):$I$94,MATCH("*"&amp;'CW Branches'!$H$6&amp;"*",INDIRECT("X"&amp;H10+1):$X$94,0)),"")))))))</f>
        <v/>
      </c>
      <c r="I11" s="20" t="str">
        <f ca="1">IF(LEN('CW Branches'!$H$6)&lt;=2,IF($I$6="",IF(ISERROR(IF(ISNA(INDEX(INDIRECT("I"&amp;H10+1):$I$94,MATCH('CW Branches'!$H$6,INDIRECT("T"&amp;H10+1):$T$94,0)))=FALSE,INDEX(INDIRECT("I"&amp;H10+1):$I$94,MATCH('CW Branches'!$H$6,INDIRECT("T"&amp;H10+1):$T$94,0)),""))=TRUE,"",IF(ISNA(INDEX(INDIRECT("I"&amp;H10+1):$I$94,MATCH('CW Branches'!$H$6,INDIRECT("T"&amp;H10+1):$T$94,0)))=FALSE,INDEX(INDIRECT("I"&amp;H10+1):$I$94,MATCH('CW Branches'!$H$6,INDIRECT("T"&amp;H10+1):$T$94,0)),"")),""),IF($I$6="",IF(ISERROR(IF(ISNA(INDEX(INDIRECT("I"&amp;H10+1):$I$94,MATCH("*"&amp;'CW Branches'!$H$6&amp;"*",INDIRECT("U"&amp;H10+1):$U$94,0)))=FALSE,INDEX(INDIRECT("I"&amp;H10+1):$I$94,MATCH("*"&amp;'CW Branches'!$H$6&amp;"*",INDIRECT("U"&amp;H10+1):$U$94,0)),IF(ISNA(INDEX(INDIRECT("I"&amp;H10+1):$I$94,MATCH("*"&amp;'CW Branches'!$H$6&amp;"*",INDIRECT("X"&amp;H10+1):$X$94,0)))=FALSE,INDEX(INDIRECT("I"&amp;H10+1):$I$94,MATCH("*"&amp;'CW Branches'!$H$6&amp;"*",INDIRECT("X"&amp;H10+1):$X$94,0)),IF(ISNA(INDEX(INDIRECT("I"&amp;H10+1):$I$94,MATCH("*"&amp;'CW Branches'!$H$6&amp;"*",INDIRECT("L"&amp;H10+1):$L$94,0)))=FALSE,INDEX(INDIRECT("I"&amp;H10+1):$I$94,MATCH("*"&amp;'CW Branches'!$H$6&amp;"*",INDIRECT("L"&amp;H10+1):$L$94,0)),""))))=TRUE,"",IF(ISNA(INDEX(INDIRECT("I"&amp;H10+1):$I$94,MATCH("*"&amp;'CW Branches'!$H$6&amp;"*",INDIRECT("U"&amp;H10+1):$U$94,0)))=FALSE,INDEX(INDIRECT("I"&amp;H10+1):$I$94,MATCH("*"&amp;'CW Branches'!$H$6&amp;"*",INDIRECT("U"&amp;H10+1):$U$94,0)),IF(ISNA(INDEX(INDIRECT("I"&amp;H10+1):$I$94,MATCH("*"&amp;'CW Branches'!$H$6&amp;"*",INDIRECT("AA"&amp;H10+1):$AA$94,0)))=FALSE,INDEX(INDIRECT("I"&amp;H10+1):$I$94,MATCH("*"&amp;'CW Branches'!$H$6&amp;"*",INDIRECT("AA"&amp;H10+1):$AA$94,0)),IF(ISNA(INDEX(INDIRECT("I"&amp;H10+1):$I$94,MATCH("*"&amp;'CW Branches'!$H$6&amp;"*",INDIRECT("L"&amp;H10+1):$L$94,0)))=FALSE,INDEX(INDIRECT("I"&amp;H10+1):$I$94,MATCH("*"&amp;'CW Branches'!$H$6&amp;"*",INDIRECT("L"&amp;H10+1):$L$94,0)),IF(ISNA(INDEX(INDIRECT("I"&amp;H10+1):$I$94,MATCH("*"&amp;'CW Branches'!$H$6&amp;"*",INDIRECT("X"&amp;H10+1):$X$94,0)))=FALSE,INDEX(INDIRECT("I"&amp;H10+1):$I$94,MATCH("*"&amp;'CW Branches'!$H$6&amp;"*",INDIRECT("X"&amp;H10+1):$X$94,0)),""))))),""))</f>
        <v/>
      </c>
      <c r="J11" s="20" t="str">
        <f t="shared" ca="1" si="17"/>
        <v/>
      </c>
      <c r="K11" s="20" t="str">
        <f t="shared" ca="1" si="0"/>
        <v/>
      </c>
      <c r="L11" s="20" t="str">
        <f t="shared" ca="1" si="1"/>
        <v/>
      </c>
      <c r="M11" s="17" t="str">
        <f t="shared" ca="1" si="2"/>
        <v/>
      </c>
      <c r="N11" s="17" t="str">
        <f t="shared" ca="1" si="3"/>
        <v/>
      </c>
      <c r="O11" s="20" t="str">
        <f t="shared" ca="1" si="4"/>
        <v/>
      </c>
      <c r="P11" s="19" t="str">
        <f t="shared" ca="1" si="5"/>
        <v/>
      </c>
      <c r="Q11" s="18" t="str">
        <f t="shared" ca="1" si="6"/>
        <v/>
      </c>
      <c r="R11" s="19" t="str">
        <f t="shared" ca="1" si="7"/>
        <v/>
      </c>
      <c r="S11" s="20" t="e">
        <f t="shared" ca="1" si="8"/>
        <v>#N/A</v>
      </c>
      <c r="T11" s="21" t="str">
        <f t="shared" ca="1" si="9"/>
        <v/>
      </c>
      <c r="U11" s="20" t="str">
        <f t="shared" ca="1" si="10"/>
        <v/>
      </c>
      <c r="V11" s="20" t="str">
        <f t="shared" ca="1" si="11"/>
        <v/>
      </c>
      <c r="W11" s="20" t="str">
        <f t="shared" ca="1" si="12"/>
        <v/>
      </c>
      <c r="X11" s="20" t="str">
        <f t="shared" ca="1" si="13"/>
        <v/>
      </c>
      <c r="Y11" s="20" t="str">
        <f t="shared" ca="1" si="14"/>
        <v/>
      </c>
      <c r="Z11" s="20" t="str">
        <f t="shared" ca="1" si="15"/>
        <v/>
      </c>
      <c r="AA11" s="20" t="str">
        <f t="shared" ca="1" si="16"/>
        <v/>
      </c>
    </row>
    <row r="12" spans="1:27" x14ac:dyDescent="0.25">
      <c r="A12" s="7">
        <v>6</v>
      </c>
      <c r="B12" s="15" t="str">
        <f>IF('CW Branches'!$H$6="","",IF(I12="","",""&amp;L12&amp;" "&amp;K12&amp;""&amp;CHAR(10)&amp;""&amp;V12&amp;" "&amp;W12&amp;""&amp;CHAR(10)&amp;""&amp;X12&amp;", "&amp;Y12&amp;" "&amp;Z12&amp;""&amp;CHAR(10)&amp;""&amp;AA12&amp;" County"&amp;CHAR(10)&amp;"District "&amp;T12&amp;""&amp;CHAR(10)&amp;"Phone Number: "&amp;TEXT(P12,"(000) 000-0000")&amp;""))</f>
        <v/>
      </c>
      <c r="C12" s="37" t="str">
        <f>""</f>
        <v/>
      </c>
      <c r="D12" s="37"/>
      <c r="E12" s="7" t="str">
        <f>""</f>
        <v/>
      </c>
      <c r="F12" s="7"/>
      <c r="G12" s="7"/>
      <c r="H12" s="18" t="str">
        <f ca="1">IF(LEN('CW Branches'!$H$6)&lt;=2,
IF(ISERROR(ROW(IF(ISNA(INDEX(INDIRECT("I"&amp;H11+1):$I$94,MATCH('CW Branches'!$H$6,INDIRECT("T"&amp;H11+1):$T$94,0)))=TRUE,"",INDEX(INDIRECT("I"&amp;H11+1):$I$94,MATCH('CW Branches'!$H$6,INDIRECT("T"&amp;H11+1):$T$94,0)))))=TRUE,"",ROW(IF(ISNA(INDEX(INDIRECT("I"&amp;H11+1):$I$94,MATCH('CW Branches'!$H$6,INDIRECT("T"&amp;H11+1):$T$94,0)))=TRUE,"",INDEX(INDIRECT("I"&amp;H11+1):$I$94,MATCH('CW Branches'!$H$6,INDIRECT("T"&amp;H11+1):$T$94,0))))),IF(ISERROR(ROW(IF(ISNA(INDEX(INDIRECT("I"&amp;H11+1):$I$94,MATCH("*"&amp;'CW Branches'!$H$6&amp;"*",INDIRECT("U"&amp;H11+1):$U$94,0)))=FALSE,INDEX(INDIRECT("I"&amp;H11+1):$I$94,MATCH("*"&amp;'CW Branches'!$H$6&amp;"*",INDIRECT("U"&amp;H11+1):$U$94,0)),IF(ISNA(INDEX(INDIRECT("I"&amp;H11+1):$I$94,MATCH("*"&amp;'CW Branches'!$H$6&amp;"*",INDIRECT("X"&amp;H11+1):$X$94,0)))=FALSE,INDEX(INDIRECT("I"&amp;H11+1):$I$94,MATCH("*"&amp;'CW Branches'!$H$6&amp;"*",INDIRECT("X"&amp;H11+1):$X$94,0)),IF(ISNA(INDEX(INDIRECT("I"&amp;H11+1):$I$94,MATCH("*"&amp;'CW Branches'!$H$6&amp;"*",INDIRECT("AA"&amp;H11+1):$AA$94,0)))=FALSE,INDEX(INDIRECT("I"&amp;H11+1):$I$94,MATCH("*"&amp;'CW Branches'!$H$6&amp;"*",INDIRECT("AA"&amp;H11+1):$AA$94,0)),IF(ISNA(INDEX(INDIRECT("I"&amp;H11+1):$I$94,MATCH("*"&amp;'CW Branches'!$H$6&amp;"*",INDIRECT("L"&amp;H11+1):$L$94,0)))=FALSE,INDEX(INDIRECT("I"&amp;H11+1):$I$94,MATCH("*"&amp;'CW Branches'!$H$6&amp;"*",INDIRECT("L"&amp;H11+1):$L$94,0)),""))))))=TRUE,"",ROW(IF(ISNA(INDEX(INDIRECT("I"&amp;H11+1):$I$94,MATCH("*"&amp;'CW Branches'!$H$6&amp;"*",INDIRECT("U"&amp;H11+1):$U$94,0)))=FALSE,INDEX(INDIRECT("I"&amp;H11+1):$I$94,MATCH("*"&amp;'CW Branches'!$H$6&amp;"*",INDIRECT("U"&amp;H11+1):$U$94,0)),IF(ISNA(INDEX(INDIRECT("I"&amp;H11+1):$I$94,MATCH("*"&amp;'CW Branches'!$H$6&amp;"*",INDIRECT("AA"&amp;H11+1):$AA$94,0)))=FALSE,INDEX(INDIRECT("I"&amp;H11+1):$I$94,MATCH("*"&amp;'CW Branches'!$H$6&amp;"*",INDIRECT("AA"&amp;H11+1):$AA$94,0)),IF(ISNA(INDEX(INDIRECT("I"&amp;H11+1):$I$94,MATCH("*"&amp;'CW Branches'!$H$6&amp;"*",INDIRECT("L"&amp;H11+1):$L$94,0)))=FALSE,INDEX(INDIRECT("I"&amp;H11+1):$I$94,MATCH("*"&amp;'CW Branches'!$H$6&amp;"*",INDIRECT("L"&amp;H11+1):$L$94,0)),IF(ISNA(INDEX(INDIRECT("I"&amp;H11+1):$I$94,MATCH("*"&amp;'CW Branches'!$H$6&amp;"*",INDIRECT("X"&amp;H11+1):$X$94,0)))=FALSE,INDEX(INDIRECT("I"&amp;H11+1):$I$94,MATCH("*"&amp;'CW Branches'!$H$6&amp;"*",INDIRECT("X"&amp;H11+1):$X$94,0)),"")))))))</f>
        <v/>
      </c>
      <c r="I12" s="20" t="str">
        <f ca="1">IF(LEN('CW Branches'!$H$6)&lt;=2,IF($I$6="",IF(ISERROR(IF(ISNA(INDEX(INDIRECT("I"&amp;H11+1):$I$94,MATCH('CW Branches'!$H$6,INDIRECT("T"&amp;H11+1):$T$94,0)))=FALSE,INDEX(INDIRECT("I"&amp;H11+1):$I$94,MATCH('CW Branches'!$H$6,INDIRECT("T"&amp;H11+1):$T$94,0)),""))=TRUE,"",IF(ISNA(INDEX(INDIRECT("I"&amp;H11+1):$I$94,MATCH('CW Branches'!$H$6,INDIRECT("T"&amp;H11+1):$T$94,0)))=FALSE,INDEX(INDIRECT("I"&amp;H11+1):$I$94,MATCH('CW Branches'!$H$6,INDIRECT("T"&amp;H11+1):$T$94,0)),"")),""),IF($I$6="",IF(ISERROR(IF(ISNA(INDEX(INDIRECT("I"&amp;H11+1):$I$94,MATCH("*"&amp;'CW Branches'!$H$6&amp;"*",INDIRECT("U"&amp;H11+1):$U$94,0)))=FALSE,INDEX(INDIRECT("I"&amp;H11+1):$I$94,MATCH("*"&amp;'CW Branches'!$H$6&amp;"*",INDIRECT("U"&amp;H11+1):$U$94,0)),IF(ISNA(INDEX(INDIRECT("I"&amp;H11+1):$I$94,MATCH("*"&amp;'CW Branches'!$H$6&amp;"*",INDIRECT("X"&amp;H11+1):$X$94,0)))=FALSE,INDEX(INDIRECT("I"&amp;H11+1):$I$94,MATCH("*"&amp;'CW Branches'!$H$6&amp;"*",INDIRECT("X"&amp;H11+1):$X$94,0)),IF(ISNA(INDEX(INDIRECT("I"&amp;H11+1):$I$94,MATCH("*"&amp;'CW Branches'!$H$6&amp;"*",INDIRECT("L"&amp;H11+1):$L$94,0)))=FALSE,INDEX(INDIRECT("I"&amp;H11+1):$I$94,MATCH("*"&amp;'CW Branches'!$H$6&amp;"*",INDIRECT("L"&amp;H11+1):$L$94,0)),""))))=TRUE,"",IF(ISNA(INDEX(INDIRECT("I"&amp;H11+1):$I$94,MATCH("*"&amp;'CW Branches'!$H$6&amp;"*",INDIRECT("U"&amp;H11+1):$U$94,0)))=FALSE,INDEX(INDIRECT("I"&amp;H11+1):$I$94,MATCH("*"&amp;'CW Branches'!$H$6&amp;"*",INDIRECT("U"&amp;H11+1):$U$94,0)),IF(ISNA(INDEX(INDIRECT("I"&amp;H11+1):$I$94,MATCH("*"&amp;'CW Branches'!$H$6&amp;"*",INDIRECT("AA"&amp;H11+1):$AA$94,0)))=FALSE,INDEX(INDIRECT("I"&amp;H11+1):$I$94,MATCH("*"&amp;'CW Branches'!$H$6&amp;"*",INDIRECT("AA"&amp;H11+1):$AA$94,0)),IF(ISNA(INDEX(INDIRECT("I"&amp;H11+1):$I$94,MATCH("*"&amp;'CW Branches'!$H$6&amp;"*",INDIRECT("L"&amp;H11+1):$L$94,0)))=FALSE,INDEX(INDIRECT("I"&amp;H11+1):$I$94,MATCH("*"&amp;'CW Branches'!$H$6&amp;"*",INDIRECT("L"&amp;H11+1):$L$94,0)),IF(ISNA(INDEX(INDIRECT("I"&amp;H11+1):$I$94,MATCH("*"&amp;'CW Branches'!$H$6&amp;"*",INDIRECT("X"&amp;H11+1):$X$94,0)))=FALSE,INDEX(INDIRECT("I"&amp;H11+1):$I$94,MATCH("*"&amp;'CW Branches'!$H$6&amp;"*",INDIRECT("X"&amp;H11+1):$X$94,0)),""))))),""))</f>
        <v/>
      </c>
      <c r="J12" s="20" t="str">
        <f t="shared" ca="1" si="17"/>
        <v/>
      </c>
      <c r="K12" s="20" t="str">
        <f t="shared" ca="1" si="0"/>
        <v/>
      </c>
      <c r="L12" s="20" t="str">
        <f t="shared" ca="1" si="1"/>
        <v/>
      </c>
      <c r="M12" s="17" t="str">
        <f t="shared" ca="1" si="2"/>
        <v/>
      </c>
      <c r="N12" s="17" t="str">
        <f t="shared" ca="1" si="3"/>
        <v/>
      </c>
      <c r="O12" s="20" t="str">
        <f t="shared" ca="1" si="4"/>
        <v/>
      </c>
      <c r="P12" s="19" t="str">
        <f t="shared" ca="1" si="5"/>
        <v/>
      </c>
      <c r="Q12" s="18" t="str">
        <f t="shared" ca="1" si="6"/>
        <v/>
      </c>
      <c r="R12" s="19" t="str">
        <f t="shared" ca="1" si="7"/>
        <v/>
      </c>
      <c r="S12" s="20" t="e">
        <f t="shared" ca="1" si="8"/>
        <v>#N/A</v>
      </c>
      <c r="T12" s="21" t="str">
        <f t="shared" ca="1" si="9"/>
        <v/>
      </c>
      <c r="U12" s="20" t="str">
        <f t="shared" ca="1" si="10"/>
        <v/>
      </c>
      <c r="V12" s="20" t="str">
        <f t="shared" ca="1" si="11"/>
        <v/>
      </c>
      <c r="W12" s="20" t="str">
        <f t="shared" ca="1" si="12"/>
        <v/>
      </c>
      <c r="X12" s="20" t="str">
        <f t="shared" ca="1" si="13"/>
        <v/>
      </c>
      <c r="Y12" s="20" t="str">
        <f t="shared" ca="1" si="14"/>
        <v/>
      </c>
      <c r="Z12" s="20" t="str">
        <f t="shared" ca="1" si="15"/>
        <v/>
      </c>
      <c r="AA12" s="20" t="str">
        <f t="shared" ca="1" si="16"/>
        <v/>
      </c>
    </row>
    <row r="13" spans="1:27" x14ac:dyDescent="0.25">
      <c r="A13" s="7">
        <v>7</v>
      </c>
      <c r="B13" s="15" t="str">
        <f>IF('CW Branches'!$H$6="","",IF(I13="","",""&amp;L13&amp;" "&amp;K13&amp;""&amp;CHAR(10)&amp;""&amp;V13&amp;" "&amp;W13&amp;""&amp;CHAR(10)&amp;""&amp;X13&amp;", "&amp;Y13&amp;" "&amp;Z13&amp;""&amp;CHAR(10)&amp;""&amp;AA13&amp;" County"&amp;CHAR(10)&amp;"District "&amp;T13&amp;""&amp;CHAR(10)&amp;"Phone Number: "&amp;TEXT(P13,"(000) 000-0000")&amp;""))</f>
        <v/>
      </c>
      <c r="C13" s="37" t="str">
        <f>""</f>
        <v/>
      </c>
      <c r="D13" s="37"/>
      <c r="E13" s="7" t="str">
        <f>""</f>
        <v/>
      </c>
      <c r="F13" s="7"/>
      <c r="G13" s="7"/>
      <c r="H13" s="18" t="str">
        <f ca="1">IF(LEN('CW Branches'!$H$6)&lt;=2,
IF(ISERROR(ROW(IF(ISNA(INDEX(INDIRECT("I"&amp;H12+1):$I$94,MATCH('CW Branches'!$H$6,INDIRECT("T"&amp;H12+1):$T$94,0)))=TRUE,"",INDEX(INDIRECT("I"&amp;H12+1):$I$94,MATCH('CW Branches'!$H$6,INDIRECT("T"&amp;H12+1):$T$94,0)))))=TRUE,"",ROW(IF(ISNA(INDEX(INDIRECT("I"&amp;H12+1):$I$94,MATCH('CW Branches'!$H$6,INDIRECT("T"&amp;H12+1):$T$94,0)))=TRUE,"",INDEX(INDIRECT("I"&amp;H12+1):$I$94,MATCH('CW Branches'!$H$6,INDIRECT("T"&amp;H12+1):$T$94,0))))),IF(ISERROR(ROW(IF(ISNA(INDEX(INDIRECT("I"&amp;H12+1):$I$94,MATCH("*"&amp;'CW Branches'!$H$6&amp;"*",INDIRECT("U"&amp;H12+1):$U$94,0)))=FALSE,INDEX(INDIRECT("I"&amp;H12+1):$I$94,MATCH("*"&amp;'CW Branches'!$H$6&amp;"*",INDIRECT("U"&amp;H12+1):$U$94,0)),IF(ISNA(INDEX(INDIRECT("I"&amp;H12+1):$I$94,MATCH("*"&amp;'CW Branches'!$H$6&amp;"*",INDIRECT("X"&amp;H12+1):$X$94,0)))=FALSE,INDEX(INDIRECT("I"&amp;H12+1):$I$94,MATCH("*"&amp;'CW Branches'!$H$6&amp;"*",INDIRECT("X"&amp;H12+1):$X$94,0)),IF(ISNA(INDEX(INDIRECT("I"&amp;H12+1):$I$94,MATCH("*"&amp;'CW Branches'!$H$6&amp;"*",INDIRECT("AA"&amp;H12+1):$AA$94,0)))=FALSE,INDEX(INDIRECT("I"&amp;H12+1):$I$94,MATCH("*"&amp;'CW Branches'!$H$6&amp;"*",INDIRECT("AA"&amp;H12+1):$AA$94,0)),IF(ISNA(INDEX(INDIRECT("I"&amp;H12+1):$I$94,MATCH("*"&amp;'CW Branches'!$H$6&amp;"*",INDIRECT("L"&amp;H12+1):$L$94,0)))=FALSE,INDEX(INDIRECT("I"&amp;H12+1):$I$94,MATCH("*"&amp;'CW Branches'!$H$6&amp;"*",INDIRECT("L"&amp;H12+1):$L$94,0)),""))))))=TRUE,"",ROW(IF(ISNA(INDEX(INDIRECT("I"&amp;H12+1):$I$94,MATCH("*"&amp;'CW Branches'!$H$6&amp;"*",INDIRECT("U"&amp;H12+1):$U$94,0)))=FALSE,INDEX(INDIRECT("I"&amp;H12+1):$I$94,MATCH("*"&amp;'CW Branches'!$H$6&amp;"*",INDIRECT("U"&amp;H12+1):$U$94,0)),IF(ISNA(INDEX(INDIRECT("I"&amp;H12+1):$I$94,MATCH("*"&amp;'CW Branches'!$H$6&amp;"*",INDIRECT("AA"&amp;H12+1):$AA$94,0)))=FALSE,INDEX(INDIRECT("I"&amp;H12+1):$I$94,MATCH("*"&amp;'CW Branches'!$H$6&amp;"*",INDIRECT("AA"&amp;H12+1):$AA$94,0)),IF(ISNA(INDEX(INDIRECT("I"&amp;H12+1):$I$94,MATCH("*"&amp;'CW Branches'!$H$6&amp;"*",INDIRECT("L"&amp;H12+1):$L$94,0)))=FALSE,INDEX(INDIRECT("I"&amp;H12+1):$I$94,MATCH("*"&amp;'CW Branches'!$H$6&amp;"*",INDIRECT("L"&amp;H12+1):$L$94,0)),IF(ISNA(INDEX(INDIRECT("I"&amp;H12+1):$I$94,MATCH("*"&amp;'CW Branches'!$H$6&amp;"*",INDIRECT("X"&amp;H12+1):$X$94,0)))=FALSE,INDEX(INDIRECT("I"&amp;H12+1):$I$94,MATCH("*"&amp;'CW Branches'!$H$6&amp;"*",INDIRECT("X"&amp;H12+1):$X$94,0)),"")))))))</f>
        <v/>
      </c>
      <c r="I13" s="20" t="str">
        <f ca="1">IF(LEN('CW Branches'!$H$6)&lt;=2,IF($I$6="",IF(ISERROR(IF(ISNA(INDEX(INDIRECT("I"&amp;H12+1):$I$94,MATCH('CW Branches'!$H$6,INDIRECT("T"&amp;H12+1):$T$94,0)))=FALSE,INDEX(INDIRECT("I"&amp;H12+1):$I$94,MATCH('CW Branches'!$H$6,INDIRECT("T"&amp;H12+1):$T$94,0)),""))=TRUE,"",IF(ISNA(INDEX(INDIRECT("I"&amp;H12+1):$I$94,MATCH('CW Branches'!$H$6,INDIRECT("T"&amp;H12+1):$T$94,0)))=FALSE,INDEX(INDIRECT("I"&amp;H12+1):$I$94,MATCH('CW Branches'!$H$6,INDIRECT("T"&amp;H12+1):$T$94,0)),"")),""),IF($I$6="",IF(ISERROR(IF(ISNA(INDEX(INDIRECT("I"&amp;H12+1):$I$94,MATCH("*"&amp;'CW Branches'!$H$6&amp;"*",INDIRECT("U"&amp;H12+1):$U$94,0)))=FALSE,INDEX(INDIRECT("I"&amp;H12+1):$I$94,MATCH("*"&amp;'CW Branches'!$H$6&amp;"*",INDIRECT("U"&amp;H12+1):$U$94,0)),IF(ISNA(INDEX(INDIRECT("I"&amp;H12+1):$I$94,MATCH("*"&amp;'CW Branches'!$H$6&amp;"*",INDIRECT("X"&amp;H12+1):$X$94,0)))=FALSE,INDEX(INDIRECT("I"&amp;H12+1):$I$94,MATCH("*"&amp;'CW Branches'!$H$6&amp;"*",INDIRECT("X"&amp;H12+1):$X$94,0)),IF(ISNA(INDEX(INDIRECT("I"&amp;H12+1):$I$94,MATCH("*"&amp;'CW Branches'!$H$6&amp;"*",INDIRECT("L"&amp;H12+1):$L$94,0)))=FALSE,INDEX(INDIRECT("I"&amp;H12+1):$I$94,MATCH("*"&amp;'CW Branches'!$H$6&amp;"*",INDIRECT("L"&amp;H12+1):$L$94,0)),""))))=TRUE,"",IF(ISNA(INDEX(INDIRECT("I"&amp;H12+1):$I$94,MATCH("*"&amp;'CW Branches'!$H$6&amp;"*",INDIRECT("U"&amp;H12+1):$U$94,0)))=FALSE,INDEX(INDIRECT("I"&amp;H12+1):$I$94,MATCH("*"&amp;'CW Branches'!$H$6&amp;"*",INDIRECT("U"&amp;H12+1):$U$94,0)),IF(ISNA(INDEX(INDIRECT("I"&amp;H12+1):$I$94,MATCH("*"&amp;'CW Branches'!$H$6&amp;"*",INDIRECT("AA"&amp;H12+1):$AA$94,0)))=FALSE,INDEX(INDIRECT("I"&amp;H12+1):$I$94,MATCH("*"&amp;'CW Branches'!$H$6&amp;"*",INDIRECT("AA"&amp;H12+1):$AA$94,0)),IF(ISNA(INDEX(INDIRECT("I"&amp;H12+1):$I$94,MATCH("*"&amp;'CW Branches'!$H$6&amp;"*",INDIRECT("L"&amp;H12+1):$L$94,0)))=FALSE,INDEX(INDIRECT("I"&amp;H12+1):$I$94,MATCH("*"&amp;'CW Branches'!$H$6&amp;"*",INDIRECT("L"&amp;H12+1):$L$94,0)),IF(ISNA(INDEX(INDIRECT("I"&amp;H12+1):$I$94,MATCH("*"&amp;'CW Branches'!$H$6&amp;"*",INDIRECT("X"&amp;H12+1):$X$94,0)))=FALSE,INDEX(INDIRECT("I"&amp;H12+1):$I$94,MATCH("*"&amp;'CW Branches'!$H$6&amp;"*",INDIRECT("X"&amp;H12+1):$X$94,0)),""))))),""))</f>
        <v/>
      </c>
      <c r="J13" s="20" t="str">
        <f t="shared" ca="1" si="17"/>
        <v/>
      </c>
      <c r="K13" s="20" t="str">
        <f t="shared" ca="1" si="0"/>
        <v/>
      </c>
      <c r="L13" s="20" t="str">
        <f t="shared" ca="1" si="1"/>
        <v/>
      </c>
      <c r="M13" s="17" t="str">
        <f t="shared" ca="1" si="2"/>
        <v/>
      </c>
      <c r="N13" s="17" t="str">
        <f t="shared" ca="1" si="3"/>
        <v/>
      </c>
      <c r="O13" s="20" t="str">
        <f t="shared" ca="1" si="4"/>
        <v/>
      </c>
      <c r="P13" s="19" t="str">
        <f t="shared" ca="1" si="5"/>
        <v/>
      </c>
      <c r="Q13" s="18" t="str">
        <f t="shared" ca="1" si="6"/>
        <v/>
      </c>
      <c r="R13" s="19" t="str">
        <f t="shared" ca="1" si="7"/>
        <v/>
      </c>
      <c r="S13" s="20" t="e">
        <f t="shared" ca="1" si="8"/>
        <v>#N/A</v>
      </c>
      <c r="T13" s="21" t="str">
        <f t="shared" ca="1" si="9"/>
        <v/>
      </c>
      <c r="U13" s="20" t="str">
        <f t="shared" ca="1" si="10"/>
        <v/>
      </c>
      <c r="V13" s="20" t="str">
        <f t="shared" ca="1" si="11"/>
        <v/>
      </c>
      <c r="W13" s="20" t="str">
        <f t="shared" ca="1" si="12"/>
        <v/>
      </c>
      <c r="X13" s="20" t="str">
        <f t="shared" ca="1" si="13"/>
        <v/>
      </c>
      <c r="Y13" s="20" t="str">
        <f t="shared" ca="1" si="14"/>
        <v/>
      </c>
      <c r="Z13" s="20" t="str">
        <f t="shared" ca="1" si="15"/>
        <v/>
      </c>
      <c r="AA13" s="20" t="str">
        <f t="shared" ca="1" si="16"/>
        <v/>
      </c>
    </row>
    <row r="14" spans="1:27" x14ac:dyDescent="0.25">
      <c r="A14" s="7">
        <v>8</v>
      </c>
      <c r="B14" s="15" t="str">
        <f>IF('CW Branches'!$H$6="","",IF(I14="","",""&amp;L14&amp;" "&amp;K14&amp;""&amp;CHAR(10)&amp;""&amp;V14&amp;" "&amp;W14&amp;""&amp;CHAR(10)&amp;""&amp;X14&amp;", "&amp;Y14&amp;" "&amp;Z14&amp;""&amp;CHAR(10)&amp;""&amp;AA14&amp;" County"&amp;CHAR(10)&amp;"District "&amp;T14&amp;""&amp;CHAR(10)&amp;"Phone Number: "&amp;TEXT(P14,"(000) 000-0000")&amp;""))</f>
        <v/>
      </c>
      <c r="C14" s="37" t="str">
        <f>""</f>
        <v/>
      </c>
      <c r="D14" s="37"/>
      <c r="E14" s="7" t="str">
        <f>""</f>
        <v/>
      </c>
      <c r="F14" s="7"/>
      <c r="G14" s="7"/>
      <c r="H14" s="18" t="str">
        <f ca="1">IF(LEN('CW Branches'!$H$6)&lt;=2,
IF(ISERROR(ROW(IF(ISNA(INDEX(INDIRECT("I"&amp;H13+1):$I$94,MATCH('CW Branches'!$H$6,INDIRECT("T"&amp;H13+1):$T$94,0)))=TRUE,"",INDEX(INDIRECT("I"&amp;H13+1):$I$94,MATCH('CW Branches'!$H$6,INDIRECT("T"&amp;H13+1):$T$94,0)))))=TRUE,"",ROW(IF(ISNA(INDEX(INDIRECT("I"&amp;H13+1):$I$94,MATCH('CW Branches'!$H$6,INDIRECT("T"&amp;H13+1):$T$94,0)))=TRUE,"",INDEX(INDIRECT("I"&amp;H13+1):$I$94,MATCH('CW Branches'!$H$6,INDIRECT("T"&amp;H13+1):$T$94,0))))),IF(ISERROR(ROW(IF(ISNA(INDEX(INDIRECT("I"&amp;H13+1):$I$94,MATCH("*"&amp;'CW Branches'!$H$6&amp;"*",INDIRECT("U"&amp;H13+1):$U$94,0)))=FALSE,INDEX(INDIRECT("I"&amp;H13+1):$I$94,MATCH("*"&amp;'CW Branches'!$H$6&amp;"*",INDIRECT("U"&amp;H13+1):$U$94,0)),IF(ISNA(INDEX(INDIRECT("I"&amp;H13+1):$I$94,MATCH("*"&amp;'CW Branches'!$H$6&amp;"*",INDIRECT("X"&amp;H13+1):$X$94,0)))=FALSE,INDEX(INDIRECT("I"&amp;H13+1):$I$94,MATCH("*"&amp;'CW Branches'!$H$6&amp;"*",INDIRECT("X"&amp;H13+1):$X$94,0)),IF(ISNA(INDEX(INDIRECT("I"&amp;H13+1):$I$94,MATCH("*"&amp;'CW Branches'!$H$6&amp;"*",INDIRECT("AA"&amp;H13+1):$AA$94,0)))=FALSE,INDEX(INDIRECT("I"&amp;H13+1):$I$94,MATCH("*"&amp;'CW Branches'!$H$6&amp;"*",INDIRECT("AA"&amp;H13+1):$AA$94,0)),IF(ISNA(INDEX(INDIRECT("I"&amp;H13+1):$I$94,MATCH("*"&amp;'CW Branches'!$H$6&amp;"*",INDIRECT("L"&amp;H13+1):$L$94,0)))=FALSE,INDEX(INDIRECT("I"&amp;H13+1):$I$94,MATCH("*"&amp;'CW Branches'!$H$6&amp;"*",INDIRECT("L"&amp;H13+1):$L$94,0)),""))))))=TRUE,"",ROW(IF(ISNA(INDEX(INDIRECT("I"&amp;H13+1):$I$94,MATCH("*"&amp;'CW Branches'!$H$6&amp;"*",INDIRECT("U"&amp;H13+1):$U$94,0)))=FALSE,INDEX(INDIRECT("I"&amp;H13+1):$I$94,MATCH("*"&amp;'CW Branches'!$H$6&amp;"*",INDIRECT("U"&amp;H13+1):$U$94,0)),IF(ISNA(INDEX(INDIRECT("I"&amp;H13+1):$I$94,MATCH("*"&amp;'CW Branches'!$H$6&amp;"*",INDIRECT("AA"&amp;H13+1):$AA$94,0)))=FALSE,INDEX(INDIRECT("I"&amp;H13+1):$I$94,MATCH("*"&amp;'CW Branches'!$H$6&amp;"*",INDIRECT("AA"&amp;H13+1):$AA$94,0)),IF(ISNA(INDEX(INDIRECT("I"&amp;H13+1):$I$94,MATCH("*"&amp;'CW Branches'!$H$6&amp;"*",INDIRECT("L"&amp;H13+1):$L$94,0)))=FALSE,INDEX(INDIRECT("I"&amp;H13+1):$I$94,MATCH("*"&amp;'CW Branches'!$H$6&amp;"*",INDIRECT("L"&amp;H13+1):$L$94,0)),IF(ISNA(INDEX(INDIRECT("I"&amp;H13+1):$I$94,MATCH("*"&amp;'CW Branches'!$H$6&amp;"*",INDIRECT("X"&amp;H13+1):$X$94,0)))=FALSE,INDEX(INDIRECT("I"&amp;H13+1):$I$94,MATCH("*"&amp;'CW Branches'!$H$6&amp;"*",INDIRECT("X"&amp;H13+1):$X$94,0)),"")))))))</f>
        <v/>
      </c>
      <c r="I14" s="20" t="str">
        <f ca="1">IF(LEN('CW Branches'!$H$6)&lt;=2,IF($I$6="",IF(ISERROR(IF(ISNA(INDEX(INDIRECT("I"&amp;H13+1):$I$94,MATCH('CW Branches'!$H$6,INDIRECT("T"&amp;H13+1):$T$94,0)))=FALSE,INDEX(INDIRECT("I"&amp;H13+1):$I$94,MATCH('CW Branches'!$H$6,INDIRECT("T"&amp;H13+1):$T$94,0)),""))=TRUE,"",IF(ISNA(INDEX(INDIRECT("I"&amp;H13+1):$I$94,MATCH('CW Branches'!$H$6,INDIRECT("T"&amp;H13+1):$T$94,0)))=FALSE,INDEX(INDIRECT("I"&amp;H13+1):$I$94,MATCH('CW Branches'!$H$6,INDIRECT("T"&amp;H13+1):$T$94,0)),"")),""),IF($I$6="",IF(ISERROR(IF(ISNA(INDEX(INDIRECT("I"&amp;H13+1):$I$94,MATCH("*"&amp;'CW Branches'!$H$6&amp;"*",INDIRECT("U"&amp;H13+1):$U$94,0)))=FALSE,INDEX(INDIRECT("I"&amp;H13+1):$I$94,MATCH("*"&amp;'CW Branches'!$H$6&amp;"*",INDIRECT("U"&amp;H13+1):$U$94,0)),IF(ISNA(INDEX(INDIRECT("I"&amp;H13+1):$I$94,MATCH("*"&amp;'CW Branches'!$H$6&amp;"*",INDIRECT("X"&amp;H13+1):$X$94,0)))=FALSE,INDEX(INDIRECT("I"&amp;H13+1):$I$94,MATCH("*"&amp;'CW Branches'!$H$6&amp;"*",INDIRECT("X"&amp;H13+1):$X$94,0)),IF(ISNA(INDEX(INDIRECT("I"&amp;H13+1):$I$94,MATCH("*"&amp;'CW Branches'!$H$6&amp;"*",INDIRECT("L"&amp;H13+1):$L$94,0)))=FALSE,INDEX(INDIRECT("I"&amp;H13+1):$I$94,MATCH("*"&amp;'CW Branches'!$H$6&amp;"*",INDIRECT("L"&amp;H13+1):$L$94,0)),""))))=TRUE,"",IF(ISNA(INDEX(INDIRECT("I"&amp;H13+1):$I$94,MATCH("*"&amp;'CW Branches'!$H$6&amp;"*",INDIRECT("U"&amp;H13+1):$U$94,0)))=FALSE,INDEX(INDIRECT("I"&amp;H13+1):$I$94,MATCH("*"&amp;'CW Branches'!$H$6&amp;"*",INDIRECT("U"&amp;H13+1):$U$94,0)),IF(ISNA(INDEX(INDIRECT("I"&amp;H13+1):$I$94,MATCH("*"&amp;'CW Branches'!$H$6&amp;"*",INDIRECT("AA"&amp;H13+1):$AA$94,0)))=FALSE,INDEX(INDIRECT("I"&amp;H13+1):$I$94,MATCH("*"&amp;'CW Branches'!$H$6&amp;"*",INDIRECT("AA"&amp;H13+1):$AA$94,0)),IF(ISNA(INDEX(INDIRECT("I"&amp;H13+1):$I$94,MATCH("*"&amp;'CW Branches'!$H$6&amp;"*",INDIRECT("L"&amp;H13+1):$L$94,0)))=FALSE,INDEX(INDIRECT("I"&amp;H13+1):$I$94,MATCH("*"&amp;'CW Branches'!$H$6&amp;"*",INDIRECT("L"&amp;H13+1):$L$94,0)),IF(ISNA(INDEX(INDIRECT("I"&amp;H13+1):$I$94,MATCH("*"&amp;'CW Branches'!$H$6&amp;"*",INDIRECT("X"&amp;H13+1):$X$94,0)))=FALSE,INDEX(INDIRECT("I"&amp;H13+1):$I$94,MATCH("*"&amp;'CW Branches'!$H$6&amp;"*",INDIRECT("X"&amp;H13+1):$X$94,0)),""))))),""))</f>
        <v/>
      </c>
      <c r="J14" s="20" t="str">
        <f t="shared" ca="1" si="17"/>
        <v/>
      </c>
      <c r="K14" s="20" t="str">
        <f t="shared" ca="1" si="0"/>
        <v/>
      </c>
      <c r="L14" s="20" t="str">
        <f t="shared" ca="1" si="1"/>
        <v/>
      </c>
      <c r="M14" s="17" t="str">
        <f t="shared" ca="1" si="2"/>
        <v/>
      </c>
      <c r="N14" s="17" t="str">
        <f t="shared" ca="1" si="3"/>
        <v/>
      </c>
      <c r="O14" s="20" t="str">
        <f t="shared" ca="1" si="4"/>
        <v/>
      </c>
      <c r="P14" s="19" t="str">
        <f t="shared" ca="1" si="5"/>
        <v/>
      </c>
      <c r="Q14" s="18" t="str">
        <f t="shared" ca="1" si="6"/>
        <v/>
      </c>
      <c r="R14" s="19" t="str">
        <f t="shared" ca="1" si="7"/>
        <v/>
      </c>
      <c r="S14" s="20" t="e">
        <f t="shared" ca="1" si="8"/>
        <v>#N/A</v>
      </c>
      <c r="T14" s="21" t="str">
        <f t="shared" ca="1" si="9"/>
        <v/>
      </c>
      <c r="U14" s="20" t="str">
        <f t="shared" ca="1" si="10"/>
        <v/>
      </c>
      <c r="V14" s="20" t="str">
        <f t="shared" ca="1" si="11"/>
        <v/>
      </c>
      <c r="W14" s="20" t="str">
        <f t="shared" ca="1" si="12"/>
        <v/>
      </c>
      <c r="X14" s="20" t="str">
        <f t="shared" ca="1" si="13"/>
        <v/>
      </c>
      <c r="Y14" s="20" t="str">
        <f t="shared" ca="1" si="14"/>
        <v/>
      </c>
      <c r="Z14" s="20" t="str">
        <f t="shared" ca="1" si="15"/>
        <v/>
      </c>
      <c r="AA14" s="20" t="str">
        <f t="shared" ca="1" si="16"/>
        <v/>
      </c>
    </row>
    <row r="15" spans="1:27" x14ac:dyDescent="0.25">
      <c r="A15" s="7">
        <v>9</v>
      </c>
      <c r="B15" s="15" t="str">
        <f>IF('CW Branches'!$H$6="","",IF(I15="","",""&amp;L15&amp;" "&amp;K15&amp;""&amp;CHAR(10)&amp;""&amp;V15&amp;" "&amp;W15&amp;""&amp;CHAR(10)&amp;""&amp;X15&amp;", "&amp;Y15&amp;" "&amp;Z15&amp;""&amp;CHAR(10)&amp;""&amp;AA15&amp;" County"&amp;CHAR(10)&amp;"District "&amp;T15&amp;""&amp;CHAR(10)&amp;"Phone Number: "&amp;TEXT(P15,"(000) 000-0000")&amp;""))</f>
        <v/>
      </c>
      <c r="C15" s="37" t="str">
        <f>""</f>
        <v/>
      </c>
      <c r="D15" s="37"/>
      <c r="E15" s="7" t="str">
        <f>""</f>
        <v/>
      </c>
      <c r="F15" s="7"/>
      <c r="G15" s="7"/>
      <c r="H15" s="18" t="str">
        <f ca="1">IF(LEN('CW Branches'!$H$6)&lt;=2,
IF(ISERROR(ROW(IF(ISNA(INDEX(INDIRECT("I"&amp;H14+1):$I$94,MATCH('CW Branches'!$H$6,INDIRECT("T"&amp;H14+1):$T$94,0)))=TRUE,"",INDEX(INDIRECT("I"&amp;H14+1):$I$94,MATCH('CW Branches'!$H$6,INDIRECT("T"&amp;H14+1):$T$94,0)))))=TRUE,"",ROW(IF(ISNA(INDEX(INDIRECT("I"&amp;H14+1):$I$94,MATCH('CW Branches'!$H$6,INDIRECT("T"&amp;H14+1):$T$94,0)))=TRUE,"",INDEX(INDIRECT("I"&amp;H14+1):$I$94,MATCH('CW Branches'!$H$6,INDIRECT("T"&amp;H14+1):$T$94,0))))),IF(ISERROR(ROW(IF(ISNA(INDEX(INDIRECT("I"&amp;H14+1):$I$94,MATCH("*"&amp;'CW Branches'!$H$6&amp;"*",INDIRECT("U"&amp;H14+1):$U$94,0)))=FALSE,INDEX(INDIRECT("I"&amp;H14+1):$I$94,MATCH("*"&amp;'CW Branches'!$H$6&amp;"*",INDIRECT("U"&amp;H14+1):$U$94,0)),IF(ISNA(INDEX(INDIRECT("I"&amp;H14+1):$I$94,MATCH("*"&amp;'CW Branches'!$H$6&amp;"*",INDIRECT("X"&amp;H14+1):$X$94,0)))=FALSE,INDEX(INDIRECT("I"&amp;H14+1):$I$94,MATCH("*"&amp;'CW Branches'!$H$6&amp;"*",INDIRECT("X"&amp;H14+1):$X$94,0)),IF(ISNA(INDEX(INDIRECT("I"&amp;H14+1):$I$94,MATCH("*"&amp;'CW Branches'!$H$6&amp;"*",INDIRECT("AA"&amp;H14+1):$AA$94,0)))=FALSE,INDEX(INDIRECT("I"&amp;H14+1):$I$94,MATCH("*"&amp;'CW Branches'!$H$6&amp;"*",INDIRECT("AA"&amp;H14+1):$AA$94,0)),IF(ISNA(INDEX(INDIRECT("I"&amp;H14+1):$I$94,MATCH("*"&amp;'CW Branches'!$H$6&amp;"*",INDIRECT("L"&amp;H14+1):$L$94,0)))=FALSE,INDEX(INDIRECT("I"&amp;H14+1):$I$94,MATCH("*"&amp;'CW Branches'!$H$6&amp;"*",INDIRECT("L"&amp;H14+1):$L$94,0)),""))))))=TRUE,"",ROW(IF(ISNA(INDEX(INDIRECT("I"&amp;H14+1):$I$94,MATCH("*"&amp;'CW Branches'!$H$6&amp;"*",INDIRECT("U"&amp;H14+1):$U$94,0)))=FALSE,INDEX(INDIRECT("I"&amp;H14+1):$I$94,MATCH("*"&amp;'CW Branches'!$H$6&amp;"*",INDIRECT("U"&amp;H14+1):$U$94,0)),IF(ISNA(INDEX(INDIRECT("I"&amp;H14+1):$I$94,MATCH("*"&amp;'CW Branches'!$H$6&amp;"*",INDIRECT("AA"&amp;H14+1):$AA$94,0)))=FALSE,INDEX(INDIRECT("I"&amp;H14+1):$I$94,MATCH("*"&amp;'CW Branches'!$H$6&amp;"*",INDIRECT("AA"&amp;H14+1):$AA$94,0)),IF(ISNA(INDEX(INDIRECT("I"&amp;H14+1):$I$94,MATCH("*"&amp;'CW Branches'!$H$6&amp;"*",INDIRECT("L"&amp;H14+1):$L$94,0)))=FALSE,INDEX(INDIRECT("I"&amp;H14+1):$I$94,MATCH("*"&amp;'CW Branches'!$H$6&amp;"*",INDIRECT("L"&amp;H14+1):$L$94,0)),IF(ISNA(INDEX(INDIRECT("I"&amp;H14+1):$I$94,MATCH("*"&amp;'CW Branches'!$H$6&amp;"*",INDIRECT("X"&amp;H14+1):$X$94,0)))=FALSE,INDEX(INDIRECT("I"&amp;H14+1):$I$94,MATCH("*"&amp;'CW Branches'!$H$6&amp;"*",INDIRECT("X"&amp;H14+1):$X$94,0)),"")))))))</f>
        <v/>
      </c>
      <c r="I15" s="20" t="str">
        <f ca="1">IF(LEN('CW Branches'!$H$6)&lt;=2,IF($I$6="",IF(ISERROR(IF(ISNA(INDEX(INDIRECT("I"&amp;H14+1):$I$94,MATCH('CW Branches'!$H$6,INDIRECT("T"&amp;H14+1):$T$94,0)))=FALSE,INDEX(INDIRECT("I"&amp;H14+1):$I$94,MATCH('CW Branches'!$H$6,INDIRECT("T"&amp;H14+1):$T$94,0)),""))=TRUE,"",IF(ISNA(INDEX(INDIRECT("I"&amp;H14+1):$I$94,MATCH('CW Branches'!$H$6,INDIRECT("T"&amp;H14+1):$T$94,0)))=FALSE,INDEX(INDIRECT("I"&amp;H14+1):$I$94,MATCH('CW Branches'!$H$6,INDIRECT("T"&amp;H14+1):$T$94,0)),"")),""),IF($I$6="",IF(ISERROR(IF(ISNA(INDEX(INDIRECT("I"&amp;H14+1):$I$94,MATCH("*"&amp;'CW Branches'!$H$6&amp;"*",INDIRECT("U"&amp;H14+1):$U$94,0)))=FALSE,INDEX(INDIRECT("I"&amp;H14+1):$I$94,MATCH("*"&amp;'CW Branches'!$H$6&amp;"*",INDIRECT("U"&amp;H14+1):$U$94,0)),IF(ISNA(INDEX(INDIRECT("I"&amp;H14+1):$I$94,MATCH("*"&amp;'CW Branches'!$H$6&amp;"*",INDIRECT("X"&amp;H14+1):$X$94,0)))=FALSE,INDEX(INDIRECT("I"&amp;H14+1):$I$94,MATCH("*"&amp;'CW Branches'!$H$6&amp;"*",INDIRECT("X"&amp;H14+1):$X$94,0)),IF(ISNA(INDEX(INDIRECT("I"&amp;H14+1):$I$94,MATCH("*"&amp;'CW Branches'!$H$6&amp;"*",INDIRECT("L"&amp;H14+1):$L$94,0)))=FALSE,INDEX(INDIRECT("I"&amp;H14+1):$I$94,MATCH("*"&amp;'CW Branches'!$H$6&amp;"*",INDIRECT("L"&amp;H14+1):$L$94,0)),""))))=TRUE,"",IF(ISNA(INDEX(INDIRECT("I"&amp;H14+1):$I$94,MATCH("*"&amp;'CW Branches'!$H$6&amp;"*",INDIRECT("U"&amp;H14+1):$U$94,0)))=FALSE,INDEX(INDIRECT("I"&amp;H14+1):$I$94,MATCH("*"&amp;'CW Branches'!$H$6&amp;"*",INDIRECT("U"&amp;H14+1):$U$94,0)),IF(ISNA(INDEX(INDIRECT("I"&amp;H14+1):$I$94,MATCH("*"&amp;'CW Branches'!$H$6&amp;"*",INDIRECT("AA"&amp;H14+1):$AA$94,0)))=FALSE,INDEX(INDIRECT("I"&amp;H14+1):$I$94,MATCH("*"&amp;'CW Branches'!$H$6&amp;"*",INDIRECT("AA"&amp;H14+1):$AA$94,0)),IF(ISNA(INDEX(INDIRECT("I"&amp;H14+1):$I$94,MATCH("*"&amp;'CW Branches'!$H$6&amp;"*",INDIRECT("L"&amp;H14+1):$L$94,0)))=FALSE,INDEX(INDIRECT("I"&amp;H14+1):$I$94,MATCH("*"&amp;'CW Branches'!$H$6&amp;"*",INDIRECT("L"&amp;H14+1):$L$94,0)),IF(ISNA(INDEX(INDIRECT("I"&amp;H14+1):$I$94,MATCH("*"&amp;'CW Branches'!$H$6&amp;"*",INDIRECT("X"&amp;H14+1):$X$94,0)))=FALSE,INDEX(INDIRECT("I"&amp;H14+1):$I$94,MATCH("*"&amp;'CW Branches'!$H$6&amp;"*",INDIRECT("X"&amp;H14+1):$X$94,0)),""))))),""))</f>
        <v/>
      </c>
      <c r="J15" s="20" t="str">
        <f t="shared" ca="1" si="17"/>
        <v/>
      </c>
      <c r="K15" s="20" t="str">
        <f t="shared" ca="1" si="0"/>
        <v/>
      </c>
      <c r="L15" s="20" t="str">
        <f t="shared" ca="1" si="1"/>
        <v/>
      </c>
      <c r="M15" s="17" t="str">
        <f t="shared" ca="1" si="2"/>
        <v/>
      </c>
      <c r="N15" s="17" t="str">
        <f t="shared" ca="1" si="3"/>
        <v/>
      </c>
      <c r="O15" s="20" t="str">
        <f t="shared" ca="1" si="4"/>
        <v/>
      </c>
      <c r="P15" s="19" t="str">
        <f t="shared" ca="1" si="5"/>
        <v/>
      </c>
      <c r="Q15" s="18" t="str">
        <f t="shared" ca="1" si="6"/>
        <v/>
      </c>
      <c r="R15" s="19" t="str">
        <f t="shared" ca="1" si="7"/>
        <v/>
      </c>
      <c r="S15" s="20" t="e">
        <f t="shared" ca="1" si="8"/>
        <v>#N/A</v>
      </c>
      <c r="T15" s="21" t="str">
        <f t="shared" ca="1" si="9"/>
        <v/>
      </c>
      <c r="U15" s="20" t="str">
        <f t="shared" ca="1" si="10"/>
        <v/>
      </c>
      <c r="V15" s="20" t="str">
        <f t="shared" ca="1" si="11"/>
        <v/>
      </c>
      <c r="W15" s="20" t="str">
        <f t="shared" ca="1" si="12"/>
        <v/>
      </c>
      <c r="X15" s="20" t="str">
        <f t="shared" ca="1" si="13"/>
        <v/>
      </c>
      <c r="Y15" s="20" t="str">
        <f t="shared" ca="1" si="14"/>
        <v/>
      </c>
      <c r="Z15" s="20" t="str">
        <f t="shared" ca="1" si="15"/>
        <v/>
      </c>
      <c r="AA15" s="20" t="str">
        <f t="shared" ca="1" si="16"/>
        <v/>
      </c>
    </row>
    <row r="16" spans="1:27" x14ac:dyDescent="0.25">
      <c r="A16" s="7">
        <v>10</v>
      </c>
      <c r="B16" s="15" t="str">
        <f>IF('CW Branches'!$H$6="","",IF(I16="","",""&amp;L16&amp;" "&amp;K16&amp;""&amp;CHAR(10)&amp;""&amp;V16&amp;" "&amp;W16&amp;""&amp;CHAR(10)&amp;""&amp;X16&amp;", "&amp;Y16&amp;" "&amp;Z16&amp;""&amp;CHAR(10)&amp;""&amp;AA16&amp;" County"&amp;CHAR(10)&amp;"District "&amp;T16&amp;""&amp;CHAR(10)&amp;"Phone Number: "&amp;TEXT(P16,"(000) 000-0000")&amp;""))</f>
        <v/>
      </c>
      <c r="C16" s="37" t="str">
        <f>""</f>
        <v/>
      </c>
      <c r="D16" s="37"/>
      <c r="E16" s="7" t="str">
        <f>""</f>
        <v/>
      </c>
      <c r="F16" s="7"/>
      <c r="G16" s="7"/>
      <c r="H16" s="18" t="str">
        <f ca="1">IF(LEN('CW Branches'!$H$6)&lt;=2,
IF(ISERROR(ROW(IF(ISNA(INDEX(INDIRECT("I"&amp;H15+1):$I$94,MATCH('CW Branches'!$H$6,INDIRECT("T"&amp;H15+1):$T$94,0)))=TRUE,"",INDEX(INDIRECT("I"&amp;H15+1):$I$94,MATCH('CW Branches'!$H$6,INDIRECT("T"&amp;H15+1):$T$94,0)))))=TRUE,"",ROW(IF(ISNA(INDEX(INDIRECT("I"&amp;H15+1):$I$94,MATCH('CW Branches'!$H$6,INDIRECT("T"&amp;H15+1):$T$94,0)))=TRUE,"",INDEX(INDIRECT("I"&amp;H15+1):$I$94,MATCH('CW Branches'!$H$6,INDIRECT("T"&amp;H15+1):$T$94,0))))),IF(ISERROR(ROW(IF(ISNA(INDEX(INDIRECT("I"&amp;H15+1):$I$94,MATCH("*"&amp;'CW Branches'!$H$6&amp;"*",INDIRECT("U"&amp;H15+1):$U$94,0)))=FALSE,INDEX(INDIRECT("I"&amp;H15+1):$I$94,MATCH("*"&amp;'CW Branches'!$H$6&amp;"*",INDIRECT("U"&amp;H15+1):$U$94,0)),IF(ISNA(INDEX(INDIRECT("I"&amp;H15+1):$I$94,MATCH("*"&amp;'CW Branches'!$H$6&amp;"*",INDIRECT("X"&amp;H15+1):$X$94,0)))=FALSE,INDEX(INDIRECT("I"&amp;H15+1):$I$94,MATCH("*"&amp;'CW Branches'!$H$6&amp;"*",INDIRECT("X"&amp;H15+1):$X$94,0)),IF(ISNA(INDEX(INDIRECT("I"&amp;H15+1):$I$94,MATCH("*"&amp;'CW Branches'!$H$6&amp;"*",INDIRECT("AA"&amp;H15+1):$AA$94,0)))=FALSE,INDEX(INDIRECT("I"&amp;H15+1):$I$94,MATCH("*"&amp;'CW Branches'!$H$6&amp;"*",INDIRECT("AA"&amp;H15+1):$AA$94,0)),IF(ISNA(INDEX(INDIRECT("I"&amp;H15+1):$I$94,MATCH("*"&amp;'CW Branches'!$H$6&amp;"*",INDIRECT("L"&amp;H15+1):$L$94,0)))=FALSE,INDEX(INDIRECT("I"&amp;H15+1):$I$94,MATCH("*"&amp;'CW Branches'!$H$6&amp;"*",INDIRECT("L"&amp;H15+1):$L$94,0)),""))))))=TRUE,"",ROW(IF(ISNA(INDEX(INDIRECT("I"&amp;H15+1):$I$94,MATCH("*"&amp;'CW Branches'!$H$6&amp;"*",INDIRECT("U"&amp;H15+1):$U$94,0)))=FALSE,INDEX(INDIRECT("I"&amp;H15+1):$I$94,MATCH("*"&amp;'CW Branches'!$H$6&amp;"*",INDIRECT("U"&amp;H15+1):$U$94,0)),IF(ISNA(INDEX(INDIRECT("I"&amp;H15+1):$I$94,MATCH("*"&amp;'CW Branches'!$H$6&amp;"*",INDIRECT("AA"&amp;H15+1):$AA$94,0)))=FALSE,INDEX(INDIRECT("I"&amp;H15+1):$I$94,MATCH("*"&amp;'CW Branches'!$H$6&amp;"*",INDIRECT("AA"&amp;H15+1):$AA$94,0)),IF(ISNA(INDEX(INDIRECT("I"&amp;H15+1):$I$94,MATCH("*"&amp;'CW Branches'!$H$6&amp;"*",INDIRECT("L"&amp;H15+1):$L$94,0)))=FALSE,INDEX(INDIRECT("I"&amp;H15+1):$I$94,MATCH("*"&amp;'CW Branches'!$H$6&amp;"*",INDIRECT("L"&amp;H15+1):$L$94,0)),IF(ISNA(INDEX(INDIRECT("I"&amp;H15+1):$I$94,MATCH("*"&amp;'CW Branches'!$H$6&amp;"*",INDIRECT("X"&amp;H15+1):$X$94,0)))=FALSE,INDEX(INDIRECT("I"&amp;H15+1):$I$94,MATCH("*"&amp;'CW Branches'!$H$6&amp;"*",INDIRECT("X"&amp;H15+1):$X$94,0)),"")))))))</f>
        <v/>
      </c>
      <c r="I16" s="20" t="str">
        <f ca="1">IF(LEN('CW Branches'!$H$6)&lt;=2,IF($I$6="",IF(ISERROR(IF(ISNA(INDEX(INDIRECT("I"&amp;H15+1):$I$94,MATCH('CW Branches'!$H$6,INDIRECT("T"&amp;H15+1):$T$94,0)))=FALSE,INDEX(INDIRECT("I"&amp;H15+1):$I$94,MATCH('CW Branches'!$H$6,INDIRECT("T"&amp;H15+1):$T$94,0)),""))=TRUE,"",IF(ISNA(INDEX(INDIRECT("I"&amp;H15+1):$I$94,MATCH('CW Branches'!$H$6,INDIRECT("T"&amp;H15+1):$T$94,0)))=FALSE,INDEX(INDIRECT("I"&amp;H15+1):$I$94,MATCH('CW Branches'!$H$6,INDIRECT("T"&amp;H15+1):$T$94,0)),"")),""),IF($I$6="",IF(ISERROR(IF(ISNA(INDEX(INDIRECT("I"&amp;H15+1):$I$94,MATCH("*"&amp;'CW Branches'!$H$6&amp;"*",INDIRECT("U"&amp;H15+1):$U$94,0)))=FALSE,INDEX(INDIRECT("I"&amp;H15+1):$I$94,MATCH("*"&amp;'CW Branches'!$H$6&amp;"*",INDIRECT("U"&amp;H15+1):$U$94,0)),IF(ISNA(INDEX(INDIRECT("I"&amp;H15+1):$I$94,MATCH("*"&amp;'CW Branches'!$H$6&amp;"*",INDIRECT("X"&amp;H15+1):$X$94,0)))=FALSE,INDEX(INDIRECT("I"&amp;H15+1):$I$94,MATCH("*"&amp;'CW Branches'!$H$6&amp;"*",INDIRECT("X"&amp;H15+1):$X$94,0)),IF(ISNA(INDEX(INDIRECT("I"&amp;H15+1):$I$94,MATCH("*"&amp;'CW Branches'!$H$6&amp;"*",INDIRECT("L"&amp;H15+1):$L$94,0)))=FALSE,INDEX(INDIRECT("I"&amp;H15+1):$I$94,MATCH("*"&amp;'CW Branches'!$H$6&amp;"*",INDIRECT("L"&amp;H15+1):$L$94,0)),""))))=TRUE,"",IF(ISNA(INDEX(INDIRECT("I"&amp;H15+1):$I$94,MATCH("*"&amp;'CW Branches'!$H$6&amp;"*",INDIRECT("U"&amp;H15+1):$U$94,0)))=FALSE,INDEX(INDIRECT("I"&amp;H15+1):$I$94,MATCH("*"&amp;'CW Branches'!$H$6&amp;"*",INDIRECT("U"&amp;H15+1):$U$94,0)),IF(ISNA(INDEX(INDIRECT("I"&amp;H15+1):$I$94,MATCH("*"&amp;'CW Branches'!$H$6&amp;"*",INDIRECT("AA"&amp;H15+1):$AA$94,0)))=FALSE,INDEX(INDIRECT("I"&amp;H15+1):$I$94,MATCH("*"&amp;'CW Branches'!$H$6&amp;"*",INDIRECT("AA"&amp;H15+1):$AA$94,0)),IF(ISNA(INDEX(INDIRECT("I"&amp;H15+1):$I$94,MATCH("*"&amp;'CW Branches'!$H$6&amp;"*",INDIRECT("L"&amp;H15+1):$L$94,0)))=FALSE,INDEX(INDIRECT("I"&amp;H15+1):$I$94,MATCH("*"&amp;'CW Branches'!$H$6&amp;"*",INDIRECT("L"&amp;H15+1):$L$94,0)),IF(ISNA(INDEX(INDIRECT("I"&amp;H15+1):$I$94,MATCH("*"&amp;'CW Branches'!$H$6&amp;"*",INDIRECT("X"&amp;H15+1):$X$94,0)))=FALSE,INDEX(INDIRECT("I"&amp;H15+1):$I$94,MATCH("*"&amp;'CW Branches'!$H$6&amp;"*",INDIRECT("X"&amp;H15+1):$X$94,0)),""))))),""))</f>
        <v/>
      </c>
      <c r="J16" s="20" t="str">
        <f t="shared" ca="1" si="17"/>
        <v/>
      </c>
      <c r="K16" s="20" t="str">
        <f t="shared" ca="1" si="0"/>
        <v/>
      </c>
      <c r="L16" s="20" t="str">
        <f t="shared" ca="1" si="1"/>
        <v/>
      </c>
      <c r="M16" s="17" t="str">
        <f t="shared" ca="1" si="2"/>
        <v/>
      </c>
      <c r="N16" s="17" t="str">
        <f t="shared" ca="1" si="3"/>
        <v/>
      </c>
      <c r="O16" s="20" t="str">
        <f t="shared" ca="1" si="4"/>
        <v/>
      </c>
      <c r="P16" s="19" t="str">
        <f t="shared" ca="1" si="5"/>
        <v/>
      </c>
      <c r="Q16" s="18" t="str">
        <f t="shared" ca="1" si="6"/>
        <v/>
      </c>
      <c r="R16" s="19" t="str">
        <f t="shared" ca="1" si="7"/>
        <v/>
      </c>
      <c r="S16" s="20" t="e">
        <f t="shared" ca="1" si="8"/>
        <v>#N/A</v>
      </c>
      <c r="T16" s="21" t="str">
        <f t="shared" ca="1" si="9"/>
        <v/>
      </c>
      <c r="U16" s="20" t="str">
        <f t="shared" ca="1" si="10"/>
        <v/>
      </c>
      <c r="V16" s="20" t="str">
        <f t="shared" ca="1" si="11"/>
        <v/>
      </c>
      <c r="W16" s="20" t="str">
        <f t="shared" ca="1" si="12"/>
        <v/>
      </c>
      <c r="X16" s="20" t="str">
        <f t="shared" ca="1" si="13"/>
        <v/>
      </c>
      <c r="Y16" s="20" t="str">
        <f t="shared" ca="1" si="14"/>
        <v/>
      </c>
      <c r="Z16" s="20" t="str">
        <f t="shared" ca="1" si="15"/>
        <v/>
      </c>
      <c r="AA16" s="20" t="str">
        <f t="shared" ca="1" si="16"/>
        <v/>
      </c>
    </row>
    <row r="17" spans="1:27" x14ac:dyDescent="0.25">
      <c r="A17" s="7">
        <v>11</v>
      </c>
      <c r="B17" s="15" t="str">
        <f>IF('CW Branches'!$H$6="","",IF(I17="","",""&amp;L17&amp;" "&amp;K17&amp;""&amp;CHAR(10)&amp;""&amp;V17&amp;" "&amp;W17&amp;""&amp;CHAR(10)&amp;""&amp;X17&amp;", "&amp;Y17&amp;" "&amp;Z17&amp;""&amp;CHAR(10)&amp;""&amp;AA17&amp;" County"&amp;CHAR(10)&amp;"District "&amp;T17&amp;""&amp;CHAR(10)&amp;"Phone Number: "&amp;TEXT(P17,"(000) 000-0000")&amp;""))</f>
        <v/>
      </c>
      <c r="C17" s="37" t="str">
        <f>""</f>
        <v/>
      </c>
      <c r="D17" s="37"/>
      <c r="E17" s="7" t="str">
        <f>""</f>
        <v/>
      </c>
      <c r="F17" s="7"/>
      <c r="G17" s="7"/>
      <c r="H17" s="18" t="str">
        <f ca="1">IF(LEN('CW Branches'!$H$6)&lt;=2,
IF(ISERROR(ROW(IF(ISNA(INDEX(INDIRECT("I"&amp;H16+1):$I$94,MATCH('CW Branches'!$H$6,INDIRECT("T"&amp;H16+1):$T$94,0)))=TRUE,"",INDEX(INDIRECT("I"&amp;H16+1):$I$94,MATCH('CW Branches'!$H$6,INDIRECT("T"&amp;H16+1):$T$94,0)))))=TRUE,"",ROW(IF(ISNA(INDEX(INDIRECT("I"&amp;H16+1):$I$94,MATCH('CW Branches'!$H$6,INDIRECT("T"&amp;H16+1):$T$94,0)))=TRUE,"",INDEX(INDIRECT("I"&amp;H16+1):$I$94,MATCH('CW Branches'!$H$6,INDIRECT("T"&amp;H16+1):$T$94,0))))),IF(ISERROR(ROW(IF(ISNA(INDEX(INDIRECT("I"&amp;H16+1):$I$94,MATCH("*"&amp;'CW Branches'!$H$6&amp;"*",INDIRECT("U"&amp;H16+1):$U$94,0)))=FALSE,INDEX(INDIRECT("I"&amp;H16+1):$I$94,MATCH("*"&amp;'CW Branches'!$H$6&amp;"*",INDIRECT("U"&amp;H16+1):$U$94,0)),IF(ISNA(INDEX(INDIRECT("I"&amp;H16+1):$I$94,MATCH("*"&amp;'CW Branches'!$H$6&amp;"*",INDIRECT("X"&amp;H16+1):$X$94,0)))=FALSE,INDEX(INDIRECT("I"&amp;H16+1):$I$94,MATCH("*"&amp;'CW Branches'!$H$6&amp;"*",INDIRECT("X"&amp;H16+1):$X$94,0)),IF(ISNA(INDEX(INDIRECT("I"&amp;H16+1):$I$94,MATCH("*"&amp;'CW Branches'!$H$6&amp;"*",INDIRECT("AA"&amp;H16+1):$AA$94,0)))=FALSE,INDEX(INDIRECT("I"&amp;H16+1):$I$94,MATCH("*"&amp;'CW Branches'!$H$6&amp;"*",INDIRECT("AA"&amp;H16+1):$AA$94,0)),IF(ISNA(INDEX(INDIRECT("I"&amp;H16+1):$I$94,MATCH("*"&amp;'CW Branches'!$H$6&amp;"*",INDIRECT("L"&amp;H16+1):$L$94,0)))=FALSE,INDEX(INDIRECT("I"&amp;H16+1):$I$94,MATCH("*"&amp;'CW Branches'!$H$6&amp;"*",INDIRECT("L"&amp;H16+1):$L$94,0)),""))))))=TRUE,"",ROW(IF(ISNA(INDEX(INDIRECT("I"&amp;H16+1):$I$94,MATCH("*"&amp;'CW Branches'!$H$6&amp;"*",INDIRECT("U"&amp;H16+1):$U$94,0)))=FALSE,INDEX(INDIRECT("I"&amp;H16+1):$I$94,MATCH("*"&amp;'CW Branches'!$H$6&amp;"*",INDIRECT("U"&amp;H16+1):$U$94,0)),IF(ISNA(INDEX(INDIRECT("I"&amp;H16+1):$I$94,MATCH("*"&amp;'CW Branches'!$H$6&amp;"*",INDIRECT("AA"&amp;H16+1):$AA$94,0)))=FALSE,INDEX(INDIRECT("I"&amp;H16+1):$I$94,MATCH("*"&amp;'CW Branches'!$H$6&amp;"*",INDIRECT("AA"&amp;H16+1):$AA$94,0)),IF(ISNA(INDEX(INDIRECT("I"&amp;H16+1):$I$94,MATCH("*"&amp;'CW Branches'!$H$6&amp;"*",INDIRECT("L"&amp;H16+1):$L$94,0)))=FALSE,INDEX(INDIRECT("I"&amp;H16+1):$I$94,MATCH("*"&amp;'CW Branches'!$H$6&amp;"*",INDIRECT("L"&amp;H16+1):$L$94,0)),IF(ISNA(INDEX(INDIRECT("I"&amp;H16+1):$I$94,MATCH("*"&amp;'CW Branches'!$H$6&amp;"*",INDIRECT("X"&amp;H16+1):$X$94,0)))=FALSE,INDEX(INDIRECT("I"&amp;H16+1):$I$94,MATCH("*"&amp;'CW Branches'!$H$6&amp;"*",INDIRECT("X"&amp;H16+1):$X$94,0)),"")))))))</f>
        <v/>
      </c>
      <c r="I17" s="20" t="str">
        <f ca="1">IF(LEN('CW Branches'!$H$6)&lt;=2,IF($I$6="",IF(ISERROR(IF(ISNA(INDEX(INDIRECT("I"&amp;H16+1):$I$94,MATCH('CW Branches'!$H$6,INDIRECT("T"&amp;H16+1):$T$94,0)))=FALSE,INDEX(INDIRECT("I"&amp;H16+1):$I$94,MATCH('CW Branches'!$H$6,INDIRECT("T"&amp;H16+1):$T$94,0)),""))=TRUE,"",IF(ISNA(INDEX(INDIRECT("I"&amp;H16+1):$I$94,MATCH('CW Branches'!$H$6,INDIRECT("T"&amp;H16+1):$T$94,0)))=FALSE,INDEX(INDIRECT("I"&amp;H16+1):$I$94,MATCH('CW Branches'!$H$6,INDIRECT("T"&amp;H16+1):$T$94,0)),"")),""),IF($I$6="",IF(ISERROR(IF(ISNA(INDEX(INDIRECT("I"&amp;H16+1):$I$94,MATCH("*"&amp;'CW Branches'!$H$6&amp;"*",INDIRECT("U"&amp;H16+1):$U$94,0)))=FALSE,INDEX(INDIRECT("I"&amp;H16+1):$I$94,MATCH("*"&amp;'CW Branches'!$H$6&amp;"*",INDIRECT("U"&amp;H16+1):$U$94,0)),IF(ISNA(INDEX(INDIRECT("I"&amp;H16+1):$I$94,MATCH("*"&amp;'CW Branches'!$H$6&amp;"*",INDIRECT("X"&amp;H16+1):$X$94,0)))=FALSE,INDEX(INDIRECT("I"&amp;H16+1):$I$94,MATCH("*"&amp;'CW Branches'!$H$6&amp;"*",INDIRECT("X"&amp;H16+1):$X$94,0)),IF(ISNA(INDEX(INDIRECT("I"&amp;H16+1):$I$94,MATCH("*"&amp;'CW Branches'!$H$6&amp;"*",INDIRECT("L"&amp;H16+1):$L$94,0)))=FALSE,INDEX(INDIRECT("I"&amp;H16+1):$I$94,MATCH("*"&amp;'CW Branches'!$H$6&amp;"*",INDIRECT("L"&amp;H16+1):$L$94,0)),""))))=TRUE,"",IF(ISNA(INDEX(INDIRECT("I"&amp;H16+1):$I$94,MATCH("*"&amp;'CW Branches'!$H$6&amp;"*",INDIRECT("U"&amp;H16+1):$U$94,0)))=FALSE,INDEX(INDIRECT("I"&amp;H16+1):$I$94,MATCH("*"&amp;'CW Branches'!$H$6&amp;"*",INDIRECT("U"&amp;H16+1):$U$94,0)),IF(ISNA(INDEX(INDIRECT("I"&amp;H16+1):$I$94,MATCH("*"&amp;'CW Branches'!$H$6&amp;"*",INDIRECT("AA"&amp;H16+1):$AA$94,0)))=FALSE,INDEX(INDIRECT("I"&amp;H16+1):$I$94,MATCH("*"&amp;'CW Branches'!$H$6&amp;"*",INDIRECT("AA"&amp;H16+1):$AA$94,0)),IF(ISNA(INDEX(INDIRECT("I"&amp;H16+1):$I$94,MATCH("*"&amp;'CW Branches'!$H$6&amp;"*",INDIRECT("L"&amp;H16+1):$L$94,0)))=FALSE,INDEX(INDIRECT("I"&amp;H16+1):$I$94,MATCH("*"&amp;'CW Branches'!$H$6&amp;"*",INDIRECT("L"&amp;H16+1):$L$94,0)),IF(ISNA(INDEX(INDIRECT("I"&amp;H16+1):$I$94,MATCH("*"&amp;'CW Branches'!$H$6&amp;"*",INDIRECT("X"&amp;H16+1):$X$94,0)))=FALSE,INDEX(INDIRECT("I"&amp;H16+1):$I$94,MATCH("*"&amp;'CW Branches'!$H$6&amp;"*",INDIRECT("X"&amp;H16+1):$X$94,0)),""))))),""))</f>
        <v/>
      </c>
      <c r="J17" s="20" t="str">
        <f t="shared" ca="1" si="17"/>
        <v/>
      </c>
      <c r="K17" s="20" t="str">
        <f t="shared" ca="1" si="0"/>
        <v/>
      </c>
      <c r="L17" s="20" t="str">
        <f t="shared" ca="1" si="1"/>
        <v/>
      </c>
      <c r="M17" s="17" t="str">
        <f t="shared" ca="1" si="2"/>
        <v/>
      </c>
      <c r="N17" s="17" t="str">
        <f t="shared" ca="1" si="3"/>
        <v/>
      </c>
      <c r="O17" s="20" t="str">
        <f t="shared" ca="1" si="4"/>
        <v/>
      </c>
      <c r="P17" s="19" t="str">
        <f t="shared" ca="1" si="5"/>
        <v/>
      </c>
      <c r="Q17" s="18" t="str">
        <f t="shared" ca="1" si="6"/>
        <v/>
      </c>
      <c r="R17" s="19" t="str">
        <f t="shared" ca="1" si="7"/>
        <v/>
      </c>
      <c r="S17" s="20" t="e">
        <f t="shared" ca="1" si="8"/>
        <v>#N/A</v>
      </c>
      <c r="T17" s="21" t="str">
        <f t="shared" ca="1" si="9"/>
        <v/>
      </c>
      <c r="U17" s="20" t="str">
        <f t="shared" ca="1" si="10"/>
        <v/>
      </c>
      <c r="V17" s="20" t="str">
        <f t="shared" ca="1" si="11"/>
        <v/>
      </c>
      <c r="W17" s="20" t="str">
        <f t="shared" ca="1" si="12"/>
        <v/>
      </c>
      <c r="X17" s="20" t="str">
        <f t="shared" ca="1" si="13"/>
        <v/>
      </c>
      <c r="Y17" s="20" t="str">
        <f t="shared" ca="1" si="14"/>
        <v/>
      </c>
      <c r="Z17" s="20" t="str">
        <f t="shared" ca="1" si="15"/>
        <v/>
      </c>
      <c r="AA17" s="20" t="str">
        <f t="shared" ca="1" si="16"/>
        <v/>
      </c>
    </row>
    <row r="18" spans="1:27" x14ac:dyDescent="0.25">
      <c r="A18" s="7">
        <v>12</v>
      </c>
      <c r="B18" s="15" t="str">
        <f>IF('CW Branches'!$H$6="","",IF(I18="","",""&amp;L18&amp;" "&amp;K18&amp;""&amp;CHAR(10)&amp;""&amp;V18&amp;" "&amp;W18&amp;""&amp;CHAR(10)&amp;""&amp;X18&amp;", "&amp;Y18&amp;" "&amp;Z18&amp;""&amp;CHAR(10)&amp;""&amp;AA18&amp;" County"&amp;CHAR(10)&amp;"District "&amp;T18&amp;""&amp;CHAR(10)&amp;"Phone Number: "&amp;TEXT(P18,"(000) 000-0000")&amp;""))</f>
        <v/>
      </c>
      <c r="C18" s="37" t="str">
        <f>""</f>
        <v/>
      </c>
      <c r="D18" s="1"/>
      <c r="E18" s="1"/>
      <c r="F18" s="1"/>
      <c r="G18" s="1"/>
      <c r="H18" s="18" t="str">
        <f ca="1">IF(LEN('CW Branches'!$H$6)&lt;=2,
IF(ISERROR(ROW(IF(ISNA(INDEX(INDIRECT("I"&amp;H17+1):$I$94,MATCH('CW Branches'!$H$6,INDIRECT("T"&amp;H17+1):$T$94,0)))=TRUE,"",INDEX(INDIRECT("I"&amp;H17+1):$I$94,MATCH('CW Branches'!$H$6,INDIRECT("T"&amp;H17+1):$T$94,0)))))=TRUE,"",ROW(IF(ISNA(INDEX(INDIRECT("I"&amp;H17+1):$I$94,MATCH('CW Branches'!$H$6,INDIRECT("T"&amp;H17+1):$T$94,0)))=TRUE,"",INDEX(INDIRECT("I"&amp;H17+1):$I$94,MATCH('CW Branches'!$H$6,INDIRECT("T"&amp;H17+1):$T$94,0))))),IF(ISERROR(ROW(IF(ISNA(INDEX(INDIRECT("I"&amp;H17+1):$I$94,MATCH("*"&amp;'CW Branches'!$H$6&amp;"*",INDIRECT("U"&amp;H17+1):$U$94,0)))=FALSE,INDEX(INDIRECT("I"&amp;H17+1):$I$94,MATCH("*"&amp;'CW Branches'!$H$6&amp;"*",INDIRECT("U"&amp;H17+1):$U$94,0)),IF(ISNA(INDEX(INDIRECT("I"&amp;H17+1):$I$94,MATCH("*"&amp;'CW Branches'!$H$6&amp;"*",INDIRECT("X"&amp;H17+1):$X$94,0)))=FALSE,INDEX(INDIRECT("I"&amp;H17+1):$I$94,MATCH("*"&amp;'CW Branches'!$H$6&amp;"*",INDIRECT("X"&amp;H17+1):$X$94,0)),IF(ISNA(INDEX(INDIRECT("I"&amp;H17+1):$I$94,MATCH("*"&amp;'CW Branches'!$H$6&amp;"*",INDIRECT("AA"&amp;H17+1):$AA$94,0)))=FALSE,INDEX(INDIRECT("I"&amp;H17+1):$I$94,MATCH("*"&amp;'CW Branches'!$H$6&amp;"*",INDIRECT("AA"&amp;H17+1):$AA$94,0)),IF(ISNA(INDEX(INDIRECT("I"&amp;H17+1):$I$94,MATCH("*"&amp;'CW Branches'!$H$6&amp;"*",INDIRECT("L"&amp;H17+1):$L$94,0)))=FALSE,INDEX(INDIRECT("I"&amp;H17+1):$I$94,MATCH("*"&amp;'CW Branches'!$H$6&amp;"*",INDIRECT("L"&amp;H17+1):$L$94,0)),""))))))=TRUE,"",ROW(IF(ISNA(INDEX(INDIRECT("I"&amp;H17+1):$I$94,MATCH("*"&amp;'CW Branches'!$H$6&amp;"*",INDIRECT("U"&amp;H17+1):$U$94,0)))=FALSE,INDEX(INDIRECT("I"&amp;H17+1):$I$94,MATCH("*"&amp;'CW Branches'!$H$6&amp;"*",INDIRECT("U"&amp;H17+1):$U$94,0)),IF(ISNA(INDEX(INDIRECT("I"&amp;H17+1):$I$94,MATCH("*"&amp;'CW Branches'!$H$6&amp;"*",INDIRECT("AA"&amp;H17+1):$AA$94,0)))=FALSE,INDEX(INDIRECT("I"&amp;H17+1):$I$94,MATCH("*"&amp;'CW Branches'!$H$6&amp;"*",INDIRECT("AA"&amp;H17+1):$AA$94,0)),IF(ISNA(INDEX(INDIRECT("I"&amp;H17+1):$I$94,MATCH("*"&amp;'CW Branches'!$H$6&amp;"*",INDIRECT("L"&amp;H17+1):$L$94,0)))=FALSE,INDEX(INDIRECT("I"&amp;H17+1):$I$94,MATCH("*"&amp;'CW Branches'!$H$6&amp;"*",INDIRECT("L"&amp;H17+1):$L$94,0)),IF(ISNA(INDEX(INDIRECT("I"&amp;H17+1):$I$94,MATCH("*"&amp;'CW Branches'!$H$6&amp;"*",INDIRECT("X"&amp;H17+1):$X$94,0)))=FALSE,INDEX(INDIRECT("I"&amp;H17+1):$I$94,MATCH("*"&amp;'CW Branches'!$H$6&amp;"*",INDIRECT("X"&amp;H17+1):$X$94,0)),"")))))))</f>
        <v/>
      </c>
      <c r="I18" s="20" t="str">
        <f ca="1">IF(LEN('CW Branches'!$H$6)&lt;=2,IF($I$6="",IF(ISERROR(IF(ISNA(INDEX(INDIRECT("I"&amp;H17+1):$I$94,MATCH('CW Branches'!$H$6,INDIRECT("T"&amp;H17+1):$T$94,0)))=FALSE,INDEX(INDIRECT("I"&amp;H17+1):$I$94,MATCH('CW Branches'!$H$6,INDIRECT("T"&amp;H17+1):$T$94,0)),""))=TRUE,"",IF(ISNA(INDEX(INDIRECT("I"&amp;H17+1):$I$94,MATCH('CW Branches'!$H$6,INDIRECT("T"&amp;H17+1):$T$94,0)))=FALSE,INDEX(INDIRECT("I"&amp;H17+1):$I$94,MATCH('CW Branches'!$H$6,INDIRECT("T"&amp;H17+1):$T$94,0)),"")),""),IF($I$6="",IF(ISERROR(IF(ISNA(INDEX(INDIRECT("I"&amp;H17+1):$I$94,MATCH("*"&amp;'CW Branches'!$H$6&amp;"*",INDIRECT("U"&amp;H17+1):$U$94,0)))=FALSE,INDEX(INDIRECT("I"&amp;H17+1):$I$94,MATCH("*"&amp;'CW Branches'!$H$6&amp;"*",INDIRECT("U"&amp;H17+1):$U$94,0)),IF(ISNA(INDEX(INDIRECT("I"&amp;H17+1):$I$94,MATCH("*"&amp;'CW Branches'!$H$6&amp;"*",INDIRECT("X"&amp;H17+1):$X$94,0)))=FALSE,INDEX(INDIRECT("I"&amp;H17+1):$I$94,MATCH("*"&amp;'CW Branches'!$H$6&amp;"*",INDIRECT("X"&amp;H17+1):$X$94,0)),IF(ISNA(INDEX(INDIRECT("I"&amp;H17+1):$I$94,MATCH("*"&amp;'CW Branches'!$H$6&amp;"*",INDIRECT("L"&amp;H17+1):$L$94,0)))=FALSE,INDEX(INDIRECT("I"&amp;H17+1):$I$94,MATCH("*"&amp;'CW Branches'!$H$6&amp;"*",INDIRECT("L"&amp;H17+1):$L$94,0)),""))))=TRUE,"",IF(ISNA(INDEX(INDIRECT("I"&amp;H17+1):$I$94,MATCH("*"&amp;'CW Branches'!$H$6&amp;"*",INDIRECT("U"&amp;H17+1):$U$94,0)))=FALSE,INDEX(INDIRECT("I"&amp;H17+1):$I$94,MATCH("*"&amp;'CW Branches'!$H$6&amp;"*",INDIRECT("U"&amp;H17+1):$U$94,0)),IF(ISNA(INDEX(INDIRECT("I"&amp;H17+1):$I$94,MATCH("*"&amp;'CW Branches'!$H$6&amp;"*",INDIRECT("AA"&amp;H17+1):$AA$94,0)))=FALSE,INDEX(INDIRECT("I"&amp;H17+1):$I$94,MATCH("*"&amp;'CW Branches'!$H$6&amp;"*",INDIRECT("AA"&amp;H17+1):$AA$94,0)),IF(ISNA(INDEX(INDIRECT("I"&amp;H17+1):$I$94,MATCH("*"&amp;'CW Branches'!$H$6&amp;"*",INDIRECT("L"&amp;H17+1):$L$94,0)))=FALSE,INDEX(INDIRECT("I"&amp;H17+1):$I$94,MATCH("*"&amp;'CW Branches'!$H$6&amp;"*",INDIRECT("L"&amp;H17+1):$L$94,0)),IF(ISNA(INDEX(INDIRECT("I"&amp;H17+1):$I$94,MATCH("*"&amp;'CW Branches'!$H$6&amp;"*",INDIRECT("X"&amp;H17+1):$X$94,0)))=FALSE,INDEX(INDIRECT("I"&amp;H17+1):$I$94,MATCH("*"&amp;'CW Branches'!$H$6&amp;"*",INDIRECT("X"&amp;H17+1):$X$94,0)),""))))),""))</f>
        <v/>
      </c>
      <c r="J18" s="20" t="str">
        <f t="shared" ca="1" si="17"/>
        <v/>
      </c>
      <c r="K18" s="20" t="str">
        <f t="shared" ca="1" si="0"/>
        <v/>
      </c>
      <c r="L18" s="20" t="str">
        <f t="shared" ca="1" si="1"/>
        <v/>
      </c>
      <c r="M18" s="17" t="str">
        <f t="shared" ca="1" si="2"/>
        <v/>
      </c>
      <c r="N18" s="17" t="str">
        <f t="shared" ca="1" si="3"/>
        <v/>
      </c>
      <c r="O18" s="20" t="str">
        <f t="shared" ca="1" si="4"/>
        <v/>
      </c>
      <c r="P18" s="19" t="str">
        <f t="shared" ca="1" si="5"/>
        <v/>
      </c>
      <c r="Q18" s="18" t="str">
        <f t="shared" ca="1" si="6"/>
        <v/>
      </c>
      <c r="R18" s="19" t="str">
        <f t="shared" ca="1" si="7"/>
        <v/>
      </c>
      <c r="S18" s="20" t="e">
        <f t="shared" ca="1" si="8"/>
        <v>#N/A</v>
      </c>
      <c r="T18" s="21" t="str">
        <f t="shared" ca="1" si="9"/>
        <v/>
      </c>
      <c r="U18" s="20" t="str">
        <f t="shared" ca="1" si="10"/>
        <v/>
      </c>
      <c r="V18" s="20" t="str">
        <f t="shared" ca="1" si="11"/>
        <v/>
      </c>
      <c r="W18" s="20" t="str">
        <f t="shared" ca="1" si="12"/>
        <v/>
      </c>
      <c r="X18" s="20" t="str">
        <f t="shared" ca="1" si="13"/>
        <v/>
      </c>
      <c r="Y18" s="20" t="str">
        <f t="shared" ca="1" si="14"/>
        <v/>
      </c>
      <c r="Z18" s="20" t="str">
        <f t="shared" ca="1" si="15"/>
        <v/>
      </c>
      <c r="AA18" s="20" t="str">
        <f t="shared" ca="1" si="16"/>
        <v/>
      </c>
    </row>
    <row r="19" spans="1:27" x14ac:dyDescent="0.25">
      <c r="A19" s="7">
        <v>13</v>
      </c>
      <c r="B19" s="15" t="str">
        <f>IF('CW Branches'!$H$6="","",IF(I19="","",""&amp;L19&amp;" "&amp;K19&amp;""&amp;CHAR(10)&amp;""&amp;V19&amp;" "&amp;W19&amp;""&amp;CHAR(10)&amp;""&amp;X19&amp;", "&amp;Y19&amp;" "&amp;Z19&amp;""&amp;CHAR(10)&amp;""&amp;AA19&amp;" County"&amp;CHAR(10)&amp;"District "&amp;T19&amp;""&amp;CHAR(10)&amp;"Phone Number: "&amp;TEXT(P19,"(000) 000-0000")&amp;""))</f>
        <v/>
      </c>
      <c r="C19" s="37" t="str">
        <f>""</f>
        <v/>
      </c>
      <c r="D19" s="1"/>
      <c r="E19" s="1"/>
      <c r="F19" s="1"/>
      <c r="G19" s="1"/>
      <c r="H19" s="18" t="str">
        <f ca="1">IF(LEN('CW Branches'!$H$6)&lt;=2,
IF(ISERROR(ROW(IF(ISNA(INDEX(INDIRECT("I"&amp;H18+1):$I$94,MATCH('CW Branches'!$H$6,INDIRECT("T"&amp;H18+1):$T$94,0)))=TRUE,"",INDEX(INDIRECT("I"&amp;H18+1):$I$94,MATCH('CW Branches'!$H$6,INDIRECT("T"&amp;H18+1):$T$94,0)))))=TRUE,"",ROW(IF(ISNA(INDEX(INDIRECT("I"&amp;H18+1):$I$94,MATCH('CW Branches'!$H$6,INDIRECT("T"&amp;H18+1):$T$94,0)))=TRUE,"",INDEX(INDIRECT("I"&amp;H18+1):$I$94,MATCH('CW Branches'!$H$6,INDIRECT("T"&amp;H18+1):$T$94,0))))),IF(ISERROR(ROW(IF(ISNA(INDEX(INDIRECT("I"&amp;H18+1):$I$94,MATCH("*"&amp;'CW Branches'!$H$6&amp;"*",INDIRECT("U"&amp;H18+1):$U$94,0)))=FALSE,INDEX(INDIRECT("I"&amp;H18+1):$I$94,MATCH("*"&amp;'CW Branches'!$H$6&amp;"*",INDIRECT("U"&amp;H18+1):$U$94,0)),IF(ISNA(INDEX(INDIRECT("I"&amp;H18+1):$I$94,MATCH("*"&amp;'CW Branches'!$H$6&amp;"*",INDIRECT("X"&amp;H18+1):$X$94,0)))=FALSE,INDEX(INDIRECT("I"&amp;H18+1):$I$94,MATCH("*"&amp;'CW Branches'!$H$6&amp;"*",INDIRECT("X"&amp;H18+1):$X$94,0)),IF(ISNA(INDEX(INDIRECT("I"&amp;H18+1):$I$94,MATCH("*"&amp;'CW Branches'!$H$6&amp;"*",INDIRECT("AA"&amp;H18+1):$AA$94,0)))=FALSE,INDEX(INDIRECT("I"&amp;H18+1):$I$94,MATCH("*"&amp;'CW Branches'!$H$6&amp;"*",INDIRECT("AA"&amp;H18+1):$AA$94,0)),IF(ISNA(INDEX(INDIRECT("I"&amp;H18+1):$I$94,MATCH("*"&amp;'CW Branches'!$H$6&amp;"*",INDIRECT("L"&amp;H18+1):$L$94,0)))=FALSE,INDEX(INDIRECT("I"&amp;H18+1):$I$94,MATCH("*"&amp;'CW Branches'!$H$6&amp;"*",INDIRECT("L"&amp;H18+1):$L$94,0)),""))))))=TRUE,"",ROW(IF(ISNA(INDEX(INDIRECT("I"&amp;H18+1):$I$94,MATCH("*"&amp;'CW Branches'!$H$6&amp;"*",INDIRECT("U"&amp;H18+1):$U$94,0)))=FALSE,INDEX(INDIRECT("I"&amp;H18+1):$I$94,MATCH("*"&amp;'CW Branches'!$H$6&amp;"*",INDIRECT("U"&amp;H18+1):$U$94,0)),IF(ISNA(INDEX(INDIRECT("I"&amp;H18+1):$I$94,MATCH("*"&amp;'CW Branches'!$H$6&amp;"*",INDIRECT("AA"&amp;H18+1):$AA$94,0)))=FALSE,INDEX(INDIRECT("I"&amp;H18+1):$I$94,MATCH("*"&amp;'CW Branches'!$H$6&amp;"*",INDIRECT("AA"&amp;H18+1):$AA$94,0)),IF(ISNA(INDEX(INDIRECT("I"&amp;H18+1):$I$94,MATCH("*"&amp;'CW Branches'!$H$6&amp;"*",INDIRECT("L"&amp;H18+1):$L$94,0)))=FALSE,INDEX(INDIRECT("I"&amp;H18+1):$I$94,MATCH("*"&amp;'CW Branches'!$H$6&amp;"*",INDIRECT("L"&amp;H18+1):$L$94,0)),IF(ISNA(INDEX(INDIRECT("I"&amp;H18+1):$I$94,MATCH("*"&amp;'CW Branches'!$H$6&amp;"*",INDIRECT("X"&amp;H18+1):$X$94,0)))=FALSE,INDEX(INDIRECT("I"&amp;H18+1):$I$94,MATCH("*"&amp;'CW Branches'!$H$6&amp;"*",INDIRECT("X"&amp;H18+1):$X$94,0)),"")))))))</f>
        <v/>
      </c>
      <c r="I19" s="20" t="str">
        <f ca="1">IF(LEN('CW Branches'!$H$6)&lt;=2,IF($I$6="",IF(ISERROR(IF(ISNA(INDEX(INDIRECT("I"&amp;H18+1):$I$94,MATCH('CW Branches'!$H$6,INDIRECT("T"&amp;H18+1):$T$94,0)))=FALSE,INDEX(INDIRECT("I"&amp;H18+1):$I$94,MATCH('CW Branches'!$H$6,INDIRECT("T"&amp;H18+1):$T$94,0)),""))=TRUE,"",IF(ISNA(INDEX(INDIRECT("I"&amp;H18+1):$I$94,MATCH('CW Branches'!$H$6,INDIRECT("T"&amp;H18+1):$T$94,0)))=FALSE,INDEX(INDIRECT("I"&amp;H18+1):$I$94,MATCH('CW Branches'!$H$6,INDIRECT("T"&amp;H18+1):$T$94,0)),"")),""),IF($I$6="",IF(ISERROR(IF(ISNA(INDEX(INDIRECT("I"&amp;H18+1):$I$94,MATCH("*"&amp;'CW Branches'!$H$6&amp;"*",INDIRECT("U"&amp;H18+1):$U$94,0)))=FALSE,INDEX(INDIRECT("I"&amp;H18+1):$I$94,MATCH("*"&amp;'CW Branches'!$H$6&amp;"*",INDIRECT("U"&amp;H18+1):$U$94,0)),IF(ISNA(INDEX(INDIRECT("I"&amp;H18+1):$I$94,MATCH("*"&amp;'CW Branches'!$H$6&amp;"*",INDIRECT("X"&amp;H18+1):$X$94,0)))=FALSE,INDEX(INDIRECT("I"&amp;H18+1):$I$94,MATCH("*"&amp;'CW Branches'!$H$6&amp;"*",INDIRECT("X"&amp;H18+1):$X$94,0)),IF(ISNA(INDEX(INDIRECT("I"&amp;H18+1):$I$94,MATCH("*"&amp;'CW Branches'!$H$6&amp;"*",INDIRECT("L"&amp;H18+1):$L$94,0)))=FALSE,INDEX(INDIRECT("I"&amp;H18+1):$I$94,MATCH("*"&amp;'CW Branches'!$H$6&amp;"*",INDIRECT("L"&amp;H18+1):$L$94,0)),""))))=TRUE,"",IF(ISNA(INDEX(INDIRECT("I"&amp;H18+1):$I$94,MATCH("*"&amp;'CW Branches'!$H$6&amp;"*",INDIRECT("U"&amp;H18+1):$U$94,0)))=FALSE,INDEX(INDIRECT("I"&amp;H18+1):$I$94,MATCH("*"&amp;'CW Branches'!$H$6&amp;"*",INDIRECT("U"&amp;H18+1):$U$94,0)),IF(ISNA(INDEX(INDIRECT("I"&amp;H18+1):$I$94,MATCH("*"&amp;'CW Branches'!$H$6&amp;"*",INDIRECT("AA"&amp;H18+1):$AA$94,0)))=FALSE,INDEX(INDIRECT("I"&amp;H18+1):$I$94,MATCH("*"&amp;'CW Branches'!$H$6&amp;"*",INDIRECT("AA"&amp;H18+1):$AA$94,0)),IF(ISNA(INDEX(INDIRECT("I"&amp;H18+1):$I$94,MATCH("*"&amp;'CW Branches'!$H$6&amp;"*",INDIRECT("L"&amp;H18+1):$L$94,0)))=FALSE,INDEX(INDIRECT("I"&amp;H18+1):$I$94,MATCH("*"&amp;'CW Branches'!$H$6&amp;"*",INDIRECT("L"&amp;H18+1):$L$94,0)),IF(ISNA(INDEX(INDIRECT("I"&amp;H18+1):$I$94,MATCH("*"&amp;'CW Branches'!$H$6&amp;"*",INDIRECT("X"&amp;H18+1):$X$94,0)))=FALSE,INDEX(INDIRECT("I"&amp;H18+1):$I$94,MATCH("*"&amp;'CW Branches'!$H$6&amp;"*",INDIRECT("X"&amp;H18+1):$X$94,0)),""))))),""))</f>
        <v/>
      </c>
      <c r="J19" s="20" t="str">
        <f t="shared" ca="1" si="17"/>
        <v/>
      </c>
      <c r="K19" s="20" t="str">
        <f t="shared" ca="1" si="0"/>
        <v/>
      </c>
      <c r="L19" s="20" t="str">
        <f t="shared" ca="1" si="1"/>
        <v/>
      </c>
      <c r="M19" s="17" t="str">
        <f t="shared" ca="1" si="2"/>
        <v/>
      </c>
      <c r="N19" s="17" t="str">
        <f t="shared" ca="1" si="3"/>
        <v/>
      </c>
      <c r="O19" s="20" t="str">
        <f t="shared" ca="1" si="4"/>
        <v/>
      </c>
      <c r="P19" s="19" t="str">
        <f t="shared" ca="1" si="5"/>
        <v/>
      </c>
      <c r="Q19" s="18" t="str">
        <f t="shared" ca="1" si="6"/>
        <v/>
      </c>
      <c r="R19" s="19" t="str">
        <f t="shared" ca="1" si="7"/>
        <v/>
      </c>
      <c r="S19" s="20" t="e">
        <f t="shared" ca="1" si="8"/>
        <v>#N/A</v>
      </c>
      <c r="T19" s="21" t="str">
        <f t="shared" ca="1" si="9"/>
        <v/>
      </c>
      <c r="U19" s="20" t="str">
        <f t="shared" ca="1" si="10"/>
        <v/>
      </c>
      <c r="V19" s="20" t="str">
        <f t="shared" ca="1" si="11"/>
        <v/>
      </c>
      <c r="W19" s="20" t="str">
        <f t="shared" ca="1" si="12"/>
        <v/>
      </c>
      <c r="X19" s="20" t="str">
        <f t="shared" ca="1" si="13"/>
        <v/>
      </c>
      <c r="Y19" s="20" t="str">
        <f t="shared" ca="1" si="14"/>
        <v/>
      </c>
      <c r="Z19" s="20" t="str">
        <f t="shared" ca="1" si="15"/>
        <v/>
      </c>
      <c r="AA19" s="20" t="str">
        <f t="shared" ca="1" si="16"/>
        <v/>
      </c>
    </row>
    <row r="20" spans="1:27" x14ac:dyDescent="0.25">
      <c r="A20" s="7">
        <v>14</v>
      </c>
      <c r="B20" s="15" t="str">
        <f>IF('CW Branches'!$H$6="","",IF(I20="","",""&amp;L20&amp;" "&amp;K20&amp;""&amp;CHAR(10)&amp;""&amp;V20&amp;" "&amp;W20&amp;""&amp;CHAR(10)&amp;""&amp;X20&amp;", "&amp;Y20&amp;" "&amp;Z20&amp;""&amp;CHAR(10)&amp;""&amp;AA20&amp;" County"&amp;CHAR(10)&amp;"District "&amp;T20&amp;""&amp;CHAR(10)&amp;"Phone Number: "&amp;TEXT(P20,"(000) 000-0000")&amp;""))</f>
        <v/>
      </c>
      <c r="C20" s="37" t="str">
        <f>""</f>
        <v/>
      </c>
      <c r="D20" s="1"/>
      <c r="E20" s="1"/>
      <c r="F20" s="1"/>
      <c r="G20" s="1"/>
      <c r="H20" s="18" t="str">
        <f ca="1">IF(LEN('CW Branches'!$H$6)&lt;=2,
IF(ISERROR(ROW(IF(ISNA(INDEX(INDIRECT("I"&amp;H19+1):$I$94,MATCH('CW Branches'!$H$6,INDIRECT("T"&amp;H19+1):$T$94,0)))=TRUE,"",INDEX(INDIRECT("I"&amp;H19+1):$I$94,MATCH('CW Branches'!$H$6,INDIRECT("T"&amp;H19+1):$T$94,0)))))=TRUE,"",ROW(IF(ISNA(INDEX(INDIRECT("I"&amp;H19+1):$I$94,MATCH('CW Branches'!$H$6,INDIRECT("T"&amp;H19+1):$T$94,0)))=TRUE,"",INDEX(INDIRECT("I"&amp;H19+1):$I$94,MATCH('CW Branches'!$H$6,INDIRECT("T"&amp;H19+1):$T$94,0))))),IF(ISERROR(ROW(IF(ISNA(INDEX(INDIRECT("I"&amp;H19+1):$I$94,MATCH("*"&amp;'CW Branches'!$H$6&amp;"*",INDIRECT("U"&amp;H19+1):$U$94,0)))=FALSE,INDEX(INDIRECT("I"&amp;H19+1):$I$94,MATCH("*"&amp;'CW Branches'!$H$6&amp;"*",INDIRECT("U"&amp;H19+1):$U$94,0)),IF(ISNA(INDEX(INDIRECT("I"&amp;H19+1):$I$94,MATCH("*"&amp;'CW Branches'!$H$6&amp;"*",INDIRECT("X"&amp;H19+1):$X$94,0)))=FALSE,INDEX(INDIRECT("I"&amp;H19+1):$I$94,MATCH("*"&amp;'CW Branches'!$H$6&amp;"*",INDIRECT("X"&amp;H19+1):$X$94,0)),IF(ISNA(INDEX(INDIRECT("I"&amp;H19+1):$I$94,MATCH("*"&amp;'CW Branches'!$H$6&amp;"*",INDIRECT("AA"&amp;H19+1):$AA$94,0)))=FALSE,INDEX(INDIRECT("I"&amp;H19+1):$I$94,MATCH("*"&amp;'CW Branches'!$H$6&amp;"*",INDIRECT("AA"&amp;H19+1):$AA$94,0)),IF(ISNA(INDEX(INDIRECT("I"&amp;H19+1):$I$94,MATCH("*"&amp;'CW Branches'!$H$6&amp;"*",INDIRECT("L"&amp;H19+1):$L$94,0)))=FALSE,INDEX(INDIRECT("I"&amp;H19+1):$I$94,MATCH("*"&amp;'CW Branches'!$H$6&amp;"*",INDIRECT("L"&amp;H19+1):$L$94,0)),""))))))=TRUE,"",ROW(IF(ISNA(INDEX(INDIRECT("I"&amp;H19+1):$I$94,MATCH("*"&amp;'CW Branches'!$H$6&amp;"*",INDIRECT("U"&amp;H19+1):$U$94,0)))=FALSE,INDEX(INDIRECT("I"&amp;H19+1):$I$94,MATCH("*"&amp;'CW Branches'!$H$6&amp;"*",INDIRECT("U"&amp;H19+1):$U$94,0)),IF(ISNA(INDEX(INDIRECT("I"&amp;H19+1):$I$94,MATCH("*"&amp;'CW Branches'!$H$6&amp;"*",INDIRECT("AA"&amp;H19+1):$AA$94,0)))=FALSE,INDEX(INDIRECT("I"&amp;H19+1):$I$94,MATCH("*"&amp;'CW Branches'!$H$6&amp;"*",INDIRECT("AA"&amp;H19+1):$AA$94,0)),IF(ISNA(INDEX(INDIRECT("I"&amp;H19+1):$I$94,MATCH("*"&amp;'CW Branches'!$H$6&amp;"*",INDIRECT("L"&amp;H19+1):$L$94,0)))=FALSE,INDEX(INDIRECT("I"&amp;H19+1):$I$94,MATCH("*"&amp;'CW Branches'!$H$6&amp;"*",INDIRECT("L"&amp;H19+1):$L$94,0)),IF(ISNA(INDEX(INDIRECT("I"&amp;H19+1):$I$94,MATCH("*"&amp;'CW Branches'!$H$6&amp;"*",INDIRECT("X"&amp;H19+1):$X$94,0)))=FALSE,INDEX(INDIRECT("I"&amp;H19+1):$I$94,MATCH("*"&amp;'CW Branches'!$H$6&amp;"*",INDIRECT("X"&amp;H19+1):$X$94,0)),"")))))))</f>
        <v/>
      </c>
      <c r="I20" s="20" t="str">
        <f ca="1">IF(LEN('CW Branches'!$H$6)&lt;=2,IF($I$6="",IF(ISERROR(IF(ISNA(INDEX(INDIRECT("I"&amp;H19+1):$I$94,MATCH('CW Branches'!$H$6,INDIRECT("T"&amp;H19+1):$T$94,0)))=FALSE,INDEX(INDIRECT("I"&amp;H19+1):$I$94,MATCH('CW Branches'!$H$6,INDIRECT("T"&amp;H19+1):$T$94,0)),""))=TRUE,"",IF(ISNA(INDEX(INDIRECT("I"&amp;H19+1):$I$94,MATCH('CW Branches'!$H$6,INDIRECT("T"&amp;H19+1):$T$94,0)))=FALSE,INDEX(INDIRECT("I"&amp;H19+1):$I$94,MATCH('CW Branches'!$H$6,INDIRECT("T"&amp;H19+1):$T$94,0)),"")),""),IF($I$6="",IF(ISERROR(IF(ISNA(INDEX(INDIRECT("I"&amp;H19+1):$I$94,MATCH("*"&amp;'CW Branches'!$H$6&amp;"*",INDIRECT("U"&amp;H19+1):$U$94,0)))=FALSE,INDEX(INDIRECT("I"&amp;H19+1):$I$94,MATCH("*"&amp;'CW Branches'!$H$6&amp;"*",INDIRECT("U"&amp;H19+1):$U$94,0)),IF(ISNA(INDEX(INDIRECT("I"&amp;H19+1):$I$94,MATCH("*"&amp;'CW Branches'!$H$6&amp;"*",INDIRECT("X"&amp;H19+1):$X$94,0)))=FALSE,INDEX(INDIRECT("I"&amp;H19+1):$I$94,MATCH("*"&amp;'CW Branches'!$H$6&amp;"*",INDIRECT("X"&amp;H19+1):$X$94,0)),IF(ISNA(INDEX(INDIRECT("I"&amp;H19+1):$I$94,MATCH("*"&amp;'CW Branches'!$H$6&amp;"*",INDIRECT("L"&amp;H19+1):$L$94,0)))=FALSE,INDEX(INDIRECT("I"&amp;H19+1):$I$94,MATCH("*"&amp;'CW Branches'!$H$6&amp;"*",INDIRECT("L"&amp;H19+1):$L$94,0)),""))))=TRUE,"",IF(ISNA(INDEX(INDIRECT("I"&amp;H19+1):$I$94,MATCH("*"&amp;'CW Branches'!$H$6&amp;"*",INDIRECT("U"&amp;H19+1):$U$94,0)))=FALSE,INDEX(INDIRECT("I"&amp;H19+1):$I$94,MATCH("*"&amp;'CW Branches'!$H$6&amp;"*",INDIRECT("U"&amp;H19+1):$U$94,0)),IF(ISNA(INDEX(INDIRECT("I"&amp;H19+1):$I$94,MATCH("*"&amp;'CW Branches'!$H$6&amp;"*",INDIRECT("AA"&amp;H19+1):$AA$94,0)))=FALSE,INDEX(INDIRECT("I"&amp;H19+1):$I$94,MATCH("*"&amp;'CW Branches'!$H$6&amp;"*",INDIRECT("AA"&amp;H19+1):$AA$94,0)),IF(ISNA(INDEX(INDIRECT("I"&amp;H19+1):$I$94,MATCH("*"&amp;'CW Branches'!$H$6&amp;"*",INDIRECT("L"&amp;H19+1):$L$94,0)))=FALSE,INDEX(INDIRECT("I"&amp;H19+1):$I$94,MATCH("*"&amp;'CW Branches'!$H$6&amp;"*",INDIRECT("L"&amp;H19+1):$L$94,0)),IF(ISNA(INDEX(INDIRECT("I"&amp;H19+1):$I$94,MATCH("*"&amp;'CW Branches'!$H$6&amp;"*",INDIRECT("X"&amp;H19+1):$X$94,0)))=FALSE,INDEX(INDIRECT("I"&amp;H19+1):$I$94,MATCH("*"&amp;'CW Branches'!$H$6&amp;"*",INDIRECT("X"&amp;H19+1):$X$94,0)),""))))),""))</f>
        <v/>
      </c>
      <c r="J20" s="20" t="str">
        <f t="shared" ca="1" si="17"/>
        <v/>
      </c>
      <c r="K20" s="20" t="str">
        <f t="shared" ca="1" si="0"/>
        <v/>
      </c>
      <c r="L20" s="20" t="str">
        <f t="shared" ca="1" si="1"/>
        <v/>
      </c>
      <c r="M20" s="17" t="str">
        <f t="shared" ca="1" si="2"/>
        <v/>
      </c>
      <c r="N20" s="17" t="str">
        <f t="shared" ca="1" si="3"/>
        <v/>
      </c>
      <c r="O20" s="20" t="str">
        <f t="shared" ca="1" si="4"/>
        <v/>
      </c>
      <c r="P20" s="19" t="str">
        <f t="shared" ca="1" si="5"/>
        <v/>
      </c>
      <c r="Q20" s="18" t="str">
        <f t="shared" ca="1" si="6"/>
        <v/>
      </c>
      <c r="R20" s="19" t="str">
        <f t="shared" ca="1" si="7"/>
        <v/>
      </c>
      <c r="S20" s="20" t="e">
        <f t="shared" ca="1" si="8"/>
        <v>#N/A</v>
      </c>
      <c r="T20" s="21" t="str">
        <f t="shared" ca="1" si="9"/>
        <v/>
      </c>
      <c r="U20" s="20" t="str">
        <f t="shared" ca="1" si="10"/>
        <v/>
      </c>
      <c r="V20" s="20" t="str">
        <f t="shared" ca="1" si="11"/>
        <v/>
      </c>
      <c r="W20" s="20" t="str">
        <f t="shared" ca="1" si="12"/>
        <v/>
      </c>
      <c r="X20" s="20" t="str">
        <f t="shared" ca="1" si="13"/>
        <v/>
      </c>
      <c r="Y20" s="20" t="str">
        <f t="shared" ca="1" si="14"/>
        <v/>
      </c>
      <c r="Z20" s="20" t="str">
        <f t="shared" ca="1" si="15"/>
        <v/>
      </c>
      <c r="AA20" s="20" t="str">
        <f t="shared" ca="1" si="16"/>
        <v/>
      </c>
    </row>
    <row r="21" spans="1:27" x14ac:dyDescent="0.25">
      <c r="A21" s="7">
        <v>15</v>
      </c>
      <c r="B21" s="15" t="str">
        <f>IF('CW Branches'!$H$6="","",IF(I21="","",""&amp;L21&amp;" "&amp;K21&amp;""&amp;CHAR(10)&amp;""&amp;V21&amp;" "&amp;W21&amp;""&amp;CHAR(10)&amp;""&amp;X21&amp;", "&amp;Y21&amp;" "&amp;Z21&amp;""&amp;CHAR(10)&amp;""&amp;AA21&amp;" County"&amp;CHAR(10)&amp;"District "&amp;T21&amp;""&amp;CHAR(10)&amp;"Phone Number: "&amp;TEXT(P21,"(000) 000-0000")&amp;""))</f>
        <v/>
      </c>
      <c r="C21" s="37" t="str">
        <f>""</f>
        <v/>
      </c>
      <c r="D21" s="1"/>
      <c r="E21" s="1"/>
      <c r="F21" s="1"/>
      <c r="G21" s="1"/>
      <c r="H21" s="18" t="str">
        <f ca="1">IF(LEN('CW Branches'!$H$6)&lt;=2,
IF(ISERROR(ROW(IF(ISNA(INDEX(INDIRECT("I"&amp;H20+1):$I$94,MATCH('CW Branches'!$H$6,INDIRECT("T"&amp;H20+1):$T$94,0)))=TRUE,"",INDEX(INDIRECT("I"&amp;H20+1):$I$94,MATCH('CW Branches'!$H$6,INDIRECT("T"&amp;H20+1):$T$94,0)))))=TRUE,"",ROW(IF(ISNA(INDEX(INDIRECT("I"&amp;H20+1):$I$94,MATCH('CW Branches'!$H$6,INDIRECT("T"&amp;H20+1):$T$94,0)))=TRUE,"",INDEX(INDIRECT("I"&amp;H20+1):$I$94,MATCH('CW Branches'!$H$6,INDIRECT("T"&amp;H20+1):$T$94,0))))),IF(ISERROR(ROW(IF(ISNA(INDEX(INDIRECT("I"&amp;H20+1):$I$94,MATCH("*"&amp;'CW Branches'!$H$6&amp;"*",INDIRECT("U"&amp;H20+1):$U$94,0)))=FALSE,INDEX(INDIRECT("I"&amp;H20+1):$I$94,MATCH("*"&amp;'CW Branches'!$H$6&amp;"*",INDIRECT("U"&amp;H20+1):$U$94,0)),IF(ISNA(INDEX(INDIRECT("I"&amp;H20+1):$I$94,MATCH("*"&amp;'CW Branches'!$H$6&amp;"*",INDIRECT("X"&amp;H20+1):$X$94,0)))=FALSE,INDEX(INDIRECT("I"&amp;H20+1):$I$94,MATCH("*"&amp;'CW Branches'!$H$6&amp;"*",INDIRECT("X"&amp;H20+1):$X$94,0)),IF(ISNA(INDEX(INDIRECT("I"&amp;H20+1):$I$94,MATCH("*"&amp;'CW Branches'!$H$6&amp;"*",INDIRECT("AA"&amp;H20+1):$AA$94,0)))=FALSE,INDEX(INDIRECT("I"&amp;H20+1):$I$94,MATCH("*"&amp;'CW Branches'!$H$6&amp;"*",INDIRECT("AA"&amp;H20+1):$AA$94,0)),IF(ISNA(INDEX(INDIRECT("I"&amp;H20+1):$I$94,MATCH("*"&amp;'CW Branches'!$H$6&amp;"*",INDIRECT("L"&amp;H20+1):$L$94,0)))=FALSE,INDEX(INDIRECT("I"&amp;H20+1):$I$94,MATCH("*"&amp;'CW Branches'!$H$6&amp;"*",INDIRECT("L"&amp;H20+1):$L$94,0)),""))))))=TRUE,"",ROW(IF(ISNA(INDEX(INDIRECT("I"&amp;H20+1):$I$94,MATCH("*"&amp;'CW Branches'!$H$6&amp;"*",INDIRECT("U"&amp;H20+1):$U$94,0)))=FALSE,INDEX(INDIRECT("I"&amp;H20+1):$I$94,MATCH("*"&amp;'CW Branches'!$H$6&amp;"*",INDIRECT("U"&amp;H20+1):$U$94,0)),IF(ISNA(INDEX(INDIRECT("I"&amp;H20+1):$I$94,MATCH("*"&amp;'CW Branches'!$H$6&amp;"*",INDIRECT("AA"&amp;H20+1):$AA$94,0)))=FALSE,INDEX(INDIRECT("I"&amp;H20+1):$I$94,MATCH("*"&amp;'CW Branches'!$H$6&amp;"*",INDIRECT("AA"&amp;H20+1):$AA$94,0)),IF(ISNA(INDEX(INDIRECT("I"&amp;H20+1):$I$94,MATCH("*"&amp;'CW Branches'!$H$6&amp;"*",INDIRECT("L"&amp;H20+1):$L$94,0)))=FALSE,INDEX(INDIRECT("I"&amp;H20+1):$I$94,MATCH("*"&amp;'CW Branches'!$H$6&amp;"*",INDIRECT("L"&amp;H20+1):$L$94,0)),IF(ISNA(INDEX(INDIRECT("I"&amp;H20+1):$I$94,MATCH("*"&amp;'CW Branches'!$H$6&amp;"*",INDIRECT("X"&amp;H20+1):$X$94,0)))=FALSE,INDEX(INDIRECT("I"&amp;H20+1):$I$94,MATCH("*"&amp;'CW Branches'!$H$6&amp;"*",INDIRECT("X"&amp;H20+1):$X$94,0)),"")))))))</f>
        <v/>
      </c>
      <c r="I21" s="20" t="str">
        <f ca="1">IF(LEN('CW Branches'!$H$6)&lt;=2,IF($I$6="",IF(ISERROR(IF(ISNA(INDEX(INDIRECT("I"&amp;H20+1):$I$94,MATCH('CW Branches'!$H$6,INDIRECT("T"&amp;H20+1):$T$94,0)))=FALSE,INDEX(INDIRECT("I"&amp;H20+1):$I$94,MATCH('CW Branches'!$H$6,INDIRECT("T"&amp;H20+1):$T$94,0)),""))=TRUE,"",IF(ISNA(INDEX(INDIRECT("I"&amp;H20+1):$I$94,MATCH('CW Branches'!$H$6,INDIRECT("T"&amp;H20+1):$T$94,0)))=FALSE,INDEX(INDIRECT("I"&amp;H20+1):$I$94,MATCH('CW Branches'!$H$6,INDIRECT("T"&amp;H20+1):$T$94,0)),"")),""),IF($I$6="",IF(ISERROR(IF(ISNA(INDEX(INDIRECT("I"&amp;H20+1):$I$94,MATCH("*"&amp;'CW Branches'!$H$6&amp;"*",INDIRECT("U"&amp;H20+1):$U$94,0)))=FALSE,INDEX(INDIRECT("I"&amp;H20+1):$I$94,MATCH("*"&amp;'CW Branches'!$H$6&amp;"*",INDIRECT("U"&amp;H20+1):$U$94,0)),IF(ISNA(INDEX(INDIRECT("I"&amp;H20+1):$I$94,MATCH("*"&amp;'CW Branches'!$H$6&amp;"*",INDIRECT("X"&amp;H20+1):$X$94,0)))=FALSE,INDEX(INDIRECT("I"&amp;H20+1):$I$94,MATCH("*"&amp;'CW Branches'!$H$6&amp;"*",INDIRECT("X"&amp;H20+1):$X$94,0)),IF(ISNA(INDEX(INDIRECT("I"&amp;H20+1):$I$94,MATCH("*"&amp;'CW Branches'!$H$6&amp;"*",INDIRECT("L"&amp;H20+1):$L$94,0)))=FALSE,INDEX(INDIRECT("I"&amp;H20+1):$I$94,MATCH("*"&amp;'CW Branches'!$H$6&amp;"*",INDIRECT("L"&amp;H20+1):$L$94,0)),""))))=TRUE,"",IF(ISNA(INDEX(INDIRECT("I"&amp;H20+1):$I$94,MATCH("*"&amp;'CW Branches'!$H$6&amp;"*",INDIRECT("U"&amp;H20+1):$U$94,0)))=FALSE,INDEX(INDIRECT("I"&amp;H20+1):$I$94,MATCH("*"&amp;'CW Branches'!$H$6&amp;"*",INDIRECT("U"&amp;H20+1):$U$94,0)),IF(ISNA(INDEX(INDIRECT("I"&amp;H20+1):$I$94,MATCH("*"&amp;'CW Branches'!$H$6&amp;"*",INDIRECT("AA"&amp;H20+1):$AA$94,0)))=FALSE,INDEX(INDIRECT("I"&amp;H20+1):$I$94,MATCH("*"&amp;'CW Branches'!$H$6&amp;"*",INDIRECT("AA"&amp;H20+1):$AA$94,0)),IF(ISNA(INDEX(INDIRECT("I"&amp;H20+1):$I$94,MATCH("*"&amp;'CW Branches'!$H$6&amp;"*",INDIRECT("L"&amp;H20+1):$L$94,0)))=FALSE,INDEX(INDIRECT("I"&amp;H20+1):$I$94,MATCH("*"&amp;'CW Branches'!$H$6&amp;"*",INDIRECT("L"&amp;H20+1):$L$94,0)),IF(ISNA(INDEX(INDIRECT("I"&amp;H20+1):$I$94,MATCH("*"&amp;'CW Branches'!$H$6&amp;"*",INDIRECT("X"&amp;H20+1):$X$94,0)))=FALSE,INDEX(INDIRECT("I"&amp;H20+1):$I$94,MATCH("*"&amp;'CW Branches'!$H$6&amp;"*",INDIRECT("X"&amp;H20+1):$X$94,0)),""))))),""))</f>
        <v/>
      </c>
      <c r="J21" s="20" t="str">
        <f t="shared" ca="1" si="17"/>
        <v/>
      </c>
      <c r="K21" s="20" t="str">
        <f t="shared" ca="1" si="0"/>
        <v/>
      </c>
      <c r="L21" s="20" t="str">
        <f t="shared" ca="1" si="1"/>
        <v/>
      </c>
      <c r="M21" s="17" t="str">
        <f t="shared" ca="1" si="2"/>
        <v/>
      </c>
      <c r="N21" s="17" t="str">
        <f t="shared" ca="1" si="3"/>
        <v/>
      </c>
      <c r="O21" s="20" t="str">
        <f t="shared" ca="1" si="4"/>
        <v/>
      </c>
      <c r="P21" s="19" t="str">
        <f t="shared" ca="1" si="5"/>
        <v/>
      </c>
      <c r="Q21" s="18" t="str">
        <f t="shared" ca="1" si="6"/>
        <v/>
      </c>
      <c r="R21" s="19" t="str">
        <f t="shared" ca="1" si="7"/>
        <v/>
      </c>
      <c r="S21" s="20" t="e">
        <f t="shared" ca="1" si="8"/>
        <v>#N/A</v>
      </c>
      <c r="T21" s="21" t="str">
        <f t="shared" ca="1" si="9"/>
        <v/>
      </c>
      <c r="U21" s="20" t="str">
        <f t="shared" ca="1" si="10"/>
        <v/>
      </c>
      <c r="V21" s="20" t="str">
        <f t="shared" ca="1" si="11"/>
        <v/>
      </c>
      <c r="W21" s="20" t="str">
        <f t="shared" ca="1" si="12"/>
        <v/>
      </c>
      <c r="X21" s="20" t="str">
        <f t="shared" ca="1" si="13"/>
        <v/>
      </c>
      <c r="Y21" s="20" t="str">
        <f t="shared" ca="1" si="14"/>
        <v/>
      </c>
      <c r="Z21" s="20" t="str">
        <f t="shared" ca="1" si="15"/>
        <v/>
      </c>
      <c r="AA21" s="20" t="str">
        <f t="shared" ca="1" si="16"/>
        <v/>
      </c>
    </row>
    <row r="22" spans="1:27" x14ac:dyDescent="0.25">
      <c r="A22" s="7">
        <v>16</v>
      </c>
      <c r="B22" s="15" t="str">
        <f>IF('CW Branches'!$H$6="","",IF(I22="","",""&amp;L22&amp;" "&amp;K22&amp;""&amp;CHAR(10)&amp;""&amp;V22&amp;" "&amp;W22&amp;""&amp;CHAR(10)&amp;""&amp;X22&amp;", "&amp;Y22&amp;" "&amp;Z22&amp;""&amp;CHAR(10)&amp;""&amp;AA22&amp;" County"&amp;CHAR(10)&amp;"District "&amp;T22&amp;""&amp;CHAR(10)&amp;"Phone Number: "&amp;TEXT(P22,"(000) 000-0000")&amp;""))</f>
        <v/>
      </c>
      <c r="C22" s="37" t="str">
        <f>""</f>
        <v/>
      </c>
      <c r="D22" s="1"/>
      <c r="E22" s="1"/>
      <c r="F22" s="1"/>
      <c r="G22" s="1"/>
      <c r="H22" s="18" t="str">
        <f ca="1">IF(LEN('CW Branches'!$H$6)&lt;=2,
IF(ISERROR(ROW(IF(ISNA(INDEX(INDIRECT("I"&amp;H21+1):$I$94,MATCH('CW Branches'!$H$6,INDIRECT("T"&amp;H21+1):$T$94,0)))=TRUE,"",INDEX(INDIRECT("I"&amp;H21+1):$I$94,MATCH('CW Branches'!$H$6,INDIRECT("T"&amp;H21+1):$T$94,0)))))=TRUE,"",ROW(IF(ISNA(INDEX(INDIRECT("I"&amp;H21+1):$I$94,MATCH('CW Branches'!$H$6,INDIRECT("T"&amp;H21+1):$T$94,0)))=TRUE,"",INDEX(INDIRECT("I"&amp;H21+1):$I$94,MATCH('CW Branches'!$H$6,INDIRECT("T"&amp;H21+1):$T$94,0))))),IF(ISERROR(ROW(IF(ISNA(INDEX(INDIRECT("I"&amp;H21+1):$I$94,MATCH("*"&amp;'CW Branches'!$H$6&amp;"*",INDIRECT("U"&amp;H21+1):$U$94,0)))=FALSE,INDEX(INDIRECT("I"&amp;H21+1):$I$94,MATCH("*"&amp;'CW Branches'!$H$6&amp;"*",INDIRECT("U"&amp;H21+1):$U$94,0)),IF(ISNA(INDEX(INDIRECT("I"&amp;H21+1):$I$94,MATCH("*"&amp;'CW Branches'!$H$6&amp;"*",INDIRECT("X"&amp;H21+1):$X$94,0)))=FALSE,INDEX(INDIRECT("I"&amp;H21+1):$I$94,MATCH("*"&amp;'CW Branches'!$H$6&amp;"*",INDIRECT("X"&amp;H21+1):$X$94,0)),IF(ISNA(INDEX(INDIRECT("I"&amp;H21+1):$I$94,MATCH("*"&amp;'CW Branches'!$H$6&amp;"*",INDIRECT("AA"&amp;H21+1):$AA$94,0)))=FALSE,INDEX(INDIRECT("I"&amp;H21+1):$I$94,MATCH("*"&amp;'CW Branches'!$H$6&amp;"*",INDIRECT("AA"&amp;H21+1):$AA$94,0)),IF(ISNA(INDEX(INDIRECT("I"&amp;H21+1):$I$94,MATCH("*"&amp;'CW Branches'!$H$6&amp;"*",INDIRECT("L"&amp;H21+1):$L$94,0)))=FALSE,INDEX(INDIRECT("I"&amp;H21+1):$I$94,MATCH("*"&amp;'CW Branches'!$H$6&amp;"*",INDIRECT("L"&amp;H21+1):$L$94,0)),""))))))=TRUE,"",ROW(IF(ISNA(INDEX(INDIRECT("I"&amp;H21+1):$I$94,MATCH("*"&amp;'CW Branches'!$H$6&amp;"*",INDIRECT("U"&amp;H21+1):$U$94,0)))=FALSE,INDEX(INDIRECT("I"&amp;H21+1):$I$94,MATCH("*"&amp;'CW Branches'!$H$6&amp;"*",INDIRECT("U"&amp;H21+1):$U$94,0)),IF(ISNA(INDEX(INDIRECT("I"&amp;H21+1):$I$94,MATCH("*"&amp;'CW Branches'!$H$6&amp;"*",INDIRECT("AA"&amp;H21+1):$AA$94,0)))=FALSE,INDEX(INDIRECT("I"&amp;H21+1):$I$94,MATCH("*"&amp;'CW Branches'!$H$6&amp;"*",INDIRECT("AA"&amp;H21+1):$AA$94,0)),IF(ISNA(INDEX(INDIRECT("I"&amp;H21+1):$I$94,MATCH("*"&amp;'CW Branches'!$H$6&amp;"*",INDIRECT("L"&amp;H21+1):$L$94,0)))=FALSE,INDEX(INDIRECT("I"&amp;H21+1):$I$94,MATCH("*"&amp;'CW Branches'!$H$6&amp;"*",INDIRECT("L"&amp;H21+1):$L$94,0)),IF(ISNA(INDEX(INDIRECT("I"&amp;H21+1):$I$94,MATCH("*"&amp;'CW Branches'!$H$6&amp;"*",INDIRECT("X"&amp;H21+1):$X$94,0)))=FALSE,INDEX(INDIRECT("I"&amp;H21+1):$I$94,MATCH("*"&amp;'CW Branches'!$H$6&amp;"*",INDIRECT("X"&amp;H21+1):$X$94,0)),"")))))))</f>
        <v/>
      </c>
      <c r="I22" s="20" t="str">
        <f ca="1">IF(LEN('CW Branches'!$H$6)&lt;=2,IF($I$6="",IF(ISERROR(IF(ISNA(INDEX(INDIRECT("I"&amp;H21+1):$I$94,MATCH('CW Branches'!$H$6,INDIRECT("T"&amp;H21+1):$T$94,0)))=FALSE,INDEX(INDIRECT("I"&amp;H21+1):$I$94,MATCH('CW Branches'!$H$6,INDIRECT("T"&amp;H21+1):$T$94,0)),""))=TRUE,"",IF(ISNA(INDEX(INDIRECT("I"&amp;H21+1):$I$94,MATCH('CW Branches'!$H$6,INDIRECT("T"&amp;H21+1):$T$94,0)))=FALSE,INDEX(INDIRECT("I"&amp;H21+1):$I$94,MATCH('CW Branches'!$H$6,INDIRECT("T"&amp;H21+1):$T$94,0)),"")),""),IF($I$6="",IF(ISERROR(IF(ISNA(INDEX(INDIRECT("I"&amp;H21+1):$I$94,MATCH("*"&amp;'CW Branches'!$H$6&amp;"*",INDIRECT("U"&amp;H21+1):$U$94,0)))=FALSE,INDEX(INDIRECT("I"&amp;H21+1):$I$94,MATCH("*"&amp;'CW Branches'!$H$6&amp;"*",INDIRECT("U"&amp;H21+1):$U$94,0)),IF(ISNA(INDEX(INDIRECT("I"&amp;H21+1):$I$94,MATCH("*"&amp;'CW Branches'!$H$6&amp;"*",INDIRECT("X"&amp;H21+1):$X$94,0)))=FALSE,INDEX(INDIRECT("I"&amp;H21+1):$I$94,MATCH("*"&amp;'CW Branches'!$H$6&amp;"*",INDIRECT("X"&amp;H21+1):$X$94,0)),IF(ISNA(INDEX(INDIRECT("I"&amp;H21+1):$I$94,MATCH("*"&amp;'CW Branches'!$H$6&amp;"*",INDIRECT("L"&amp;H21+1):$L$94,0)))=FALSE,INDEX(INDIRECT("I"&amp;H21+1):$I$94,MATCH("*"&amp;'CW Branches'!$H$6&amp;"*",INDIRECT("L"&amp;H21+1):$L$94,0)),""))))=TRUE,"",IF(ISNA(INDEX(INDIRECT("I"&amp;H21+1):$I$94,MATCH("*"&amp;'CW Branches'!$H$6&amp;"*",INDIRECT("U"&amp;H21+1):$U$94,0)))=FALSE,INDEX(INDIRECT("I"&amp;H21+1):$I$94,MATCH("*"&amp;'CW Branches'!$H$6&amp;"*",INDIRECT("U"&amp;H21+1):$U$94,0)),IF(ISNA(INDEX(INDIRECT("I"&amp;H21+1):$I$94,MATCH("*"&amp;'CW Branches'!$H$6&amp;"*",INDIRECT("AA"&amp;H21+1):$AA$94,0)))=FALSE,INDEX(INDIRECT("I"&amp;H21+1):$I$94,MATCH("*"&amp;'CW Branches'!$H$6&amp;"*",INDIRECT("AA"&amp;H21+1):$AA$94,0)),IF(ISNA(INDEX(INDIRECT("I"&amp;H21+1):$I$94,MATCH("*"&amp;'CW Branches'!$H$6&amp;"*",INDIRECT("L"&amp;H21+1):$L$94,0)))=FALSE,INDEX(INDIRECT("I"&amp;H21+1):$I$94,MATCH("*"&amp;'CW Branches'!$H$6&amp;"*",INDIRECT("L"&amp;H21+1):$L$94,0)),IF(ISNA(INDEX(INDIRECT("I"&amp;H21+1):$I$94,MATCH("*"&amp;'CW Branches'!$H$6&amp;"*",INDIRECT("X"&amp;H21+1):$X$94,0)))=FALSE,INDEX(INDIRECT("I"&amp;H21+1):$I$94,MATCH("*"&amp;'CW Branches'!$H$6&amp;"*",INDIRECT("X"&amp;H21+1):$X$94,0)),""))))),""))</f>
        <v/>
      </c>
      <c r="J22" s="20" t="str">
        <f t="shared" ca="1" si="17"/>
        <v/>
      </c>
      <c r="K22" s="20" t="str">
        <f t="shared" ca="1" si="0"/>
        <v/>
      </c>
      <c r="L22" s="20" t="str">
        <f t="shared" ca="1" si="1"/>
        <v/>
      </c>
      <c r="M22" s="17" t="str">
        <f t="shared" ca="1" si="2"/>
        <v/>
      </c>
      <c r="N22" s="17" t="str">
        <f t="shared" ca="1" si="3"/>
        <v/>
      </c>
      <c r="O22" s="20" t="str">
        <f t="shared" ca="1" si="4"/>
        <v/>
      </c>
      <c r="P22" s="19" t="str">
        <f t="shared" ca="1" si="5"/>
        <v/>
      </c>
      <c r="Q22" s="18" t="str">
        <f t="shared" ca="1" si="6"/>
        <v/>
      </c>
      <c r="R22" s="19" t="str">
        <f t="shared" ca="1" si="7"/>
        <v/>
      </c>
      <c r="S22" s="20" t="e">
        <f t="shared" ca="1" si="8"/>
        <v>#N/A</v>
      </c>
      <c r="T22" s="21" t="str">
        <f t="shared" ca="1" si="9"/>
        <v/>
      </c>
      <c r="U22" s="20" t="str">
        <f t="shared" ca="1" si="10"/>
        <v/>
      </c>
      <c r="V22" s="20" t="str">
        <f t="shared" ca="1" si="11"/>
        <v/>
      </c>
      <c r="W22" s="20" t="str">
        <f t="shared" ca="1" si="12"/>
        <v/>
      </c>
      <c r="X22" s="20" t="str">
        <f t="shared" ca="1" si="13"/>
        <v/>
      </c>
      <c r="Y22" s="20" t="str">
        <f t="shared" ca="1" si="14"/>
        <v/>
      </c>
      <c r="Z22" s="20" t="str">
        <f t="shared" ca="1" si="15"/>
        <v/>
      </c>
      <c r="AA22" s="20" t="str">
        <f t="shared" ca="1" si="16"/>
        <v/>
      </c>
    </row>
    <row r="23" spans="1:27" x14ac:dyDescent="0.25">
      <c r="A23" s="1"/>
      <c r="B23" s="37"/>
      <c r="C23" s="37"/>
      <c r="D23" s="1"/>
      <c r="E23" s="1"/>
      <c r="F23" s="1"/>
      <c r="G23" s="1"/>
      <c r="H23" s="1"/>
      <c r="I23" s="4"/>
      <c r="J23" s="4"/>
      <c r="K23" s="1"/>
      <c r="L23" s="1"/>
      <c r="M23" s="1"/>
      <c r="N23" s="1"/>
      <c r="O23" s="1"/>
      <c r="P23" s="1"/>
      <c r="Q23" s="1"/>
      <c r="R23" s="1"/>
      <c r="S23" s="1"/>
      <c r="T23" s="1"/>
      <c r="U23" s="1"/>
      <c r="V23" s="1"/>
      <c r="W23" s="1"/>
      <c r="X23" s="1"/>
      <c r="Y23" s="1"/>
      <c r="Z23" s="1"/>
      <c r="AA23" s="1"/>
    </row>
    <row r="24" spans="1:27" x14ac:dyDescent="0.25">
      <c r="A24" s="1"/>
      <c r="B24" s="37"/>
      <c r="C24" s="37"/>
      <c r="D24" s="1"/>
      <c r="E24" s="1"/>
      <c r="F24" s="1"/>
      <c r="G24" s="1"/>
      <c r="H24" s="88" t="s">
        <v>958</v>
      </c>
      <c r="I24" s="1"/>
      <c r="J24" s="1"/>
      <c r="K24" s="1"/>
      <c r="L24" s="1"/>
      <c r="M24" s="1"/>
      <c r="N24" s="1"/>
      <c r="O24" s="1"/>
      <c r="P24" s="1"/>
      <c r="Q24" s="1"/>
      <c r="R24" s="1"/>
      <c r="S24" s="1"/>
      <c r="T24" s="1"/>
      <c r="U24" s="1"/>
      <c r="V24" s="1"/>
      <c r="W24" s="1"/>
      <c r="X24" s="1"/>
      <c r="Y24" s="1"/>
      <c r="Z24" s="1"/>
      <c r="AA24" s="1"/>
    </row>
    <row r="25" spans="1:27" ht="15" customHeight="1" x14ac:dyDescent="0.25">
      <c r="A25" s="1"/>
      <c r="B25" s="37"/>
      <c r="C25" s="37"/>
      <c r="D25" s="1"/>
      <c r="E25" s="1"/>
      <c r="F25" s="1"/>
      <c r="G25" s="1"/>
      <c r="H25" s="1"/>
      <c r="I25" s="15" t="s">
        <v>43</v>
      </c>
      <c r="J25" s="15" t="s">
        <v>44</v>
      </c>
      <c r="K25" s="15" t="s">
        <v>45</v>
      </c>
      <c r="L25" s="15" t="s">
        <v>46</v>
      </c>
      <c r="M25" s="16" t="s">
        <v>47</v>
      </c>
      <c r="N25" s="16" t="s">
        <v>48</v>
      </c>
      <c r="O25" s="15" t="s">
        <v>49</v>
      </c>
      <c r="P25" s="24" t="s">
        <v>50</v>
      </c>
      <c r="Q25" s="15" t="s">
        <v>51</v>
      </c>
      <c r="R25" s="24" t="s">
        <v>52</v>
      </c>
      <c r="S25" s="15" t="s">
        <v>53</v>
      </c>
      <c r="T25" s="18" t="s">
        <v>54</v>
      </c>
      <c r="U25" s="15" t="s">
        <v>55</v>
      </c>
      <c r="V25" s="15" t="s">
        <v>15</v>
      </c>
      <c r="W25" s="15" t="s">
        <v>16</v>
      </c>
      <c r="X25" s="15" t="s">
        <v>17</v>
      </c>
      <c r="Y25" s="15" t="s">
        <v>18</v>
      </c>
      <c r="Z25" s="15" t="s">
        <v>19</v>
      </c>
      <c r="AA25" s="15" t="s">
        <v>20</v>
      </c>
    </row>
    <row r="26" spans="1:27" ht="15" customHeight="1" x14ac:dyDescent="0.25">
      <c r="A26" s="1"/>
      <c r="B26" t="s">
        <v>1879</v>
      </c>
      <c r="D26" s="1"/>
      <c r="E26" s="1"/>
      <c r="F26" s="1"/>
      <c r="G26" s="1"/>
      <c r="H26" s="1"/>
      <c r="I26" s="23">
        <v>559</v>
      </c>
      <c r="J26" s="1"/>
      <c r="K26" s="2" t="s">
        <v>948</v>
      </c>
      <c r="L26" s="76" t="s">
        <v>884</v>
      </c>
      <c r="M26" s="78"/>
      <c r="N26" s="2"/>
      <c r="O26" s="2"/>
      <c r="P26" s="76">
        <v>5033973297</v>
      </c>
      <c r="Q26" s="76">
        <v>8304</v>
      </c>
      <c r="R26" s="2"/>
      <c r="S26" s="2"/>
      <c r="T26" s="80">
        <v>1</v>
      </c>
      <c r="U26" s="2"/>
      <c r="V26" s="2" t="s">
        <v>85</v>
      </c>
      <c r="W26" s="35" t="s">
        <v>86</v>
      </c>
      <c r="X26" s="35" t="s">
        <v>305</v>
      </c>
      <c r="Y26" s="35" t="s">
        <v>74</v>
      </c>
      <c r="Z26" s="35">
        <v>97051</v>
      </c>
      <c r="AA26" s="2" t="s">
        <v>88</v>
      </c>
    </row>
    <row r="27" spans="1:27" ht="15" customHeight="1" x14ac:dyDescent="0.25">
      <c r="A27" s="1"/>
      <c r="B27" s="227" t="s">
        <v>1880</v>
      </c>
      <c r="C27" s="228"/>
      <c r="D27" s="228"/>
      <c r="E27" s="228"/>
      <c r="F27" s="229"/>
      <c r="G27" s="1"/>
      <c r="H27" s="1"/>
      <c r="I27" s="115">
        <v>450</v>
      </c>
      <c r="J27" s="1"/>
      <c r="K27" s="116" t="s">
        <v>948</v>
      </c>
      <c r="L27" s="77" t="s">
        <v>885</v>
      </c>
      <c r="M27" s="77"/>
      <c r="N27" s="116"/>
      <c r="O27" s="116"/>
      <c r="P27" s="77">
        <v>5033259179</v>
      </c>
      <c r="Q27" s="77"/>
      <c r="R27" s="116"/>
      <c r="S27" s="116"/>
      <c r="T27" s="117">
        <v>1</v>
      </c>
      <c r="U27" s="116"/>
      <c r="V27" s="116" t="s">
        <v>1166</v>
      </c>
      <c r="W27" s="118" t="s">
        <v>868</v>
      </c>
      <c r="X27" s="118" t="s">
        <v>73</v>
      </c>
      <c r="Y27" s="118" t="s">
        <v>74</v>
      </c>
      <c r="Z27" s="118">
        <v>97103</v>
      </c>
      <c r="AA27" s="116" t="s">
        <v>75</v>
      </c>
    </row>
    <row r="28" spans="1:27" x14ac:dyDescent="0.25">
      <c r="A28" s="1"/>
      <c r="B28" s="233"/>
      <c r="C28" s="234"/>
      <c r="D28" s="234"/>
      <c r="E28" s="234"/>
      <c r="F28" s="235"/>
      <c r="G28" s="1"/>
      <c r="H28" s="1"/>
      <c r="I28" s="109">
        <v>451</v>
      </c>
      <c r="J28" s="124"/>
      <c r="K28" s="35" t="s">
        <v>948</v>
      </c>
      <c r="L28" s="35" t="s">
        <v>1408</v>
      </c>
      <c r="M28" s="35"/>
      <c r="N28" s="35"/>
      <c r="O28" s="35"/>
      <c r="P28" s="35">
        <v>9716737258</v>
      </c>
      <c r="Q28" s="35"/>
      <c r="R28" s="35">
        <v>9716737239</v>
      </c>
      <c r="S28" s="35"/>
      <c r="T28" s="112">
        <v>1</v>
      </c>
      <c r="U28" s="35"/>
      <c r="V28" s="35" t="s">
        <v>1406</v>
      </c>
      <c r="W28" s="35" t="s">
        <v>1409</v>
      </c>
      <c r="X28" s="35" t="s">
        <v>388</v>
      </c>
      <c r="Y28" s="35" t="s">
        <v>74</v>
      </c>
      <c r="Z28" s="35">
        <v>97138</v>
      </c>
      <c r="AA28" s="35" t="s">
        <v>75</v>
      </c>
    </row>
    <row r="29" spans="1:27" x14ac:dyDescent="0.25">
      <c r="A29" s="1"/>
      <c r="D29" s="1"/>
      <c r="E29" s="1"/>
      <c r="F29" s="1"/>
      <c r="G29" s="1"/>
      <c r="H29" s="1"/>
      <c r="I29" s="119">
        <v>550</v>
      </c>
      <c r="J29" s="1"/>
      <c r="K29" s="120" t="s">
        <v>948</v>
      </c>
      <c r="L29" s="121" t="s">
        <v>886</v>
      </c>
      <c r="M29" s="121"/>
      <c r="N29" s="120"/>
      <c r="O29" s="120"/>
      <c r="P29" s="121">
        <v>5033973292</v>
      </c>
      <c r="Q29" s="121"/>
      <c r="R29" s="120"/>
      <c r="S29" s="120"/>
      <c r="T29" s="122">
        <v>1</v>
      </c>
      <c r="U29" s="120"/>
      <c r="V29" s="120" t="s">
        <v>85</v>
      </c>
      <c r="W29" s="123" t="s">
        <v>845</v>
      </c>
      <c r="X29" s="123" t="s">
        <v>305</v>
      </c>
      <c r="Y29" s="123" t="s">
        <v>74</v>
      </c>
      <c r="Z29" s="123">
        <v>97051</v>
      </c>
      <c r="AA29" s="120" t="s">
        <v>88</v>
      </c>
    </row>
    <row r="30" spans="1:27" x14ac:dyDescent="0.25">
      <c r="A30" s="1"/>
      <c r="B30" s="37" t="s">
        <v>1722</v>
      </c>
      <c r="C30" s="37"/>
      <c r="D30" s="1"/>
      <c r="E30" s="1"/>
      <c r="F30" s="1"/>
      <c r="G30" s="74"/>
      <c r="H30" s="1"/>
      <c r="I30" s="23">
        <v>2950</v>
      </c>
      <c r="J30" s="1"/>
      <c r="K30" s="2" t="s">
        <v>948</v>
      </c>
      <c r="L30" s="76" t="s">
        <v>887</v>
      </c>
      <c r="M30" s="76"/>
      <c r="N30" s="2"/>
      <c r="O30" s="2"/>
      <c r="P30" s="76">
        <v>5038425571</v>
      </c>
      <c r="Q30" s="76"/>
      <c r="R30" s="2"/>
      <c r="S30" s="2"/>
      <c r="T30" s="79">
        <v>1</v>
      </c>
      <c r="U30" s="2"/>
      <c r="V30" s="2" t="s">
        <v>846</v>
      </c>
      <c r="W30" s="35"/>
      <c r="X30" s="35" t="s">
        <v>93</v>
      </c>
      <c r="Y30" s="35" t="s">
        <v>74</v>
      </c>
      <c r="Z30" s="35">
        <v>97141</v>
      </c>
      <c r="AA30" s="2" t="s">
        <v>93</v>
      </c>
    </row>
    <row r="31" spans="1:27" ht="15" customHeight="1" x14ac:dyDescent="0.25">
      <c r="A31" s="1"/>
      <c r="B31" s="258" t="s">
        <v>1723</v>
      </c>
      <c r="C31" s="258"/>
      <c r="D31" s="258"/>
      <c r="E31" s="258"/>
      <c r="F31" s="258"/>
      <c r="G31" s="74"/>
      <c r="H31" s="1"/>
      <c r="I31" s="23">
        <v>4259</v>
      </c>
      <c r="J31" s="1"/>
      <c r="K31" s="2" t="s">
        <v>948</v>
      </c>
      <c r="L31" s="76" t="s">
        <v>888</v>
      </c>
      <c r="M31" s="76"/>
      <c r="N31" s="2"/>
      <c r="O31" s="2"/>
      <c r="P31" s="76">
        <v>5037313111</v>
      </c>
      <c r="Q31" s="76"/>
      <c r="R31" s="2"/>
      <c r="S31" s="2"/>
      <c r="T31" s="81">
        <v>2</v>
      </c>
      <c r="U31" s="2"/>
      <c r="V31" s="2" t="s">
        <v>847</v>
      </c>
      <c r="W31" s="35"/>
      <c r="X31" s="35" t="s">
        <v>97</v>
      </c>
      <c r="Y31" s="35" t="s">
        <v>74</v>
      </c>
      <c r="Z31" s="35">
        <v>97214</v>
      </c>
      <c r="AA31" s="2" t="s">
        <v>98</v>
      </c>
    </row>
    <row r="32" spans="1:27" x14ac:dyDescent="0.25">
      <c r="A32" s="84"/>
      <c r="B32" s="258"/>
      <c r="C32" s="258"/>
      <c r="D32" s="258"/>
      <c r="E32" s="258"/>
      <c r="F32" s="258"/>
      <c r="G32" s="74"/>
      <c r="H32" s="1"/>
      <c r="I32" s="23">
        <v>4250</v>
      </c>
      <c r="J32" s="1"/>
      <c r="K32" s="2" t="s">
        <v>948</v>
      </c>
      <c r="L32" s="76" t="s">
        <v>889</v>
      </c>
      <c r="M32" s="76"/>
      <c r="N32" s="2"/>
      <c r="O32" s="2"/>
      <c r="P32" s="76">
        <v>9716732100</v>
      </c>
      <c r="Q32" s="76"/>
      <c r="R32" s="2"/>
      <c r="S32" s="2"/>
      <c r="T32" s="79">
        <v>2</v>
      </c>
      <c r="U32" s="2"/>
      <c r="V32" s="2" t="s">
        <v>848</v>
      </c>
      <c r="W32" s="35"/>
      <c r="X32" s="35" t="s">
        <v>97</v>
      </c>
      <c r="Y32" s="35" t="s">
        <v>74</v>
      </c>
      <c r="Z32" s="35">
        <v>97236</v>
      </c>
      <c r="AA32" s="2" t="s">
        <v>98</v>
      </c>
    </row>
    <row r="33" spans="1:27" x14ac:dyDescent="0.25">
      <c r="A33" s="86"/>
      <c r="B33" s="258"/>
      <c r="C33" s="258"/>
      <c r="D33" s="258"/>
      <c r="E33" s="258"/>
      <c r="F33" s="258"/>
      <c r="G33" s="1"/>
      <c r="H33" s="1"/>
      <c r="I33" s="23">
        <v>4950</v>
      </c>
      <c r="J33" s="1"/>
      <c r="K33" s="2" t="s">
        <v>948</v>
      </c>
      <c r="L33" s="76" t="s">
        <v>890</v>
      </c>
      <c r="M33" s="76"/>
      <c r="N33" s="2"/>
      <c r="O33" s="2"/>
      <c r="P33" s="76">
        <v>9716731400</v>
      </c>
      <c r="Q33" s="76"/>
      <c r="R33" s="2"/>
      <c r="S33" s="2"/>
      <c r="T33" s="79">
        <v>2</v>
      </c>
      <c r="U33" s="2"/>
      <c r="V33" s="2" t="s">
        <v>100</v>
      </c>
      <c r="W33" s="35"/>
      <c r="X33" s="35" t="s">
        <v>97</v>
      </c>
      <c r="Y33" s="35" t="s">
        <v>74</v>
      </c>
      <c r="Z33" s="35">
        <v>97204</v>
      </c>
      <c r="AA33" s="2" t="s">
        <v>98</v>
      </c>
    </row>
    <row r="34" spans="1:27" x14ac:dyDescent="0.25">
      <c r="A34" s="86"/>
      <c r="B34" s="37"/>
      <c r="C34" s="37"/>
      <c r="D34" s="1"/>
      <c r="E34" s="1"/>
      <c r="F34" s="1"/>
      <c r="G34" s="1"/>
      <c r="H34" s="1"/>
      <c r="I34" s="23">
        <v>4450</v>
      </c>
      <c r="J34" s="1"/>
      <c r="K34" s="2" t="s">
        <v>948</v>
      </c>
      <c r="L34" s="76" t="s">
        <v>891</v>
      </c>
      <c r="M34" s="76"/>
      <c r="N34" s="2"/>
      <c r="O34" s="2"/>
      <c r="P34" s="76">
        <v>9716736800</v>
      </c>
      <c r="Q34" s="76"/>
      <c r="R34" s="2"/>
      <c r="S34" s="2"/>
      <c r="T34" s="79">
        <v>2</v>
      </c>
      <c r="U34" s="2"/>
      <c r="V34" s="2" t="s">
        <v>95</v>
      </c>
      <c r="W34" s="35" t="s">
        <v>143</v>
      </c>
      <c r="X34" s="35" t="s">
        <v>97</v>
      </c>
      <c r="Y34" s="35" t="s">
        <v>74</v>
      </c>
      <c r="Z34" s="35">
        <v>97217</v>
      </c>
      <c r="AA34" s="2" t="s">
        <v>98</v>
      </c>
    </row>
    <row r="35" spans="1:27" x14ac:dyDescent="0.25">
      <c r="A35" s="86"/>
      <c r="B35" s="37" t="s">
        <v>1653</v>
      </c>
      <c r="C35" s="37"/>
      <c r="D35" s="1"/>
      <c r="E35" s="1"/>
      <c r="F35" s="1"/>
      <c r="G35" s="1"/>
      <c r="H35" s="74"/>
      <c r="I35" s="23">
        <v>4850</v>
      </c>
      <c r="J35" s="1"/>
      <c r="K35" s="2" t="s">
        <v>948</v>
      </c>
      <c r="L35" s="77" t="s">
        <v>892</v>
      </c>
      <c r="M35" s="77"/>
      <c r="N35" s="2"/>
      <c r="O35" s="2"/>
      <c r="P35" s="76">
        <v>5037313100</v>
      </c>
      <c r="Q35" s="76"/>
      <c r="R35" s="2"/>
      <c r="S35" s="2"/>
      <c r="T35" s="79">
        <v>2</v>
      </c>
      <c r="U35" s="2"/>
      <c r="V35" s="2" t="s">
        <v>978</v>
      </c>
      <c r="W35" s="35" t="s">
        <v>195</v>
      </c>
      <c r="X35" s="35" t="s">
        <v>97</v>
      </c>
      <c r="Y35" s="35" t="s">
        <v>74</v>
      </c>
      <c r="Z35" s="35">
        <v>97030</v>
      </c>
      <c r="AA35" s="2" t="s">
        <v>98</v>
      </c>
    </row>
    <row r="36" spans="1:27" x14ac:dyDescent="0.25">
      <c r="A36" s="86"/>
      <c r="B36" s="236" t="s">
        <v>1652</v>
      </c>
      <c r="C36" s="237"/>
      <c r="D36" s="237"/>
      <c r="E36" s="237"/>
      <c r="F36" s="238"/>
      <c r="G36" s="1"/>
      <c r="H36" s="74"/>
      <c r="I36" s="23">
        <v>4350</v>
      </c>
      <c r="J36" s="74"/>
      <c r="K36" s="2" t="s">
        <v>948</v>
      </c>
      <c r="L36" s="76" t="s">
        <v>893</v>
      </c>
      <c r="M36" s="76"/>
      <c r="N36" s="2"/>
      <c r="O36" s="2"/>
      <c r="P36" s="76">
        <v>9716731800</v>
      </c>
      <c r="Q36" s="76"/>
      <c r="R36" s="2">
        <v>9716731744</v>
      </c>
      <c r="S36" s="2"/>
      <c r="T36" s="79">
        <v>2</v>
      </c>
      <c r="U36" s="2"/>
      <c r="V36" s="2" t="s">
        <v>1651</v>
      </c>
      <c r="W36" s="35"/>
      <c r="X36" s="35" t="s">
        <v>97</v>
      </c>
      <c r="Y36" s="35" t="s">
        <v>74</v>
      </c>
      <c r="Z36" s="35">
        <v>97232</v>
      </c>
      <c r="AA36" s="2" t="s">
        <v>98</v>
      </c>
    </row>
    <row r="37" spans="1:27" x14ac:dyDescent="0.25">
      <c r="A37" s="86"/>
      <c r="B37" s="242"/>
      <c r="C37" s="243"/>
      <c r="D37" s="243"/>
      <c r="E37" s="243"/>
      <c r="F37" s="244"/>
      <c r="G37" s="1"/>
      <c r="H37" s="74"/>
      <c r="I37" s="23">
        <v>4750</v>
      </c>
      <c r="J37" s="74"/>
      <c r="K37" s="2" t="s">
        <v>948</v>
      </c>
      <c r="L37" s="76" t="s">
        <v>894</v>
      </c>
      <c r="M37" s="76"/>
      <c r="N37" s="2"/>
      <c r="O37" s="2"/>
      <c r="P37" s="76">
        <v>5036743610</v>
      </c>
      <c r="Q37" s="76"/>
      <c r="R37" s="2"/>
      <c r="S37" s="2"/>
      <c r="T37" s="79">
        <v>2</v>
      </c>
      <c r="U37" s="2"/>
      <c r="V37" s="2" t="s">
        <v>978</v>
      </c>
      <c r="W37" s="35" t="s">
        <v>195</v>
      </c>
      <c r="X37" s="35" t="s">
        <v>306</v>
      </c>
      <c r="Y37" s="35" t="s">
        <v>74</v>
      </c>
      <c r="Z37" s="35">
        <v>97030</v>
      </c>
      <c r="AA37" s="2" t="s">
        <v>98</v>
      </c>
    </row>
    <row r="38" spans="1:27" x14ac:dyDescent="0.25">
      <c r="A38" s="86"/>
      <c r="B38" s="186"/>
      <c r="C38" s="186"/>
      <c r="D38" s="186"/>
      <c r="E38" s="186"/>
      <c r="F38" s="186"/>
      <c r="G38" s="1"/>
      <c r="H38" s="74"/>
      <c r="I38" s="23">
        <v>2459</v>
      </c>
      <c r="J38" s="74"/>
      <c r="K38" s="2" t="s">
        <v>948</v>
      </c>
      <c r="L38" s="76" t="s">
        <v>895</v>
      </c>
      <c r="M38" s="76"/>
      <c r="N38" s="2"/>
      <c r="O38" s="2"/>
      <c r="P38" s="76">
        <v>5033783402</v>
      </c>
      <c r="Q38" s="76"/>
      <c r="R38" s="2"/>
      <c r="S38" s="2"/>
      <c r="T38" s="79">
        <v>3</v>
      </c>
      <c r="U38" s="2"/>
      <c r="V38" s="2" t="s">
        <v>119</v>
      </c>
      <c r="W38" s="35" t="s">
        <v>120</v>
      </c>
      <c r="X38" s="35" t="s">
        <v>40</v>
      </c>
      <c r="Y38" s="35" t="s">
        <v>74</v>
      </c>
      <c r="Z38" s="35">
        <v>97303</v>
      </c>
      <c r="AA38" s="2" t="s">
        <v>78</v>
      </c>
    </row>
    <row r="39" spans="1:27" x14ac:dyDescent="0.25">
      <c r="A39" s="86"/>
      <c r="B39" s="187" t="s">
        <v>1654</v>
      </c>
      <c r="C39" s="186"/>
      <c r="D39" s="186"/>
      <c r="E39" s="186"/>
      <c r="F39" s="186"/>
      <c r="G39" s="1"/>
      <c r="H39" s="75"/>
      <c r="I39" s="23">
        <v>2750</v>
      </c>
      <c r="J39" s="74"/>
      <c r="K39" s="2" t="s">
        <v>948</v>
      </c>
      <c r="L39" s="76" t="s">
        <v>896</v>
      </c>
      <c r="M39" s="76"/>
      <c r="N39" s="2"/>
      <c r="O39" s="2"/>
      <c r="P39" s="76">
        <v>5036238118</v>
      </c>
      <c r="Q39" s="76"/>
      <c r="R39" s="2"/>
      <c r="S39" s="2"/>
      <c r="T39" s="79">
        <v>3</v>
      </c>
      <c r="U39" s="2"/>
      <c r="V39" s="2" t="s">
        <v>849</v>
      </c>
      <c r="W39" s="35"/>
      <c r="X39" s="35" t="s">
        <v>122</v>
      </c>
      <c r="Y39" s="35" t="s">
        <v>74</v>
      </c>
      <c r="Z39" s="35">
        <v>97338</v>
      </c>
      <c r="AA39" s="2" t="s">
        <v>123</v>
      </c>
    </row>
    <row r="40" spans="1:27" x14ac:dyDescent="0.25">
      <c r="A40" s="86"/>
      <c r="B40" s="236" t="s">
        <v>1655</v>
      </c>
      <c r="C40" s="237"/>
      <c r="D40" s="237"/>
      <c r="E40" s="237"/>
      <c r="F40" s="238"/>
      <c r="G40" s="1"/>
      <c r="H40" s="75"/>
      <c r="I40" s="23">
        <v>3650</v>
      </c>
      <c r="J40" s="74"/>
      <c r="K40" s="2" t="s">
        <v>948</v>
      </c>
      <c r="L40" s="76" t="s">
        <v>897</v>
      </c>
      <c r="M40" s="76"/>
      <c r="N40" s="2"/>
      <c r="O40" s="2"/>
      <c r="P40" s="76">
        <v>5034724634</v>
      </c>
      <c r="Q40" s="76"/>
      <c r="R40" s="2"/>
      <c r="S40" s="2"/>
      <c r="T40" s="79">
        <v>3</v>
      </c>
      <c r="U40" s="2"/>
      <c r="V40" s="2" t="s">
        <v>850</v>
      </c>
      <c r="W40" s="35"/>
      <c r="X40" s="35" t="s">
        <v>126</v>
      </c>
      <c r="Y40" s="35" t="s">
        <v>74</v>
      </c>
      <c r="Z40" s="35">
        <v>97128</v>
      </c>
      <c r="AA40" s="2" t="s">
        <v>127</v>
      </c>
    </row>
    <row r="41" spans="1:27" x14ac:dyDescent="0.25">
      <c r="A41" s="86"/>
      <c r="B41" s="239"/>
      <c r="C41" s="240"/>
      <c r="D41" s="240"/>
      <c r="E41" s="240"/>
      <c r="F41" s="241"/>
      <c r="G41" s="1"/>
      <c r="H41" s="75"/>
      <c r="I41" s="23">
        <v>2450</v>
      </c>
      <c r="J41" s="74"/>
      <c r="K41" s="2" t="s">
        <v>948</v>
      </c>
      <c r="L41" s="76" t="s">
        <v>898</v>
      </c>
      <c r="M41" s="76"/>
      <c r="N41" s="2"/>
      <c r="O41" s="2"/>
      <c r="P41" s="76">
        <v>5033786800</v>
      </c>
      <c r="Q41" s="76"/>
      <c r="R41" s="2"/>
      <c r="S41" s="2"/>
      <c r="T41" s="79">
        <v>3</v>
      </c>
      <c r="U41" s="2"/>
      <c r="V41" s="2" t="s">
        <v>851</v>
      </c>
      <c r="W41" s="35" t="s">
        <v>120</v>
      </c>
      <c r="X41" s="35" t="s">
        <v>40</v>
      </c>
      <c r="Y41" s="35" t="s">
        <v>74</v>
      </c>
      <c r="Z41" s="35">
        <v>97301</v>
      </c>
      <c r="AA41" s="2" t="s">
        <v>78</v>
      </c>
    </row>
    <row r="42" spans="1:27" x14ac:dyDescent="0.25">
      <c r="A42" s="86"/>
      <c r="B42" s="239"/>
      <c r="C42" s="240"/>
      <c r="D42" s="240"/>
      <c r="E42" s="240"/>
      <c r="F42" s="241"/>
      <c r="G42" s="1"/>
      <c r="H42" s="75"/>
      <c r="I42" s="23">
        <v>2259</v>
      </c>
      <c r="J42" s="74"/>
      <c r="K42" s="2" t="s">
        <v>948</v>
      </c>
      <c r="L42" s="76" t="s">
        <v>899</v>
      </c>
      <c r="M42" s="76"/>
      <c r="N42" s="2"/>
      <c r="O42" s="2"/>
      <c r="P42" s="76">
        <v>5419672078</v>
      </c>
      <c r="Q42" s="76"/>
      <c r="R42" s="2"/>
      <c r="S42" s="2"/>
      <c r="T42" s="79">
        <v>4</v>
      </c>
      <c r="U42" s="2"/>
      <c r="V42" s="2" t="s">
        <v>852</v>
      </c>
      <c r="W42" s="35"/>
      <c r="X42" s="35" t="s">
        <v>139</v>
      </c>
      <c r="Y42" s="35" t="s">
        <v>74</v>
      </c>
      <c r="Z42" s="35">
        <v>97321</v>
      </c>
      <c r="AA42" s="2" t="s">
        <v>140</v>
      </c>
    </row>
    <row r="43" spans="1:27" x14ac:dyDescent="0.25">
      <c r="A43" s="86"/>
      <c r="B43" s="242"/>
      <c r="C43" s="243"/>
      <c r="D43" s="243"/>
      <c r="E43" s="243"/>
      <c r="F43" s="244"/>
      <c r="G43" s="1"/>
      <c r="H43" s="75"/>
      <c r="I43" s="23">
        <v>2250</v>
      </c>
      <c r="J43" s="74"/>
      <c r="K43" s="2" t="s">
        <v>948</v>
      </c>
      <c r="L43" s="76" t="s">
        <v>900</v>
      </c>
      <c r="M43" s="76"/>
      <c r="N43" s="2"/>
      <c r="O43" s="2"/>
      <c r="P43" s="76">
        <v>5419672060</v>
      </c>
      <c r="Q43" s="76"/>
      <c r="R43" s="2"/>
      <c r="S43" s="2"/>
      <c r="T43" s="79">
        <v>4</v>
      </c>
      <c r="U43" s="2"/>
      <c r="V43" s="2" t="s">
        <v>853</v>
      </c>
      <c r="W43" s="35"/>
      <c r="X43" s="35" t="s">
        <v>139</v>
      </c>
      <c r="Y43" s="35" t="s">
        <v>74</v>
      </c>
      <c r="Z43" s="35">
        <v>97321</v>
      </c>
      <c r="AA43" s="2" t="s">
        <v>140</v>
      </c>
    </row>
    <row r="44" spans="1:27" x14ac:dyDescent="0.25">
      <c r="A44" s="86"/>
      <c r="B44" s="37"/>
      <c r="C44" s="37"/>
      <c r="D44" s="1"/>
      <c r="E44" s="1"/>
      <c r="F44" s="1"/>
      <c r="G44" s="1"/>
      <c r="H44" s="75"/>
      <c r="I44" s="23">
        <v>250</v>
      </c>
      <c r="J44" s="74"/>
      <c r="K44" s="2" t="s">
        <v>948</v>
      </c>
      <c r="L44" s="76" t="s">
        <v>901</v>
      </c>
      <c r="M44" s="76"/>
      <c r="N44" s="2"/>
      <c r="O44" s="2"/>
      <c r="P44" s="76">
        <v>5417574121</v>
      </c>
      <c r="Q44" s="76"/>
      <c r="R44" s="2"/>
      <c r="S44" s="2"/>
      <c r="T44" s="79">
        <v>4</v>
      </c>
      <c r="U44" s="2"/>
      <c r="V44" s="2" t="s">
        <v>854</v>
      </c>
      <c r="W44" s="35"/>
      <c r="X44" s="35" t="s">
        <v>131</v>
      </c>
      <c r="Y44" s="35" t="s">
        <v>74</v>
      </c>
      <c r="Z44" s="35">
        <v>97330</v>
      </c>
      <c r="AA44" s="2" t="s">
        <v>132</v>
      </c>
    </row>
    <row r="45" spans="1:27" x14ac:dyDescent="0.25">
      <c r="A45" s="86"/>
      <c r="B45" s="37" t="s">
        <v>1512</v>
      </c>
      <c r="C45" s="37"/>
      <c r="D45" s="1"/>
      <c r="E45" s="1"/>
      <c r="F45" s="1"/>
      <c r="G45" s="1"/>
      <c r="H45" s="75"/>
      <c r="I45" s="23">
        <v>2150</v>
      </c>
      <c r="J45" s="74"/>
      <c r="K45" s="2" t="s">
        <v>948</v>
      </c>
      <c r="L45" s="76" t="s">
        <v>902</v>
      </c>
      <c r="M45" s="76"/>
      <c r="N45" s="2"/>
      <c r="O45" s="2"/>
      <c r="P45" s="76">
        <v>5412658557</v>
      </c>
      <c r="Q45" s="76"/>
      <c r="R45" s="2"/>
      <c r="S45" s="2"/>
      <c r="T45" s="79">
        <v>4</v>
      </c>
      <c r="U45" s="2"/>
      <c r="V45" s="2" t="s">
        <v>855</v>
      </c>
      <c r="W45" s="35" t="s">
        <v>856</v>
      </c>
      <c r="X45" s="35" t="s">
        <v>134</v>
      </c>
      <c r="Y45" s="35" t="s">
        <v>74</v>
      </c>
      <c r="Z45" s="35">
        <v>97365</v>
      </c>
      <c r="AA45" s="2" t="s">
        <v>135</v>
      </c>
    </row>
    <row r="46" spans="1:27" x14ac:dyDescent="0.25">
      <c r="A46" s="86"/>
      <c r="B46" s="258" t="s">
        <v>1513</v>
      </c>
      <c r="C46" s="258"/>
      <c r="D46" s="258"/>
      <c r="E46" s="258"/>
      <c r="F46" s="258"/>
      <c r="G46" s="1"/>
      <c r="H46" s="75"/>
      <c r="I46" s="23">
        <v>2059</v>
      </c>
      <c r="J46" s="74"/>
      <c r="K46" s="2" t="s">
        <v>948</v>
      </c>
      <c r="L46" s="77" t="s">
        <v>903</v>
      </c>
      <c r="M46" s="77"/>
      <c r="N46" s="2"/>
      <c r="O46" s="2"/>
      <c r="P46" s="76">
        <v>5416877373</v>
      </c>
      <c r="Q46" s="76"/>
      <c r="R46" s="2"/>
      <c r="S46" s="2"/>
      <c r="T46" s="79">
        <v>5</v>
      </c>
      <c r="U46" s="2"/>
      <c r="V46" s="2" t="s">
        <v>857</v>
      </c>
      <c r="W46" s="35"/>
      <c r="X46" s="35" t="s">
        <v>151</v>
      </c>
      <c r="Y46" s="35" t="s">
        <v>74</v>
      </c>
      <c r="Z46" s="35">
        <v>97408</v>
      </c>
      <c r="AA46" s="2" t="s">
        <v>149</v>
      </c>
    </row>
    <row r="47" spans="1:27" x14ac:dyDescent="0.25">
      <c r="A47" s="86"/>
      <c r="B47" s="258"/>
      <c r="C47" s="258"/>
      <c r="D47" s="258"/>
      <c r="E47" s="258"/>
      <c r="F47" s="258"/>
      <c r="G47" s="1"/>
      <c r="H47" s="75"/>
      <c r="I47" s="23">
        <v>2050</v>
      </c>
      <c r="J47" s="74"/>
      <c r="K47" s="2" t="s">
        <v>948</v>
      </c>
      <c r="L47" s="76" t="s">
        <v>904</v>
      </c>
      <c r="M47" s="76"/>
      <c r="N47" s="2"/>
      <c r="O47" s="2"/>
      <c r="P47" s="76">
        <v>5416867555</v>
      </c>
      <c r="Q47" s="76"/>
      <c r="R47" s="2"/>
      <c r="S47" s="2"/>
      <c r="T47" s="79">
        <v>5</v>
      </c>
      <c r="U47" s="2"/>
      <c r="V47" s="2" t="s">
        <v>150</v>
      </c>
      <c r="W47" s="35"/>
      <c r="X47" s="35" t="s">
        <v>151</v>
      </c>
      <c r="Y47" s="35" t="s">
        <v>74</v>
      </c>
      <c r="Z47" s="35">
        <v>97408</v>
      </c>
      <c r="AA47" s="2" t="s">
        <v>149</v>
      </c>
    </row>
    <row r="48" spans="1:27" x14ac:dyDescent="0.25">
      <c r="A48" s="86"/>
      <c r="B48" s="37"/>
      <c r="C48" s="37"/>
      <c r="D48" s="1"/>
      <c r="E48" s="1"/>
      <c r="F48" s="1"/>
      <c r="G48" s="1"/>
      <c r="H48" s="75"/>
      <c r="I48" s="23">
        <v>2051</v>
      </c>
      <c r="J48" s="74"/>
      <c r="K48" s="2" t="s">
        <v>948</v>
      </c>
      <c r="L48" s="76" t="s">
        <v>905</v>
      </c>
      <c r="M48" s="76"/>
      <c r="N48" s="2"/>
      <c r="O48" s="2"/>
      <c r="P48" s="76">
        <v>5416867722</v>
      </c>
      <c r="Q48" s="76"/>
      <c r="R48" s="2"/>
      <c r="S48" s="2"/>
      <c r="T48" s="79">
        <v>5</v>
      </c>
      <c r="U48" s="2"/>
      <c r="V48" s="2" t="s">
        <v>152</v>
      </c>
      <c r="W48" s="35"/>
      <c r="X48" s="35" t="s">
        <v>151</v>
      </c>
      <c r="Y48" s="35" t="s">
        <v>74</v>
      </c>
      <c r="Z48" s="35">
        <v>97402</v>
      </c>
      <c r="AA48" s="2" t="s">
        <v>149</v>
      </c>
    </row>
    <row r="49" spans="1:27" x14ac:dyDescent="0.25">
      <c r="A49" s="86"/>
      <c r="B49" s="37" t="s">
        <v>1494</v>
      </c>
      <c r="C49" s="37"/>
      <c r="D49" s="1"/>
      <c r="E49" s="1"/>
      <c r="F49" s="1"/>
      <c r="G49" s="1"/>
      <c r="H49" s="75"/>
      <c r="I49" s="23">
        <v>2052</v>
      </c>
      <c r="J49" s="74"/>
      <c r="K49" s="2" t="s">
        <v>948</v>
      </c>
      <c r="L49" s="76" t="s">
        <v>906</v>
      </c>
      <c r="M49" s="76"/>
      <c r="N49" s="2"/>
      <c r="O49" s="2"/>
      <c r="P49" s="76">
        <v>5417266644</v>
      </c>
      <c r="Q49" s="76"/>
      <c r="R49" s="2"/>
      <c r="S49" s="2"/>
      <c r="T49" s="79">
        <v>5</v>
      </c>
      <c r="U49" s="2"/>
      <c r="V49" s="2" t="s">
        <v>858</v>
      </c>
      <c r="W49" s="35"/>
      <c r="X49" s="35" t="s">
        <v>148</v>
      </c>
      <c r="Y49" s="35" t="s">
        <v>74</v>
      </c>
      <c r="Z49" s="35">
        <v>97477</v>
      </c>
      <c r="AA49" s="2" t="s">
        <v>149</v>
      </c>
    </row>
    <row r="50" spans="1:27" x14ac:dyDescent="0.25">
      <c r="A50" s="86"/>
      <c r="B50" s="236" t="s">
        <v>1496</v>
      </c>
      <c r="C50" s="237"/>
      <c r="D50" s="237"/>
      <c r="E50" s="237"/>
      <c r="F50" s="238"/>
      <c r="G50" s="1"/>
      <c r="H50" s="75"/>
      <c r="I50" s="23">
        <v>1059</v>
      </c>
      <c r="J50" s="74"/>
      <c r="K50" s="2" t="s">
        <v>948</v>
      </c>
      <c r="L50" s="76" t="s">
        <v>907</v>
      </c>
      <c r="M50" s="76"/>
      <c r="N50" s="2"/>
      <c r="O50" s="2"/>
      <c r="P50" s="76">
        <v>5414403311</v>
      </c>
      <c r="Q50" s="76"/>
      <c r="R50" s="2"/>
      <c r="S50" s="2"/>
      <c r="T50" s="79">
        <v>6</v>
      </c>
      <c r="U50" s="2"/>
      <c r="V50" s="2" t="s">
        <v>859</v>
      </c>
      <c r="W50" s="35"/>
      <c r="X50" s="35" t="s">
        <v>160</v>
      </c>
      <c r="Y50" s="35" t="s">
        <v>74</v>
      </c>
      <c r="Z50" s="35">
        <v>97471</v>
      </c>
      <c r="AA50" s="2" t="s">
        <v>161</v>
      </c>
    </row>
    <row r="51" spans="1:27" x14ac:dyDescent="0.25">
      <c r="A51" s="86"/>
      <c r="B51" s="239"/>
      <c r="C51" s="240"/>
      <c r="D51" s="240"/>
      <c r="E51" s="240"/>
      <c r="F51" s="241"/>
      <c r="G51" s="1"/>
      <c r="H51" s="75"/>
      <c r="I51" s="23">
        <v>1050</v>
      </c>
      <c r="J51" s="74"/>
      <c r="K51" s="2" t="s">
        <v>948</v>
      </c>
      <c r="L51" s="76" t="s">
        <v>908</v>
      </c>
      <c r="M51" s="76"/>
      <c r="N51" s="2"/>
      <c r="O51" s="2"/>
      <c r="P51" s="76">
        <v>5414403373</v>
      </c>
      <c r="Q51" s="76"/>
      <c r="R51" s="2"/>
      <c r="S51" s="2"/>
      <c r="T51" s="79">
        <v>6</v>
      </c>
      <c r="U51" s="2"/>
      <c r="V51" s="2" t="s">
        <v>158</v>
      </c>
      <c r="W51" s="35" t="s">
        <v>109</v>
      </c>
      <c r="X51" s="35" t="s">
        <v>160</v>
      </c>
      <c r="Y51" s="35" t="s">
        <v>74</v>
      </c>
      <c r="Z51" s="35">
        <v>97471</v>
      </c>
      <c r="AA51" s="2" t="s">
        <v>161</v>
      </c>
    </row>
    <row r="52" spans="1:27" x14ac:dyDescent="0.25">
      <c r="A52" s="86"/>
      <c r="B52" s="242"/>
      <c r="C52" s="243"/>
      <c r="D52" s="243"/>
      <c r="E52" s="243"/>
      <c r="F52" s="244"/>
      <c r="G52" s="1"/>
      <c r="H52" s="75"/>
      <c r="I52" s="82" t="s">
        <v>309</v>
      </c>
      <c r="J52" s="74"/>
      <c r="K52" s="2" t="s">
        <v>948</v>
      </c>
      <c r="L52" s="77" t="s">
        <v>909</v>
      </c>
      <c r="M52" s="77"/>
      <c r="N52" s="2"/>
      <c r="O52" s="2"/>
      <c r="P52" s="76">
        <v>5412714851</v>
      </c>
      <c r="Q52" s="76"/>
      <c r="R52" s="2"/>
      <c r="S52" s="2"/>
      <c r="T52" s="79">
        <v>6</v>
      </c>
      <c r="U52" s="2"/>
      <c r="V52" s="2" t="s">
        <v>860</v>
      </c>
      <c r="W52" s="35"/>
      <c r="X52" s="35" t="s">
        <v>308</v>
      </c>
      <c r="Y52" s="35" t="s">
        <v>74</v>
      </c>
      <c r="Z52" s="35">
        <v>97467</v>
      </c>
      <c r="AA52" s="2" t="s">
        <v>161</v>
      </c>
    </row>
    <row r="53" spans="1:27" x14ac:dyDescent="0.25">
      <c r="A53" s="86"/>
      <c r="B53" s="37"/>
      <c r="C53" s="37"/>
      <c r="D53" s="1"/>
      <c r="E53" s="1"/>
      <c r="F53" s="1"/>
      <c r="G53" s="1"/>
      <c r="H53" s="75"/>
      <c r="I53" s="23">
        <v>659</v>
      </c>
      <c r="J53" s="74"/>
      <c r="K53" s="2" t="s">
        <v>948</v>
      </c>
      <c r="L53" s="76" t="s">
        <v>910</v>
      </c>
      <c r="M53" s="76"/>
      <c r="N53" s="2"/>
      <c r="O53" s="2"/>
      <c r="P53" s="76">
        <v>5418882667</v>
      </c>
      <c r="Q53" s="76"/>
      <c r="R53" s="2"/>
      <c r="S53" s="2"/>
      <c r="T53" s="79">
        <v>7</v>
      </c>
      <c r="U53" s="2"/>
      <c r="V53" s="2" t="s">
        <v>861</v>
      </c>
      <c r="W53" s="35"/>
      <c r="X53" s="35" t="s">
        <v>401</v>
      </c>
      <c r="Y53" s="35" t="s">
        <v>74</v>
      </c>
      <c r="Z53" s="35">
        <v>97420</v>
      </c>
      <c r="AA53" s="2" t="s">
        <v>165</v>
      </c>
    </row>
    <row r="54" spans="1:27" x14ac:dyDescent="0.25">
      <c r="A54" s="86"/>
      <c r="B54" s="37" t="s">
        <v>1495</v>
      </c>
      <c r="C54" s="37"/>
      <c r="D54" s="1"/>
      <c r="E54" s="1"/>
      <c r="F54" s="1"/>
      <c r="G54" s="1"/>
      <c r="H54" s="75"/>
      <c r="I54" s="23">
        <v>650</v>
      </c>
      <c r="J54" s="74"/>
      <c r="K54" s="2" t="s">
        <v>948</v>
      </c>
      <c r="L54" s="76" t="s">
        <v>911</v>
      </c>
      <c r="M54" s="76"/>
      <c r="N54" s="2"/>
      <c r="O54" s="2"/>
      <c r="P54" s="76">
        <v>5417565500</v>
      </c>
      <c r="Q54" s="76"/>
      <c r="R54" s="2"/>
      <c r="S54" s="2"/>
      <c r="T54" s="79">
        <v>7</v>
      </c>
      <c r="U54" s="2"/>
      <c r="V54" s="2" t="s">
        <v>1096</v>
      </c>
      <c r="W54" s="35"/>
      <c r="X54" s="35" t="s">
        <v>164</v>
      </c>
      <c r="Y54" s="35" t="s">
        <v>74</v>
      </c>
      <c r="Z54" s="35">
        <v>97459</v>
      </c>
      <c r="AA54" s="2" t="s">
        <v>165</v>
      </c>
    </row>
    <row r="55" spans="1:27" x14ac:dyDescent="0.25">
      <c r="A55" s="86"/>
      <c r="B55" s="236" t="s">
        <v>1414</v>
      </c>
      <c r="C55" s="237"/>
      <c r="D55" s="237"/>
      <c r="E55" s="237"/>
      <c r="F55" s="238"/>
      <c r="G55" s="1"/>
      <c r="H55" s="75"/>
      <c r="I55" s="23">
        <v>850</v>
      </c>
      <c r="J55" s="74"/>
      <c r="K55" s="2" t="s">
        <v>948</v>
      </c>
      <c r="L55" s="76" t="s">
        <v>912</v>
      </c>
      <c r="M55" s="76"/>
      <c r="N55" s="2"/>
      <c r="O55" s="2"/>
      <c r="P55" s="76">
        <v>5412475437</v>
      </c>
      <c r="Q55" s="76"/>
      <c r="R55" s="2"/>
      <c r="S55" s="2"/>
      <c r="T55" s="79">
        <v>7</v>
      </c>
      <c r="U55" s="2"/>
      <c r="V55" s="2" t="s">
        <v>167</v>
      </c>
      <c r="W55" s="35"/>
      <c r="X55" s="35" t="s">
        <v>168</v>
      </c>
      <c r="Y55" s="35" t="s">
        <v>74</v>
      </c>
      <c r="Z55" s="35">
        <v>97444</v>
      </c>
      <c r="AA55" s="2" t="s">
        <v>169</v>
      </c>
    </row>
    <row r="56" spans="1:27" x14ac:dyDescent="0.25">
      <c r="A56" s="86"/>
      <c r="B56" s="239"/>
      <c r="C56" s="240"/>
      <c r="D56" s="240"/>
      <c r="E56" s="240"/>
      <c r="F56" s="241"/>
      <c r="G56" s="1"/>
      <c r="H56" s="75"/>
      <c r="I56" s="23">
        <v>1559</v>
      </c>
      <c r="J56" s="74"/>
      <c r="K56" s="2" t="s">
        <v>948</v>
      </c>
      <c r="L56" s="76" t="s">
        <v>913</v>
      </c>
      <c r="M56" s="76"/>
      <c r="N56" s="2"/>
      <c r="O56" s="2"/>
      <c r="P56" s="76">
        <v>5417766186</v>
      </c>
      <c r="Q56" s="76"/>
      <c r="R56" s="2"/>
      <c r="S56" s="2"/>
      <c r="T56" s="79">
        <v>8</v>
      </c>
      <c r="U56" s="2"/>
      <c r="V56" s="2" t="s">
        <v>862</v>
      </c>
      <c r="W56" s="35"/>
      <c r="X56" s="35" t="s">
        <v>171</v>
      </c>
      <c r="Y56" s="35" t="s">
        <v>74</v>
      </c>
      <c r="Z56" s="35">
        <v>97504</v>
      </c>
      <c r="AA56" s="2" t="s">
        <v>172</v>
      </c>
    </row>
    <row r="57" spans="1:27" x14ac:dyDescent="0.25">
      <c r="A57" s="86"/>
      <c r="B57" s="242"/>
      <c r="C57" s="243"/>
      <c r="D57" s="243"/>
      <c r="E57" s="243"/>
      <c r="F57" s="244"/>
      <c r="G57" s="1"/>
      <c r="H57" s="75"/>
      <c r="I57" s="23">
        <v>1750</v>
      </c>
      <c r="J57" s="74"/>
      <c r="K57" s="2" t="s">
        <v>948</v>
      </c>
      <c r="L57" s="76" t="s">
        <v>914</v>
      </c>
      <c r="M57" s="76"/>
      <c r="N57" s="2"/>
      <c r="O57" s="2"/>
      <c r="P57" s="76">
        <v>5414743120</v>
      </c>
      <c r="Q57" s="76"/>
      <c r="R57" s="2"/>
      <c r="S57" s="2"/>
      <c r="T57" s="79">
        <v>8</v>
      </c>
      <c r="U57" s="2"/>
      <c r="V57" s="2" t="s">
        <v>863</v>
      </c>
      <c r="W57" s="35"/>
      <c r="X57" s="35" t="s">
        <v>181</v>
      </c>
      <c r="Y57" s="35" t="s">
        <v>74</v>
      </c>
      <c r="Z57" s="35">
        <v>97526</v>
      </c>
      <c r="AA57" s="2" t="s">
        <v>182</v>
      </c>
    </row>
    <row r="58" spans="1:27" x14ac:dyDescent="0.25">
      <c r="A58" s="86"/>
      <c r="B58" s="37"/>
      <c r="C58" s="37"/>
      <c r="D58" s="1"/>
      <c r="E58" s="1"/>
      <c r="F58" s="1"/>
      <c r="G58" s="1"/>
      <c r="H58" s="75"/>
      <c r="I58" s="23">
        <v>1550</v>
      </c>
      <c r="J58" s="74"/>
      <c r="K58" s="2" t="s">
        <v>948</v>
      </c>
      <c r="L58" s="76" t="s">
        <v>915</v>
      </c>
      <c r="M58" s="76"/>
      <c r="N58" s="2"/>
      <c r="O58" s="2"/>
      <c r="P58" s="76">
        <v>5417766120</v>
      </c>
      <c r="Q58" s="76"/>
      <c r="R58" s="2"/>
      <c r="S58" s="2"/>
      <c r="T58" s="79">
        <v>8</v>
      </c>
      <c r="U58" s="2"/>
      <c r="V58" s="2" t="s">
        <v>864</v>
      </c>
      <c r="W58" s="35"/>
      <c r="X58" s="35" t="s">
        <v>171</v>
      </c>
      <c r="Y58" s="35" t="s">
        <v>74</v>
      </c>
      <c r="Z58" s="35">
        <v>97504</v>
      </c>
      <c r="AA58" s="2" t="s">
        <v>172</v>
      </c>
    </row>
    <row r="59" spans="1:27" x14ac:dyDescent="0.25">
      <c r="A59" s="86"/>
      <c r="B59" s="37" t="s">
        <v>1178</v>
      </c>
      <c r="C59" s="37"/>
      <c r="D59" s="1"/>
      <c r="E59" s="1"/>
      <c r="F59" s="1"/>
      <c r="G59" s="1"/>
      <c r="H59" s="75"/>
      <c r="I59" s="23">
        <v>3359</v>
      </c>
      <c r="J59" s="74"/>
      <c r="K59" s="2" t="s">
        <v>948</v>
      </c>
      <c r="L59" s="76" t="s">
        <v>916</v>
      </c>
      <c r="M59" s="76"/>
      <c r="N59" s="2"/>
      <c r="O59" s="2"/>
      <c r="P59" s="76">
        <v>5412984961</v>
      </c>
      <c r="Q59" s="76"/>
      <c r="R59" s="2"/>
      <c r="S59" s="2"/>
      <c r="T59" s="79">
        <v>9</v>
      </c>
      <c r="U59" s="2"/>
      <c r="V59" s="2" t="s">
        <v>186</v>
      </c>
      <c r="W59" s="35" t="s">
        <v>865</v>
      </c>
      <c r="X59" s="35" t="s">
        <v>188</v>
      </c>
      <c r="Y59" s="35" t="s">
        <v>74</v>
      </c>
      <c r="Z59" s="35">
        <v>97058</v>
      </c>
      <c r="AA59" s="2" t="s">
        <v>189</v>
      </c>
    </row>
    <row r="60" spans="1:27" x14ac:dyDescent="0.25">
      <c r="A60" s="86"/>
      <c r="B60" s="236" t="s">
        <v>1413</v>
      </c>
      <c r="C60" s="237"/>
      <c r="D60" s="237"/>
      <c r="E60" s="237"/>
      <c r="F60" s="238"/>
      <c r="G60" s="1"/>
      <c r="H60" s="75"/>
      <c r="I60" s="23">
        <v>1150</v>
      </c>
      <c r="J60" s="74"/>
      <c r="K60" s="2" t="s">
        <v>948</v>
      </c>
      <c r="L60" s="76" t="s">
        <v>917</v>
      </c>
      <c r="M60" s="76"/>
      <c r="N60" s="2"/>
      <c r="O60" s="2"/>
      <c r="P60" s="76">
        <v>5416416744</v>
      </c>
      <c r="Q60" s="76"/>
      <c r="R60" s="2"/>
      <c r="S60" s="2"/>
      <c r="T60" s="79">
        <v>9</v>
      </c>
      <c r="U60" s="2"/>
      <c r="V60" s="2" t="s">
        <v>866</v>
      </c>
      <c r="W60" s="35" t="s">
        <v>867</v>
      </c>
      <c r="X60" s="35" t="s">
        <v>444</v>
      </c>
      <c r="Y60" s="35" t="s">
        <v>74</v>
      </c>
      <c r="Z60" s="35">
        <v>97823</v>
      </c>
      <c r="AA60" s="2" t="s">
        <v>329</v>
      </c>
    </row>
    <row r="61" spans="1:27" x14ac:dyDescent="0.25">
      <c r="A61" s="86"/>
      <c r="B61" s="239"/>
      <c r="C61" s="240"/>
      <c r="D61" s="240"/>
      <c r="E61" s="240"/>
      <c r="F61" s="241"/>
      <c r="G61" s="1"/>
      <c r="H61" s="75"/>
      <c r="I61" s="23">
        <v>3550</v>
      </c>
      <c r="J61" s="74"/>
      <c r="K61" s="2" t="s">
        <v>948</v>
      </c>
      <c r="L61" s="76" t="s">
        <v>918</v>
      </c>
      <c r="M61" s="76"/>
      <c r="N61" s="2"/>
      <c r="O61" s="2"/>
      <c r="P61" s="76">
        <v>5416416744</v>
      </c>
      <c r="Q61" s="76"/>
      <c r="R61" s="2"/>
      <c r="S61" s="2"/>
      <c r="T61" s="79">
        <v>9</v>
      </c>
      <c r="U61" s="2"/>
      <c r="V61" s="2" t="s">
        <v>866</v>
      </c>
      <c r="W61" s="35" t="s">
        <v>867</v>
      </c>
      <c r="X61" s="35" t="s">
        <v>444</v>
      </c>
      <c r="Y61" s="35" t="s">
        <v>74</v>
      </c>
      <c r="Z61" s="35">
        <v>97823</v>
      </c>
      <c r="AA61" s="2" t="s">
        <v>329</v>
      </c>
    </row>
    <row r="62" spans="1:27" x14ac:dyDescent="0.25">
      <c r="A62" s="86"/>
      <c r="B62" s="239"/>
      <c r="C62" s="240"/>
      <c r="D62" s="240"/>
      <c r="E62" s="240"/>
      <c r="F62" s="241"/>
      <c r="G62" s="1"/>
      <c r="H62" s="75"/>
      <c r="I62" s="23">
        <v>2850</v>
      </c>
      <c r="J62" s="74"/>
      <c r="K62" s="2" t="s">
        <v>948</v>
      </c>
      <c r="L62" s="77" t="s">
        <v>919</v>
      </c>
      <c r="M62" s="77"/>
      <c r="N62" s="2"/>
      <c r="O62" s="2"/>
      <c r="P62" s="76">
        <v>5416416744</v>
      </c>
      <c r="Q62" s="76"/>
      <c r="R62" s="2"/>
      <c r="S62" s="2"/>
      <c r="T62" s="79">
        <v>9</v>
      </c>
      <c r="U62" s="2"/>
      <c r="V62" s="2" t="s">
        <v>866</v>
      </c>
      <c r="W62" s="35" t="s">
        <v>867</v>
      </c>
      <c r="X62" s="35" t="s">
        <v>444</v>
      </c>
      <c r="Y62" s="35" t="s">
        <v>74</v>
      </c>
      <c r="Z62" s="35">
        <v>97823</v>
      </c>
      <c r="AA62" s="2" t="s">
        <v>329</v>
      </c>
    </row>
    <row r="63" spans="1:27" x14ac:dyDescent="0.25">
      <c r="A63" s="86"/>
      <c r="B63" s="242"/>
      <c r="C63" s="243"/>
      <c r="D63" s="243"/>
      <c r="E63" s="243"/>
      <c r="F63" s="244"/>
      <c r="G63" s="1"/>
      <c r="H63" s="75"/>
      <c r="I63" s="23">
        <v>1450</v>
      </c>
      <c r="J63" s="74"/>
      <c r="K63" s="2" t="s">
        <v>948</v>
      </c>
      <c r="L63" s="76" t="s">
        <v>920</v>
      </c>
      <c r="M63" s="76"/>
      <c r="N63" s="2"/>
      <c r="O63" s="2"/>
      <c r="P63" s="76">
        <v>5413862962</v>
      </c>
      <c r="Q63" s="76"/>
      <c r="R63" s="2"/>
      <c r="S63" s="2"/>
      <c r="T63" s="79">
        <v>9</v>
      </c>
      <c r="U63" s="2"/>
      <c r="V63" s="2" t="s">
        <v>190</v>
      </c>
      <c r="W63" s="35"/>
      <c r="X63" s="35" t="s">
        <v>191</v>
      </c>
      <c r="Y63" s="35" t="s">
        <v>74</v>
      </c>
      <c r="Z63" s="35">
        <v>97031</v>
      </c>
      <c r="AA63" s="2" t="s">
        <v>191</v>
      </c>
    </row>
    <row r="64" spans="1:27" x14ac:dyDescent="0.25">
      <c r="A64" s="86"/>
      <c r="B64" s="37"/>
      <c r="C64" s="37"/>
      <c r="D64" s="1"/>
      <c r="E64" s="1"/>
      <c r="F64" s="1"/>
      <c r="G64" s="1"/>
      <c r="H64" s="75"/>
      <c r="I64" s="115">
        <v>3350</v>
      </c>
      <c r="J64" s="74"/>
      <c r="K64" s="116" t="s">
        <v>948</v>
      </c>
      <c r="L64" s="77" t="s">
        <v>921</v>
      </c>
      <c r="M64" s="77"/>
      <c r="N64" s="116"/>
      <c r="O64" s="116"/>
      <c r="P64" s="77">
        <v>5412985136</v>
      </c>
      <c r="Q64" s="77"/>
      <c r="R64" s="116"/>
      <c r="S64" s="116"/>
      <c r="T64" s="117">
        <v>9</v>
      </c>
      <c r="U64" s="116"/>
      <c r="V64" s="116" t="s">
        <v>186</v>
      </c>
      <c r="W64" s="118" t="s">
        <v>868</v>
      </c>
      <c r="X64" s="118" t="s">
        <v>188</v>
      </c>
      <c r="Y64" s="118" t="s">
        <v>74</v>
      </c>
      <c r="Z64" s="118">
        <v>97058</v>
      </c>
      <c r="AA64" s="116" t="s">
        <v>189</v>
      </c>
    </row>
    <row r="65" spans="1:27" x14ac:dyDescent="0.25">
      <c r="A65" s="86"/>
      <c r="B65" s="37" t="s">
        <v>1169</v>
      </c>
      <c r="C65" s="37"/>
      <c r="D65" s="1"/>
      <c r="E65" s="1"/>
      <c r="F65" s="1"/>
      <c r="G65" s="1"/>
      <c r="H65" s="75"/>
      <c r="I65" s="23">
        <v>1659</v>
      </c>
      <c r="J65" s="2"/>
      <c r="K65" s="2" t="s">
        <v>948</v>
      </c>
      <c r="L65" s="76" t="s">
        <v>922</v>
      </c>
      <c r="M65" s="76"/>
      <c r="N65" s="2"/>
      <c r="O65" s="2"/>
      <c r="P65" s="76">
        <v>5415041320</v>
      </c>
      <c r="Q65" s="76"/>
      <c r="R65" s="2"/>
      <c r="S65" s="2"/>
      <c r="T65" s="79">
        <v>10</v>
      </c>
      <c r="U65" s="2"/>
      <c r="V65" s="2" t="s">
        <v>869</v>
      </c>
      <c r="W65" s="35"/>
      <c r="X65" s="35" t="s">
        <v>200</v>
      </c>
      <c r="Y65" s="35" t="s">
        <v>74</v>
      </c>
      <c r="Z65" s="35">
        <v>97756</v>
      </c>
      <c r="AA65" s="2" t="s">
        <v>197</v>
      </c>
    </row>
    <row r="66" spans="1:27" x14ac:dyDescent="0.25">
      <c r="A66" s="86"/>
      <c r="B66" s="236" t="s">
        <v>1170</v>
      </c>
      <c r="C66" s="237"/>
      <c r="D66" s="237"/>
      <c r="E66" s="237"/>
      <c r="F66" s="238"/>
      <c r="G66" s="1"/>
      <c r="H66" s="75"/>
      <c r="I66" s="23">
        <v>950</v>
      </c>
      <c r="J66" s="2"/>
      <c r="K66" s="2" t="s">
        <v>948</v>
      </c>
      <c r="L66" s="76" t="s">
        <v>923</v>
      </c>
      <c r="M66" s="76"/>
      <c r="N66" s="2"/>
      <c r="O66" s="2"/>
      <c r="P66" s="76">
        <v>5413886161</v>
      </c>
      <c r="Q66" s="76"/>
      <c r="R66" s="2"/>
      <c r="S66" s="2"/>
      <c r="T66" s="79">
        <v>10</v>
      </c>
      <c r="U66" s="2"/>
      <c r="V66" s="2" t="s">
        <v>194</v>
      </c>
      <c r="W66" s="35" t="s">
        <v>211</v>
      </c>
      <c r="X66" s="35" t="s">
        <v>196</v>
      </c>
      <c r="Y66" s="35" t="s">
        <v>74</v>
      </c>
      <c r="Z66" s="35">
        <v>97703</v>
      </c>
      <c r="AA66" s="2" t="s">
        <v>197</v>
      </c>
    </row>
    <row r="67" spans="1:27" x14ac:dyDescent="0.25">
      <c r="A67" s="86"/>
      <c r="B67" s="239"/>
      <c r="C67" s="240"/>
      <c r="D67" s="240"/>
      <c r="E67" s="240"/>
      <c r="F67" s="241"/>
      <c r="G67" s="1"/>
      <c r="H67" s="75"/>
      <c r="I67" s="23">
        <v>952</v>
      </c>
      <c r="J67" s="35"/>
      <c r="K67" s="35" t="s">
        <v>948</v>
      </c>
      <c r="L67" s="76" t="s">
        <v>1719</v>
      </c>
      <c r="M67" s="35"/>
      <c r="N67" s="35"/>
      <c r="O67" s="35"/>
      <c r="P67" s="35"/>
      <c r="Q67" s="35"/>
      <c r="R67" s="35"/>
      <c r="S67" s="35"/>
      <c r="T67" s="79">
        <v>10</v>
      </c>
      <c r="U67" s="35"/>
      <c r="V67" s="2" t="s">
        <v>1720</v>
      </c>
      <c r="W67" s="35" t="s">
        <v>1721</v>
      </c>
      <c r="X67" s="35" t="s">
        <v>196</v>
      </c>
      <c r="Y67" s="35" t="s">
        <v>74</v>
      </c>
      <c r="Z67" s="35">
        <v>97702</v>
      </c>
      <c r="AA67" s="2" t="s">
        <v>197</v>
      </c>
    </row>
    <row r="68" spans="1:27" x14ac:dyDescent="0.25">
      <c r="A68" s="86"/>
      <c r="B68" s="239"/>
      <c r="C68" s="240"/>
      <c r="D68" s="240"/>
      <c r="E68" s="240"/>
      <c r="F68" s="241"/>
      <c r="G68" s="1"/>
      <c r="H68" s="75"/>
      <c r="I68" s="23">
        <v>1650</v>
      </c>
      <c r="J68" s="2"/>
      <c r="K68" s="2" t="s">
        <v>948</v>
      </c>
      <c r="L68" s="76" t="s">
        <v>924</v>
      </c>
      <c r="M68" s="76"/>
      <c r="N68" s="2"/>
      <c r="O68" s="2"/>
      <c r="P68" s="76">
        <v>5414752292</v>
      </c>
      <c r="Q68" s="76"/>
      <c r="R68" s="2"/>
      <c r="S68" s="2"/>
      <c r="T68" s="79">
        <v>10</v>
      </c>
      <c r="U68" s="2"/>
      <c r="V68" s="2" t="s">
        <v>870</v>
      </c>
      <c r="W68" s="35" t="s">
        <v>215</v>
      </c>
      <c r="X68" s="35" t="s">
        <v>212</v>
      </c>
      <c r="Y68" s="35" t="s">
        <v>74</v>
      </c>
      <c r="Z68" s="35">
        <v>97741</v>
      </c>
      <c r="AA68" s="2" t="s">
        <v>197</v>
      </c>
    </row>
    <row r="69" spans="1:27" x14ac:dyDescent="0.25">
      <c r="A69" s="86"/>
      <c r="B69" s="242"/>
      <c r="C69" s="243"/>
      <c r="D69" s="243"/>
      <c r="E69" s="243"/>
      <c r="F69" s="244"/>
      <c r="G69" s="1"/>
      <c r="H69" s="75"/>
      <c r="I69" s="23">
        <v>750</v>
      </c>
      <c r="J69" s="2"/>
      <c r="K69" s="2" t="s">
        <v>948</v>
      </c>
      <c r="L69" s="76" t="s">
        <v>925</v>
      </c>
      <c r="M69" s="76"/>
      <c r="N69" s="2"/>
      <c r="O69" s="2"/>
      <c r="P69" s="76">
        <v>5414476207</v>
      </c>
      <c r="Q69" s="76"/>
      <c r="R69" s="2"/>
      <c r="S69" s="2"/>
      <c r="T69" s="79">
        <v>10</v>
      </c>
      <c r="U69" s="2"/>
      <c r="V69" s="2" t="s">
        <v>206</v>
      </c>
      <c r="W69" s="35"/>
      <c r="X69" s="35" t="s">
        <v>207</v>
      </c>
      <c r="Y69" s="35" t="s">
        <v>74</v>
      </c>
      <c r="Z69" s="35">
        <v>97754</v>
      </c>
      <c r="AA69" s="2" t="s">
        <v>197</v>
      </c>
    </row>
    <row r="70" spans="1:27" x14ac:dyDescent="0.25">
      <c r="A70" s="86"/>
      <c r="B70" s="37"/>
      <c r="C70" s="37"/>
      <c r="D70" s="1"/>
      <c r="E70" s="1"/>
      <c r="F70" s="1"/>
      <c r="G70" s="1"/>
      <c r="H70" s="75"/>
      <c r="I70" s="119">
        <v>904</v>
      </c>
      <c r="J70" s="74"/>
      <c r="K70" s="120" t="s">
        <v>948</v>
      </c>
      <c r="L70" s="121" t="s">
        <v>1718</v>
      </c>
      <c r="M70" s="121"/>
      <c r="N70" s="120"/>
      <c r="O70" s="120"/>
      <c r="P70" s="121">
        <v>5415489480</v>
      </c>
      <c r="Q70" s="121"/>
      <c r="R70" s="120"/>
      <c r="S70" s="120"/>
      <c r="T70" s="122">
        <v>10</v>
      </c>
      <c r="U70" s="120"/>
      <c r="V70" s="120" t="s">
        <v>1717</v>
      </c>
      <c r="W70" s="123"/>
      <c r="X70" s="123" t="s">
        <v>200</v>
      </c>
      <c r="Y70" s="123" t="s">
        <v>74</v>
      </c>
      <c r="Z70" s="123">
        <v>97556</v>
      </c>
      <c r="AA70" s="120" t="s">
        <v>197</v>
      </c>
    </row>
    <row r="71" spans="1:27" x14ac:dyDescent="0.25">
      <c r="A71" s="86"/>
      <c r="B71" t="s">
        <v>1141</v>
      </c>
      <c r="C71" s="102"/>
      <c r="D71" s="102"/>
      <c r="E71" s="102"/>
      <c r="F71" s="102"/>
      <c r="G71" s="1"/>
      <c r="H71" s="75"/>
      <c r="I71" s="23">
        <v>951</v>
      </c>
      <c r="J71" s="74"/>
      <c r="K71" s="2" t="s">
        <v>948</v>
      </c>
      <c r="L71" s="76" t="s">
        <v>926</v>
      </c>
      <c r="M71" s="76"/>
      <c r="N71" s="2"/>
      <c r="O71" s="2"/>
      <c r="P71" s="76">
        <v>5415489480</v>
      </c>
      <c r="Q71" s="76"/>
      <c r="R71" s="2"/>
      <c r="S71" s="2"/>
      <c r="T71" s="79">
        <v>10</v>
      </c>
      <c r="U71" s="2"/>
      <c r="V71" s="2" t="s">
        <v>869</v>
      </c>
      <c r="W71" s="35"/>
      <c r="X71" s="35" t="s">
        <v>200</v>
      </c>
      <c r="Y71" s="35" t="s">
        <v>74</v>
      </c>
      <c r="Z71" s="35">
        <v>97756</v>
      </c>
      <c r="AA71" s="2" t="s">
        <v>197</v>
      </c>
    </row>
    <row r="72" spans="1:27" x14ac:dyDescent="0.25">
      <c r="A72" s="86"/>
      <c r="B72" s="236" t="s">
        <v>1142</v>
      </c>
      <c r="C72" s="237"/>
      <c r="D72" s="237"/>
      <c r="E72" s="237"/>
      <c r="F72" s="238"/>
      <c r="G72" s="1"/>
      <c r="H72" s="75"/>
      <c r="I72" s="23">
        <v>1859</v>
      </c>
      <c r="J72" s="74"/>
      <c r="K72" s="2" t="s">
        <v>948</v>
      </c>
      <c r="L72" s="76" t="s">
        <v>927</v>
      </c>
      <c r="M72" s="76"/>
      <c r="N72" s="2"/>
      <c r="O72" s="2"/>
      <c r="P72" s="76">
        <v>5418835511</v>
      </c>
      <c r="Q72" s="76"/>
      <c r="R72" s="2"/>
      <c r="S72" s="2"/>
      <c r="T72" s="79">
        <v>11</v>
      </c>
      <c r="U72" s="2"/>
      <c r="V72" s="15" t="s">
        <v>1010</v>
      </c>
      <c r="W72" s="15" t="s">
        <v>109</v>
      </c>
      <c r="X72" s="35" t="s">
        <v>217</v>
      </c>
      <c r="Y72" s="35" t="s">
        <v>74</v>
      </c>
      <c r="Z72" s="35">
        <v>97601</v>
      </c>
      <c r="AA72" s="2" t="s">
        <v>218</v>
      </c>
    </row>
    <row r="73" spans="1:27" x14ac:dyDescent="0.25">
      <c r="A73" s="86"/>
      <c r="B73" s="239"/>
      <c r="C73" s="240"/>
      <c r="D73" s="240"/>
      <c r="E73" s="240"/>
      <c r="F73" s="241"/>
      <c r="G73" s="1"/>
      <c r="H73" s="75"/>
      <c r="I73" s="23">
        <v>1850</v>
      </c>
      <c r="J73" s="74"/>
      <c r="K73" s="2" t="s">
        <v>948</v>
      </c>
      <c r="L73" s="76" t="s">
        <v>928</v>
      </c>
      <c r="M73" s="76"/>
      <c r="N73" s="2"/>
      <c r="O73" s="2"/>
      <c r="P73" s="76">
        <v>5418835570</v>
      </c>
      <c r="Q73" s="76"/>
      <c r="R73" s="2"/>
      <c r="S73" s="2"/>
      <c r="T73" s="79">
        <v>11</v>
      </c>
      <c r="U73" s="2"/>
      <c r="V73" s="15" t="s">
        <v>1010</v>
      </c>
      <c r="W73" s="15" t="s">
        <v>109</v>
      </c>
      <c r="X73" s="35" t="s">
        <v>217</v>
      </c>
      <c r="Y73" s="35" t="s">
        <v>74</v>
      </c>
      <c r="Z73" s="35">
        <v>97601</v>
      </c>
      <c r="AA73" s="2" t="s">
        <v>218</v>
      </c>
    </row>
    <row r="74" spans="1:27" x14ac:dyDescent="0.25">
      <c r="A74" s="86"/>
      <c r="B74" s="239"/>
      <c r="C74" s="240"/>
      <c r="D74" s="240"/>
      <c r="E74" s="240"/>
      <c r="F74" s="241"/>
      <c r="G74" s="1"/>
      <c r="H74" s="75"/>
      <c r="I74" s="23">
        <v>1950</v>
      </c>
      <c r="J74" s="74"/>
      <c r="K74" s="2" t="s">
        <v>948</v>
      </c>
      <c r="L74" s="76" t="s">
        <v>929</v>
      </c>
      <c r="M74" s="76"/>
      <c r="N74" s="2"/>
      <c r="O74" s="2"/>
      <c r="P74" s="76">
        <v>5419472273</v>
      </c>
      <c r="Q74" s="76"/>
      <c r="R74" s="2"/>
      <c r="S74" s="2"/>
      <c r="T74" s="79">
        <v>11</v>
      </c>
      <c r="U74" s="2"/>
      <c r="V74" s="2" t="s">
        <v>871</v>
      </c>
      <c r="W74" s="35" t="s">
        <v>1023</v>
      </c>
      <c r="X74" s="35" t="s">
        <v>220</v>
      </c>
      <c r="Y74" s="35" t="s">
        <v>74</v>
      </c>
      <c r="Z74" s="35">
        <v>97630</v>
      </c>
      <c r="AA74" s="2" t="s">
        <v>221</v>
      </c>
    </row>
    <row r="75" spans="1:27" x14ac:dyDescent="0.25">
      <c r="A75" s="86"/>
      <c r="B75" s="242"/>
      <c r="C75" s="243"/>
      <c r="D75" s="243"/>
      <c r="E75" s="243"/>
      <c r="F75" s="244"/>
      <c r="G75" s="1"/>
      <c r="H75" s="75"/>
      <c r="I75" s="23">
        <v>3059</v>
      </c>
      <c r="J75" s="74"/>
      <c r="K75" s="2" t="s">
        <v>948</v>
      </c>
      <c r="L75" s="76" t="s">
        <v>930</v>
      </c>
      <c r="M75" s="76"/>
      <c r="N75" s="2"/>
      <c r="O75" s="2"/>
      <c r="P75" s="76">
        <v>5415672253</v>
      </c>
      <c r="Q75" s="76"/>
      <c r="R75" s="2"/>
      <c r="S75" s="2"/>
      <c r="T75" s="79">
        <v>12</v>
      </c>
      <c r="U75" s="2"/>
      <c r="V75" s="2" t="s">
        <v>872</v>
      </c>
      <c r="W75" s="35"/>
      <c r="X75" s="35" t="s">
        <v>227</v>
      </c>
      <c r="Y75" s="35" t="s">
        <v>74</v>
      </c>
      <c r="Z75" s="35">
        <v>97838</v>
      </c>
      <c r="AA75" s="2" t="s">
        <v>224</v>
      </c>
    </row>
    <row r="76" spans="1:27" x14ac:dyDescent="0.25">
      <c r="A76" s="86"/>
      <c r="B76" s="37"/>
      <c r="C76" s="37"/>
      <c r="D76" s="1"/>
      <c r="E76" s="1"/>
      <c r="F76" s="1"/>
      <c r="G76" s="1"/>
      <c r="H76" s="75"/>
      <c r="I76" s="23">
        <v>2550</v>
      </c>
      <c r="J76" s="74"/>
      <c r="K76" s="2" t="s">
        <v>948</v>
      </c>
      <c r="L76" s="76" t="s">
        <v>931</v>
      </c>
      <c r="M76" s="76"/>
      <c r="N76" s="2"/>
      <c r="O76" s="2"/>
      <c r="P76" s="76">
        <v>5414819482</v>
      </c>
      <c r="Q76" s="76"/>
      <c r="R76" s="2"/>
      <c r="S76" s="2"/>
      <c r="T76" s="79">
        <v>12</v>
      </c>
      <c r="U76" s="2"/>
      <c r="V76" s="2" t="s">
        <v>873</v>
      </c>
      <c r="W76" s="35" t="s">
        <v>874</v>
      </c>
      <c r="X76" s="35" t="s">
        <v>307</v>
      </c>
      <c r="Y76" s="35" t="s">
        <v>74</v>
      </c>
      <c r="Z76" s="35">
        <v>97818</v>
      </c>
      <c r="AA76" s="2" t="s">
        <v>354</v>
      </c>
    </row>
    <row r="77" spans="1:27" x14ac:dyDescent="0.25">
      <c r="A77" s="86"/>
      <c r="B77" s="37" t="s">
        <v>1103</v>
      </c>
      <c r="C77" s="37"/>
      <c r="D77" s="1"/>
      <c r="E77" s="1"/>
      <c r="F77" s="1"/>
      <c r="G77" s="1"/>
      <c r="H77" s="75"/>
      <c r="I77" s="23">
        <v>3051</v>
      </c>
      <c r="J77" s="74"/>
      <c r="K77" s="2" t="s">
        <v>948</v>
      </c>
      <c r="L77" s="76" t="s">
        <v>932</v>
      </c>
      <c r="M77" s="76"/>
      <c r="N77" s="2"/>
      <c r="O77" s="2"/>
      <c r="P77" s="76">
        <v>5415672253</v>
      </c>
      <c r="Q77" s="76"/>
      <c r="R77" s="2"/>
      <c r="S77" s="2"/>
      <c r="T77" s="79">
        <v>12</v>
      </c>
      <c r="U77" s="2"/>
      <c r="V77" s="2" t="s">
        <v>872</v>
      </c>
      <c r="W77" s="35" t="s">
        <v>215</v>
      </c>
      <c r="X77" s="35" t="s">
        <v>227</v>
      </c>
      <c r="Y77" s="35" t="s">
        <v>74</v>
      </c>
      <c r="Z77" s="35">
        <v>97838</v>
      </c>
      <c r="AA77" s="2" t="s">
        <v>224</v>
      </c>
    </row>
    <row r="78" spans="1:27" x14ac:dyDescent="0.25">
      <c r="A78" s="86"/>
      <c r="B78" s="236" t="s">
        <v>1102</v>
      </c>
      <c r="C78" s="237"/>
      <c r="D78" s="237"/>
      <c r="E78" s="237"/>
      <c r="F78" s="238"/>
      <c r="G78" s="1"/>
      <c r="H78" s="75"/>
      <c r="I78" s="23">
        <v>3050</v>
      </c>
      <c r="J78" s="74"/>
      <c r="K78" s="2" t="s">
        <v>948</v>
      </c>
      <c r="L78" s="77" t="s">
        <v>933</v>
      </c>
      <c r="M78" s="77"/>
      <c r="N78" s="2"/>
      <c r="O78" s="2"/>
      <c r="P78" s="76">
        <v>5412769220</v>
      </c>
      <c r="Q78" s="76"/>
      <c r="R78" s="2"/>
      <c r="S78" s="2"/>
      <c r="T78" s="79">
        <v>12</v>
      </c>
      <c r="U78" s="2"/>
      <c r="V78" s="2" t="s">
        <v>875</v>
      </c>
      <c r="W78" s="35" t="s">
        <v>72</v>
      </c>
      <c r="X78" s="35" t="s">
        <v>223</v>
      </c>
      <c r="Y78" s="35" t="s">
        <v>74</v>
      </c>
      <c r="Z78" s="35">
        <v>97801</v>
      </c>
      <c r="AA78" s="2" t="s">
        <v>224</v>
      </c>
    </row>
    <row r="79" spans="1:27" x14ac:dyDescent="0.25">
      <c r="A79" s="86"/>
      <c r="B79" s="239"/>
      <c r="C79" s="240"/>
      <c r="D79" s="240"/>
      <c r="E79" s="240"/>
      <c r="F79" s="241"/>
      <c r="G79" s="1"/>
      <c r="H79" s="75"/>
      <c r="I79" s="109">
        <v>3054</v>
      </c>
      <c r="J79" s="1"/>
      <c r="K79" s="2" t="s">
        <v>948</v>
      </c>
      <c r="L79" s="116" t="s">
        <v>1881</v>
      </c>
      <c r="M79" s="116"/>
      <c r="N79" s="2"/>
      <c r="O79" s="2"/>
      <c r="P79" s="2">
        <v>5418097081</v>
      </c>
      <c r="Q79" s="2"/>
      <c r="R79" s="2">
        <v>5419388094</v>
      </c>
      <c r="S79" s="2"/>
      <c r="T79" s="191">
        <v>12</v>
      </c>
      <c r="U79" s="2"/>
      <c r="V79" s="2" t="s">
        <v>1882</v>
      </c>
      <c r="W79" s="35" t="s">
        <v>96</v>
      </c>
      <c r="X79" s="35" t="s">
        <v>229</v>
      </c>
      <c r="Y79" s="35" t="s">
        <v>74</v>
      </c>
      <c r="Z79" s="35">
        <v>97862</v>
      </c>
      <c r="AA79" s="2" t="s">
        <v>224</v>
      </c>
    </row>
    <row r="80" spans="1:27" x14ac:dyDescent="0.25">
      <c r="A80" s="86"/>
      <c r="B80" s="242"/>
      <c r="C80" s="243"/>
      <c r="D80" s="243"/>
      <c r="E80" s="243"/>
      <c r="F80" s="244"/>
      <c r="G80" s="1"/>
      <c r="H80" s="75"/>
      <c r="I80" s="23">
        <v>159</v>
      </c>
      <c r="J80" s="74"/>
      <c r="K80" s="2" t="s">
        <v>948</v>
      </c>
      <c r="L80" s="76" t="s">
        <v>934</v>
      </c>
      <c r="M80" s="76"/>
      <c r="N80" s="2"/>
      <c r="O80" s="2"/>
      <c r="P80" s="76">
        <v>5415241800</v>
      </c>
      <c r="Q80" s="76"/>
      <c r="R80" s="2"/>
      <c r="S80" s="2"/>
      <c r="T80" s="79">
        <v>13</v>
      </c>
      <c r="U80" s="2"/>
      <c r="V80" s="2" t="s">
        <v>232</v>
      </c>
      <c r="W80" s="35" t="s">
        <v>254</v>
      </c>
      <c r="X80" s="35" t="s">
        <v>233</v>
      </c>
      <c r="Y80" s="35" t="s">
        <v>74</v>
      </c>
      <c r="Z80" s="35">
        <v>97814</v>
      </c>
      <c r="AA80" s="2" t="s">
        <v>234</v>
      </c>
    </row>
    <row r="81" spans="1:27" x14ac:dyDescent="0.25">
      <c r="A81" s="86"/>
      <c r="B81" s="37"/>
      <c r="C81" s="37"/>
      <c r="D81" s="1"/>
      <c r="E81" s="1"/>
      <c r="F81" s="1"/>
      <c r="G81" s="1"/>
      <c r="H81" s="75"/>
      <c r="I81" s="23">
        <v>150</v>
      </c>
      <c r="J81" s="74"/>
      <c r="K81" s="2" t="s">
        <v>948</v>
      </c>
      <c r="L81" s="76" t="s">
        <v>935</v>
      </c>
      <c r="M81" s="76"/>
      <c r="N81" s="2"/>
      <c r="O81" s="2"/>
      <c r="P81" s="76">
        <v>5415236423</v>
      </c>
      <c r="Q81" s="76"/>
      <c r="R81" s="2"/>
      <c r="S81" s="2"/>
      <c r="T81" s="79">
        <v>13</v>
      </c>
      <c r="U81" s="2"/>
      <c r="V81" s="2" t="s">
        <v>232</v>
      </c>
      <c r="W81" s="35" t="s">
        <v>254</v>
      </c>
      <c r="X81" s="35" t="s">
        <v>233</v>
      </c>
      <c r="Y81" s="35" t="s">
        <v>74</v>
      </c>
      <c r="Z81" s="35">
        <v>97814</v>
      </c>
      <c r="AA81" s="2" t="s">
        <v>234</v>
      </c>
    </row>
    <row r="82" spans="1:27" x14ac:dyDescent="0.25">
      <c r="A82" s="86"/>
      <c r="B82" s="37" t="s">
        <v>1085</v>
      </c>
      <c r="C82" s="37"/>
      <c r="D82" s="1"/>
      <c r="E82" s="1"/>
      <c r="F82" s="1"/>
      <c r="G82" s="1"/>
      <c r="H82" s="75"/>
      <c r="I82" s="23">
        <v>3250</v>
      </c>
      <c r="J82" s="74"/>
      <c r="K82" s="2" t="s">
        <v>948</v>
      </c>
      <c r="L82" s="76" t="s">
        <v>936</v>
      </c>
      <c r="M82" s="76"/>
      <c r="N82" s="2"/>
      <c r="O82" s="2"/>
      <c r="P82" s="76">
        <v>5414264558</v>
      </c>
      <c r="Q82" s="76"/>
      <c r="R82" s="2"/>
      <c r="S82" s="2"/>
      <c r="T82" s="79">
        <v>13</v>
      </c>
      <c r="U82" s="2"/>
      <c r="V82" s="2" t="s">
        <v>241</v>
      </c>
      <c r="W82" s="35" t="s">
        <v>876</v>
      </c>
      <c r="X82" s="35" t="s">
        <v>242</v>
      </c>
      <c r="Y82" s="35" t="s">
        <v>74</v>
      </c>
      <c r="Z82" s="35">
        <v>97828</v>
      </c>
      <c r="AA82" s="2" t="s">
        <v>243</v>
      </c>
    </row>
    <row r="83" spans="1:27" x14ac:dyDescent="0.25">
      <c r="A83" s="86"/>
      <c r="B83" s="236" t="s">
        <v>1086</v>
      </c>
      <c r="C83" s="237"/>
      <c r="D83" s="237"/>
      <c r="E83" s="237"/>
      <c r="F83" s="238"/>
      <c r="G83" s="1"/>
      <c r="H83" s="75"/>
      <c r="I83" s="23">
        <v>3150</v>
      </c>
      <c r="J83" s="74"/>
      <c r="K83" s="2" t="s">
        <v>948</v>
      </c>
      <c r="L83" s="76" t="s">
        <v>937</v>
      </c>
      <c r="M83" s="76"/>
      <c r="N83" s="2"/>
      <c r="O83" s="2"/>
      <c r="P83" s="76">
        <v>5419634113</v>
      </c>
      <c r="Q83" s="76"/>
      <c r="R83" s="2"/>
      <c r="S83" s="2"/>
      <c r="T83" s="79">
        <v>13</v>
      </c>
      <c r="U83" s="2"/>
      <c r="V83" s="2" t="s">
        <v>237</v>
      </c>
      <c r="W83" s="35"/>
      <c r="X83" s="35" t="s">
        <v>238</v>
      </c>
      <c r="Y83" s="35" t="s">
        <v>74</v>
      </c>
      <c r="Z83" s="35">
        <v>97850</v>
      </c>
      <c r="AA83" s="2" t="s">
        <v>239</v>
      </c>
    </row>
    <row r="84" spans="1:27" x14ac:dyDescent="0.25">
      <c r="A84" s="86"/>
      <c r="B84" s="239"/>
      <c r="C84" s="240"/>
      <c r="D84" s="240"/>
      <c r="E84" s="240"/>
      <c r="F84" s="241"/>
      <c r="G84" s="1"/>
      <c r="H84" s="75"/>
      <c r="I84" s="23">
        <v>2359</v>
      </c>
      <c r="J84" s="74"/>
      <c r="K84" s="2" t="s">
        <v>948</v>
      </c>
      <c r="L84" s="76" t="s">
        <v>938</v>
      </c>
      <c r="M84" s="76"/>
      <c r="N84" s="2"/>
      <c r="O84" s="2"/>
      <c r="P84" s="76">
        <v>5418899194</v>
      </c>
      <c r="Q84" s="76"/>
      <c r="R84" s="2"/>
      <c r="S84" s="2"/>
      <c r="T84" s="79">
        <v>14</v>
      </c>
      <c r="U84" s="2"/>
      <c r="V84" s="2" t="s">
        <v>257</v>
      </c>
      <c r="W84" s="35"/>
      <c r="X84" s="35" t="s">
        <v>259</v>
      </c>
      <c r="Y84" s="35" t="s">
        <v>74</v>
      </c>
      <c r="Z84" s="35">
        <v>97914</v>
      </c>
      <c r="AA84" s="2" t="s">
        <v>883</v>
      </c>
    </row>
    <row r="85" spans="1:27" x14ac:dyDescent="0.25">
      <c r="A85" s="86"/>
      <c r="B85" s="242"/>
      <c r="C85" s="243"/>
      <c r="D85" s="243"/>
      <c r="E85" s="243"/>
      <c r="F85" s="244"/>
      <c r="G85" s="1"/>
      <c r="H85" s="75"/>
      <c r="I85" s="23">
        <v>1350</v>
      </c>
      <c r="J85" s="74"/>
      <c r="K85" s="2" t="s">
        <v>948</v>
      </c>
      <c r="L85" s="76" t="s">
        <v>939</v>
      </c>
      <c r="M85" s="76"/>
      <c r="N85" s="2"/>
      <c r="O85" s="2"/>
      <c r="P85" s="76">
        <v>5415732086</v>
      </c>
      <c r="Q85" s="76"/>
      <c r="R85" s="2"/>
      <c r="S85" s="2"/>
      <c r="T85" s="79">
        <v>14</v>
      </c>
      <c r="U85" s="2"/>
      <c r="V85" s="2" t="s">
        <v>253</v>
      </c>
      <c r="W85" s="35" t="s">
        <v>72</v>
      </c>
      <c r="X85" s="35" t="s">
        <v>251</v>
      </c>
      <c r="Y85" s="35" t="s">
        <v>74</v>
      </c>
      <c r="Z85" s="35">
        <v>97720</v>
      </c>
      <c r="AA85" s="2" t="s">
        <v>252</v>
      </c>
    </row>
    <row r="86" spans="1:27" x14ac:dyDescent="0.25">
      <c r="A86" s="86"/>
      <c r="B86" s="37"/>
      <c r="C86" s="37"/>
      <c r="D86" s="1"/>
      <c r="E86" s="1"/>
      <c r="F86" s="1"/>
      <c r="G86" s="1"/>
      <c r="H86" s="75"/>
      <c r="I86" s="23">
        <v>1250</v>
      </c>
      <c r="J86" s="74"/>
      <c r="K86" s="2" t="s">
        <v>948</v>
      </c>
      <c r="L86" s="76" t="s">
        <v>940</v>
      </c>
      <c r="M86" s="76"/>
      <c r="N86" s="2"/>
      <c r="O86" s="2"/>
      <c r="P86" s="76">
        <v>5415750728</v>
      </c>
      <c r="Q86" s="76"/>
      <c r="R86" s="2"/>
      <c r="S86" s="2"/>
      <c r="T86" s="79">
        <v>14</v>
      </c>
      <c r="U86" s="2"/>
      <c r="V86" s="2" t="s">
        <v>877</v>
      </c>
      <c r="W86" s="35"/>
      <c r="X86" s="35" t="s">
        <v>246</v>
      </c>
      <c r="Y86" s="35" t="s">
        <v>74</v>
      </c>
      <c r="Z86" s="35">
        <v>97845</v>
      </c>
      <c r="AA86" s="2" t="s">
        <v>247</v>
      </c>
    </row>
    <row r="87" spans="1:27" x14ac:dyDescent="0.25">
      <c r="A87" s="86"/>
      <c r="B87" s="37" t="s">
        <v>1062</v>
      </c>
      <c r="C87" s="37"/>
      <c r="D87" s="1"/>
      <c r="E87" s="1"/>
      <c r="F87" s="1"/>
      <c r="G87" s="1"/>
      <c r="H87" s="75"/>
      <c r="I87" s="23">
        <v>2350</v>
      </c>
      <c r="J87" s="74"/>
      <c r="K87" s="2" t="s">
        <v>948</v>
      </c>
      <c r="L87" s="76" t="s">
        <v>941</v>
      </c>
      <c r="M87" s="76"/>
      <c r="N87" s="2"/>
      <c r="O87" s="2"/>
      <c r="P87" s="76">
        <v>5418899194</v>
      </c>
      <c r="Q87" s="76"/>
      <c r="R87" s="2"/>
      <c r="S87" s="2"/>
      <c r="T87" s="79">
        <v>14</v>
      </c>
      <c r="U87" s="2"/>
      <c r="V87" s="2" t="s">
        <v>257</v>
      </c>
      <c r="W87" s="35" t="s">
        <v>878</v>
      </c>
      <c r="X87" s="35" t="s">
        <v>259</v>
      </c>
      <c r="Y87" s="35" t="s">
        <v>74</v>
      </c>
      <c r="Z87" s="35">
        <v>97914</v>
      </c>
      <c r="AA87" s="2" t="s">
        <v>883</v>
      </c>
    </row>
    <row r="88" spans="1:27" x14ac:dyDescent="0.25">
      <c r="A88" s="86"/>
      <c r="B88" s="236" t="s">
        <v>1061</v>
      </c>
      <c r="C88" s="237"/>
      <c r="D88" s="237"/>
      <c r="E88" s="237"/>
      <c r="F88" s="238"/>
      <c r="G88" s="1"/>
      <c r="H88" s="75"/>
      <c r="I88" s="23">
        <v>359</v>
      </c>
      <c r="J88" s="74"/>
      <c r="K88" s="2" t="s">
        <v>948</v>
      </c>
      <c r="L88" s="76" t="s">
        <v>942</v>
      </c>
      <c r="M88" s="76"/>
      <c r="N88" s="2"/>
      <c r="O88" s="2"/>
      <c r="P88" s="76">
        <v>9716737300</v>
      </c>
      <c r="Q88" s="76"/>
      <c r="R88" s="2"/>
      <c r="S88" s="2"/>
      <c r="T88" s="79">
        <v>15</v>
      </c>
      <c r="U88" s="2"/>
      <c r="V88" s="2" t="s">
        <v>879</v>
      </c>
      <c r="W88" s="35"/>
      <c r="X88" s="35" t="s">
        <v>263</v>
      </c>
      <c r="Y88" s="35" t="s">
        <v>74</v>
      </c>
      <c r="Z88" s="35">
        <v>97045</v>
      </c>
      <c r="AA88" s="2" t="s">
        <v>264</v>
      </c>
    </row>
    <row r="89" spans="1:27" x14ac:dyDescent="0.25">
      <c r="A89" s="86"/>
      <c r="B89" s="239"/>
      <c r="C89" s="240"/>
      <c r="D89" s="240"/>
      <c r="E89" s="240"/>
      <c r="F89" s="241"/>
      <c r="G89" s="1"/>
      <c r="H89" s="75"/>
      <c r="I89" s="23">
        <v>351</v>
      </c>
      <c r="J89" s="74"/>
      <c r="K89" s="2" t="s">
        <v>948</v>
      </c>
      <c r="L89" s="76" t="s">
        <v>943</v>
      </c>
      <c r="M89" s="76"/>
      <c r="N89" s="2"/>
      <c r="O89" s="2"/>
      <c r="P89" s="76">
        <v>5037313400</v>
      </c>
      <c r="Q89" s="76"/>
      <c r="R89" s="2"/>
      <c r="S89" s="2"/>
      <c r="T89" s="79">
        <v>15</v>
      </c>
      <c r="U89" s="2"/>
      <c r="V89" s="2" t="s">
        <v>265</v>
      </c>
      <c r="W89" s="35"/>
      <c r="X89" s="35" t="s">
        <v>264</v>
      </c>
      <c r="Y89" s="35" t="s">
        <v>74</v>
      </c>
      <c r="Z89" s="35">
        <v>97015</v>
      </c>
      <c r="AA89" s="2" t="s">
        <v>264</v>
      </c>
    </row>
    <row r="90" spans="1:27" x14ac:dyDescent="0.25">
      <c r="B90" s="242"/>
      <c r="C90" s="243"/>
      <c r="D90" s="243"/>
      <c r="E90" s="243"/>
      <c r="F90" s="244"/>
      <c r="I90" s="23">
        <v>350</v>
      </c>
      <c r="J90" s="74"/>
      <c r="K90" s="2" t="s">
        <v>948</v>
      </c>
      <c r="L90" s="76" t="s">
        <v>944</v>
      </c>
      <c r="M90" s="76"/>
      <c r="N90" s="2"/>
      <c r="O90" s="2"/>
      <c r="P90" s="76">
        <v>9716737200</v>
      </c>
      <c r="Q90" s="76"/>
      <c r="R90" s="2"/>
      <c r="S90" s="2"/>
      <c r="T90" s="79">
        <v>15</v>
      </c>
      <c r="U90" s="2"/>
      <c r="V90" s="2" t="s">
        <v>880</v>
      </c>
      <c r="W90" s="35"/>
      <c r="X90" s="35" t="s">
        <v>263</v>
      </c>
      <c r="Y90" s="35" t="s">
        <v>74</v>
      </c>
      <c r="Z90" s="35">
        <v>97045</v>
      </c>
      <c r="AA90" s="2" t="s">
        <v>264</v>
      </c>
    </row>
    <row r="91" spans="1:27" x14ac:dyDescent="0.25">
      <c r="B91" s="37"/>
      <c r="C91" s="37"/>
      <c r="D91" s="1"/>
      <c r="E91" s="1"/>
      <c r="F91" s="1"/>
      <c r="I91" s="23">
        <v>3459</v>
      </c>
      <c r="J91" s="74"/>
      <c r="K91" s="2" t="s">
        <v>948</v>
      </c>
      <c r="L91" s="76" t="s">
        <v>945</v>
      </c>
      <c r="M91" s="76"/>
      <c r="N91" s="2"/>
      <c r="O91" s="2"/>
      <c r="P91" s="76">
        <v>5035983100</v>
      </c>
      <c r="Q91" s="76"/>
      <c r="R91" s="2"/>
      <c r="S91" s="2"/>
      <c r="T91" s="79">
        <v>16</v>
      </c>
      <c r="U91" s="2"/>
      <c r="V91" s="2" t="s">
        <v>278</v>
      </c>
      <c r="W91" s="35"/>
      <c r="X91" s="35" t="s">
        <v>279</v>
      </c>
      <c r="Y91" s="35" t="s">
        <v>74</v>
      </c>
      <c r="Z91" s="35">
        <v>97223</v>
      </c>
      <c r="AA91" s="2" t="s">
        <v>275</v>
      </c>
    </row>
    <row r="92" spans="1:27" x14ac:dyDescent="0.25">
      <c r="B92" s="37" t="s">
        <v>1025</v>
      </c>
      <c r="C92" s="37"/>
      <c r="D92" s="1"/>
      <c r="E92" s="1"/>
      <c r="F92" s="1"/>
      <c r="I92" s="23">
        <v>3451</v>
      </c>
      <c r="J92" s="74"/>
      <c r="K92" s="2" t="s">
        <v>948</v>
      </c>
      <c r="L92" s="76" t="s">
        <v>946</v>
      </c>
      <c r="M92" s="76"/>
      <c r="N92" s="2"/>
      <c r="O92" s="2"/>
      <c r="P92" s="76">
        <v>5036767234</v>
      </c>
      <c r="Q92" s="76"/>
      <c r="R92" s="2"/>
      <c r="S92" s="2"/>
      <c r="T92" s="79">
        <v>16</v>
      </c>
      <c r="U92" s="2"/>
      <c r="V92" s="2" t="s">
        <v>881</v>
      </c>
      <c r="W92" s="35"/>
      <c r="X92" s="35" t="s">
        <v>274</v>
      </c>
      <c r="Y92" s="35" t="s">
        <v>74</v>
      </c>
      <c r="Z92" s="35">
        <v>97006</v>
      </c>
      <c r="AA92" s="2" t="s">
        <v>275</v>
      </c>
    </row>
    <row r="93" spans="1:27" x14ac:dyDescent="0.25">
      <c r="B93" s="236" t="s">
        <v>1024</v>
      </c>
      <c r="C93" s="237"/>
      <c r="D93" s="237"/>
      <c r="E93" s="237"/>
      <c r="F93" s="238"/>
      <c r="I93" s="23">
        <v>3450</v>
      </c>
      <c r="J93" s="74"/>
      <c r="K93" s="2" t="s">
        <v>948</v>
      </c>
      <c r="L93" s="76" t="s">
        <v>947</v>
      </c>
      <c r="M93" s="76"/>
      <c r="N93" s="2"/>
      <c r="O93" s="2"/>
      <c r="P93" s="76">
        <v>5036488951</v>
      </c>
      <c r="Q93" s="76"/>
      <c r="R93" s="2"/>
      <c r="S93" s="2"/>
      <c r="T93" s="79">
        <v>16</v>
      </c>
      <c r="U93" s="2"/>
      <c r="V93" s="2" t="s">
        <v>882</v>
      </c>
      <c r="W93" s="35" t="s">
        <v>195</v>
      </c>
      <c r="X93" s="35" t="s">
        <v>277</v>
      </c>
      <c r="Y93" s="35" t="s">
        <v>74</v>
      </c>
      <c r="Z93" s="35">
        <v>97124</v>
      </c>
      <c r="AA93" s="2" t="s">
        <v>275</v>
      </c>
    </row>
    <row r="94" spans="1:27" x14ac:dyDescent="0.25">
      <c r="B94" s="239"/>
      <c r="C94" s="240"/>
      <c r="D94" s="240"/>
      <c r="E94" s="240"/>
      <c r="F94" s="241"/>
    </row>
    <row r="95" spans="1:27" x14ac:dyDescent="0.25">
      <c r="B95" s="242"/>
      <c r="C95" s="243"/>
      <c r="D95" s="243"/>
      <c r="E95" s="243"/>
      <c r="F95" s="244"/>
    </row>
    <row r="96" spans="1:27" x14ac:dyDescent="0.25">
      <c r="B96" s="37"/>
      <c r="C96" s="37"/>
      <c r="D96" s="1"/>
      <c r="E96" s="1"/>
      <c r="F96" s="1"/>
    </row>
    <row r="97" spans="2:27" x14ac:dyDescent="0.25">
      <c r="B97" s="37" t="s">
        <v>1021</v>
      </c>
      <c r="C97" s="37"/>
      <c r="D97" s="1"/>
      <c r="E97" s="1"/>
      <c r="F97" s="1"/>
      <c r="I97" s="113">
        <v>451</v>
      </c>
      <c r="K97" t="s">
        <v>948</v>
      </c>
      <c r="L97" t="s">
        <v>1408</v>
      </c>
      <c r="T97" s="114">
        <v>1</v>
      </c>
      <c r="V97" t="s">
        <v>1406</v>
      </c>
      <c r="W97" t="s">
        <v>1409</v>
      </c>
      <c r="X97" t="s">
        <v>388</v>
      </c>
      <c r="Y97" t="s">
        <v>74</v>
      </c>
      <c r="Z97">
        <v>97138</v>
      </c>
      <c r="AA97" t="s">
        <v>75</v>
      </c>
    </row>
    <row r="98" spans="2:27" x14ac:dyDescent="0.25">
      <c r="B98" s="236" t="s">
        <v>1022</v>
      </c>
      <c r="C98" s="237"/>
      <c r="D98" s="237"/>
      <c r="E98" s="237"/>
      <c r="F98" s="238"/>
    </row>
    <row r="99" spans="2:27" x14ac:dyDescent="0.25">
      <c r="B99" s="239"/>
      <c r="C99" s="240"/>
      <c r="D99" s="240"/>
      <c r="E99" s="240"/>
      <c r="F99" s="241"/>
    </row>
    <row r="100" spans="2:27" x14ac:dyDescent="0.25">
      <c r="B100" s="242"/>
      <c r="C100" s="243"/>
      <c r="D100" s="243"/>
      <c r="E100" s="243"/>
      <c r="F100" s="244"/>
    </row>
    <row r="101" spans="2:27" x14ac:dyDescent="0.25">
      <c r="B101" s="1"/>
      <c r="C101" s="1"/>
      <c r="D101" s="1"/>
      <c r="E101" s="1"/>
      <c r="F101" s="1"/>
    </row>
    <row r="102" spans="2:27" x14ac:dyDescent="0.25">
      <c r="B102" s="1" t="s">
        <v>1002</v>
      </c>
      <c r="C102" s="1"/>
      <c r="D102" s="1"/>
      <c r="E102" s="1"/>
      <c r="F102" s="1"/>
    </row>
    <row r="103" spans="2:27" x14ac:dyDescent="0.25">
      <c r="B103" s="260" t="s">
        <v>1003</v>
      </c>
      <c r="C103" s="261"/>
      <c r="D103" s="261"/>
      <c r="E103" s="261"/>
      <c r="F103" s="262"/>
    </row>
    <row r="104" spans="2:27" x14ac:dyDescent="0.25">
      <c r="B104" s="263"/>
      <c r="C104" s="264"/>
      <c r="D104" s="264"/>
      <c r="E104" s="264"/>
      <c r="F104" s="265"/>
    </row>
    <row r="105" spans="2:27" x14ac:dyDescent="0.25">
      <c r="B105" s="266"/>
      <c r="C105" s="267"/>
      <c r="D105" s="267"/>
      <c r="E105" s="267"/>
      <c r="F105" s="268"/>
    </row>
    <row r="106" spans="2:27" x14ac:dyDescent="0.25">
      <c r="B106" s="1"/>
      <c r="C106" s="1"/>
      <c r="D106" s="1"/>
      <c r="E106" s="1"/>
      <c r="F106" s="1"/>
    </row>
    <row r="107" spans="2:27" x14ac:dyDescent="0.25">
      <c r="B107" s="1" t="s">
        <v>988</v>
      </c>
      <c r="C107" s="1"/>
      <c r="D107" s="1"/>
      <c r="E107" s="1"/>
      <c r="F107" s="1"/>
    </row>
    <row r="108" spans="2:27" x14ac:dyDescent="0.25">
      <c r="B108" s="260" t="s">
        <v>991</v>
      </c>
      <c r="C108" s="261"/>
      <c r="D108" s="261"/>
      <c r="E108" s="261"/>
      <c r="F108" s="262"/>
    </row>
    <row r="109" spans="2:27" x14ac:dyDescent="0.25">
      <c r="B109" s="263"/>
      <c r="C109" s="264"/>
      <c r="D109" s="264"/>
      <c r="E109" s="264"/>
      <c r="F109" s="265"/>
    </row>
    <row r="110" spans="2:27" x14ac:dyDescent="0.25">
      <c r="B110" s="263"/>
      <c r="C110" s="264"/>
      <c r="D110" s="264"/>
      <c r="E110" s="264"/>
      <c r="F110" s="265"/>
    </row>
    <row r="111" spans="2:27" x14ac:dyDescent="0.25">
      <c r="B111" s="263"/>
      <c r="C111" s="264"/>
      <c r="D111" s="264"/>
      <c r="E111" s="264"/>
      <c r="F111" s="265"/>
    </row>
    <row r="112" spans="2:27" x14ac:dyDescent="0.25">
      <c r="B112" s="266"/>
      <c r="C112" s="267"/>
      <c r="D112" s="267"/>
      <c r="E112" s="267"/>
      <c r="F112" s="268"/>
    </row>
    <row r="113" spans="2:6" x14ac:dyDescent="0.25">
      <c r="B113" s="1"/>
      <c r="C113" s="1"/>
      <c r="D113" s="1"/>
      <c r="E113" s="1"/>
      <c r="F113" s="1"/>
    </row>
    <row r="114" spans="2:6" x14ac:dyDescent="0.25">
      <c r="B114" s="1" t="s">
        <v>981</v>
      </c>
      <c r="C114" s="1"/>
      <c r="D114" s="1"/>
      <c r="E114" s="1"/>
      <c r="F114" s="1"/>
    </row>
    <row r="115" spans="2:6" x14ac:dyDescent="0.25">
      <c r="B115" s="260" t="s">
        <v>990</v>
      </c>
      <c r="C115" s="261"/>
      <c r="D115" s="261"/>
      <c r="E115" s="261"/>
      <c r="F115" s="262"/>
    </row>
    <row r="116" spans="2:6" x14ac:dyDescent="0.25">
      <c r="B116" s="263"/>
      <c r="C116" s="264"/>
      <c r="D116" s="264"/>
      <c r="E116" s="264"/>
      <c r="F116" s="265"/>
    </row>
    <row r="117" spans="2:6" x14ac:dyDescent="0.25">
      <c r="B117" s="263"/>
      <c r="C117" s="264"/>
      <c r="D117" s="264"/>
      <c r="E117" s="264"/>
      <c r="F117" s="265"/>
    </row>
    <row r="118" spans="2:6" x14ac:dyDescent="0.25">
      <c r="B118" s="266"/>
      <c r="C118" s="267"/>
      <c r="D118" s="267"/>
      <c r="E118" s="267"/>
      <c r="F118" s="268"/>
    </row>
    <row r="119" spans="2:6" x14ac:dyDescent="0.25">
      <c r="B119" s="1"/>
      <c r="C119" s="1"/>
      <c r="D119" s="1"/>
      <c r="E119" s="1"/>
      <c r="F119" s="1"/>
    </row>
    <row r="120" spans="2:6" x14ac:dyDescent="0.25">
      <c r="B120" s="1" t="s">
        <v>951</v>
      </c>
      <c r="C120" s="1"/>
      <c r="D120" s="1"/>
      <c r="E120" s="1"/>
      <c r="F120" s="1"/>
    </row>
    <row r="121" spans="2:6" x14ac:dyDescent="0.25">
      <c r="B121" s="260" t="s">
        <v>953</v>
      </c>
      <c r="C121" s="261"/>
      <c r="D121" s="261"/>
      <c r="E121" s="261"/>
      <c r="F121" s="262"/>
    </row>
    <row r="122" spans="2:6" x14ac:dyDescent="0.25">
      <c r="B122" s="263"/>
      <c r="C122" s="264"/>
      <c r="D122" s="264"/>
      <c r="E122" s="264"/>
      <c r="F122" s="265"/>
    </row>
    <row r="123" spans="2:6" x14ac:dyDescent="0.25">
      <c r="B123" s="263"/>
      <c r="C123" s="264"/>
      <c r="D123" s="264"/>
      <c r="E123" s="264"/>
      <c r="F123" s="265"/>
    </row>
    <row r="124" spans="2:6" x14ac:dyDescent="0.25">
      <c r="B124" s="263"/>
      <c r="C124" s="264"/>
      <c r="D124" s="264"/>
      <c r="E124" s="264"/>
      <c r="F124" s="265"/>
    </row>
    <row r="125" spans="2:6" x14ac:dyDescent="0.25">
      <c r="B125" s="263"/>
      <c r="C125" s="264"/>
      <c r="D125" s="264"/>
      <c r="E125" s="264"/>
      <c r="F125" s="265"/>
    </row>
    <row r="126" spans="2:6" x14ac:dyDescent="0.25">
      <c r="B126" s="263"/>
      <c r="C126" s="264"/>
      <c r="D126" s="264"/>
      <c r="E126" s="264"/>
      <c r="F126" s="265"/>
    </row>
    <row r="127" spans="2:6" x14ac:dyDescent="0.25">
      <c r="B127" s="263"/>
      <c r="C127" s="264"/>
      <c r="D127" s="264"/>
      <c r="E127" s="264"/>
      <c r="F127" s="265"/>
    </row>
    <row r="128" spans="2:6" x14ac:dyDescent="0.25">
      <c r="B128" s="263"/>
      <c r="C128" s="264"/>
      <c r="D128" s="264"/>
      <c r="E128" s="264"/>
      <c r="F128" s="265"/>
    </row>
    <row r="129" spans="2:6" x14ac:dyDescent="0.25">
      <c r="B129" s="263"/>
      <c r="C129" s="264"/>
      <c r="D129" s="264"/>
      <c r="E129" s="264"/>
      <c r="F129" s="265"/>
    </row>
    <row r="130" spans="2:6" x14ac:dyDescent="0.25">
      <c r="B130" s="263"/>
      <c r="C130" s="264"/>
      <c r="D130" s="264"/>
      <c r="E130" s="264"/>
      <c r="F130" s="265"/>
    </row>
    <row r="131" spans="2:6" x14ac:dyDescent="0.25">
      <c r="B131" s="263"/>
      <c r="C131" s="264"/>
      <c r="D131" s="264"/>
      <c r="E131" s="264"/>
      <c r="F131" s="265"/>
    </row>
    <row r="132" spans="2:6" x14ac:dyDescent="0.25">
      <c r="B132" s="263"/>
      <c r="C132" s="264"/>
      <c r="D132" s="264"/>
      <c r="E132" s="264"/>
      <c r="F132" s="265"/>
    </row>
    <row r="133" spans="2:6" x14ac:dyDescent="0.25">
      <c r="B133" s="263"/>
      <c r="C133" s="264"/>
      <c r="D133" s="264"/>
      <c r="E133" s="264"/>
      <c r="F133" s="265"/>
    </row>
    <row r="134" spans="2:6" x14ac:dyDescent="0.25">
      <c r="B134" s="263"/>
      <c r="C134" s="264"/>
      <c r="D134" s="264"/>
      <c r="E134" s="264"/>
      <c r="F134" s="265"/>
    </row>
    <row r="135" spans="2:6" x14ac:dyDescent="0.25">
      <c r="B135" s="263"/>
      <c r="C135" s="264"/>
      <c r="D135" s="264"/>
      <c r="E135" s="264"/>
      <c r="F135" s="265"/>
    </row>
    <row r="136" spans="2:6" x14ac:dyDescent="0.25">
      <c r="B136" s="266"/>
      <c r="C136" s="267"/>
      <c r="D136" s="267"/>
      <c r="E136" s="267"/>
      <c r="F136" s="268"/>
    </row>
    <row r="137" spans="2:6" x14ac:dyDescent="0.25">
      <c r="B137" s="1"/>
      <c r="C137" s="1"/>
      <c r="D137" s="1"/>
      <c r="E137" s="1"/>
      <c r="F137" s="1"/>
    </row>
    <row r="138" spans="2:6" x14ac:dyDescent="0.25">
      <c r="B138" s="1" t="s">
        <v>952</v>
      </c>
      <c r="C138" s="1"/>
      <c r="D138" s="1"/>
      <c r="E138" s="1"/>
      <c r="F138" s="1"/>
    </row>
    <row r="139" spans="2:6" x14ac:dyDescent="0.25">
      <c r="B139" s="259" t="s">
        <v>817</v>
      </c>
      <c r="C139" s="259"/>
      <c r="D139" s="259"/>
      <c r="E139" s="259"/>
      <c r="F139" s="259"/>
    </row>
    <row r="140" spans="2:6" x14ac:dyDescent="0.25">
      <c r="B140" s="259"/>
      <c r="C140" s="259"/>
      <c r="D140" s="259"/>
      <c r="E140" s="259"/>
      <c r="F140" s="259"/>
    </row>
    <row r="141" spans="2:6" x14ac:dyDescent="0.25">
      <c r="B141" s="259"/>
      <c r="C141" s="259"/>
      <c r="D141" s="259"/>
      <c r="E141" s="259"/>
      <c r="F141" s="259"/>
    </row>
    <row r="142" spans="2:6" x14ac:dyDescent="0.25">
      <c r="B142" s="259"/>
      <c r="C142" s="259"/>
      <c r="D142" s="259"/>
      <c r="E142" s="259"/>
      <c r="F142" s="259"/>
    </row>
    <row r="143" spans="2:6" x14ac:dyDescent="0.25">
      <c r="B143" s="259"/>
      <c r="C143" s="259"/>
      <c r="D143" s="259"/>
      <c r="E143" s="259"/>
      <c r="F143" s="259"/>
    </row>
    <row r="144" spans="2:6" x14ac:dyDescent="0.25">
      <c r="B144" s="84"/>
      <c r="C144" s="84"/>
      <c r="D144" s="84"/>
      <c r="E144" s="84"/>
      <c r="F144" s="84"/>
    </row>
    <row r="145" spans="2:6" x14ac:dyDescent="0.25">
      <c r="B145" s="86"/>
      <c r="C145" s="86"/>
      <c r="D145" s="86"/>
      <c r="E145" s="86"/>
      <c r="F145" s="86"/>
    </row>
    <row r="146" spans="2:6" x14ac:dyDescent="0.25">
      <c r="B146" s="86"/>
      <c r="C146" s="86"/>
      <c r="D146" s="86"/>
      <c r="E146" s="86"/>
      <c r="F146" s="86"/>
    </row>
    <row r="147" spans="2:6" x14ac:dyDescent="0.25">
      <c r="B147" s="86"/>
      <c r="C147" s="86"/>
      <c r="D147" s="86"/>
      <c r="E147" s="86"/>
      <c r="F147" s="86"/>
    </row>
    <row r="148" spans="2:6" x14ac:dyDescent="0.25">
      <c r="B148" s="86"/>
      <c r="C148" s="86"/>
      <c r="D148" s="86"/>
      <c r="E148" s="86"/>
      <c r="F148" s="86"/>
    </row>
    <row r="149" spans="2:6" x14ac:dyDescent="0.25">
      <c r="B149" s="86"/>
      <c r="C149" s="86"/>
      <c r="D149" s="86"/>
      <c r="E149" s="86"/>
      <c r="F149" s="86"/>
    </row>
    <row r="150" spans="2:6" x14ac:dyDescent="0.25">
      <c r="B150" s="86"/>
      <c r="C150" s="86"/>
      <c r="D150" s="86"/>
      <c r="E150" s="86"/>
      <c r="F150" s="86"/>
    </row>
    <row r="151" spans="2:6" x14ac:dyDescent="0.25">
      <c r="B151" s="86"/>
      <c r="C151" s="86"/>
      <c r="D151" s="86"/>
      <c r="E151" s="86"/>
      <c r="F151" s="86"/>
    </row>
    <row r="152" spans="2:6" x14ac:dyDescent="0.25">
      <c r="B152" s="86"/>
      <c r="C152" s="86"/>
      <c r="D152" s="86"/>
      <c r="E152" s="86"/>
      <c r="F152" s="86"/>
    </row>
    <row r="153" spans="2:6" x14ac:dyDescent="0.25">
      <c r="B153" s="86"/>
      <c r="C153" s="86"/>
      <c r="D153" s="86"/>
      <c r="E153" s="86"/>
      <c r="F153" s="86"/>
    </row>
    <row r="154" spans="2:6" x14ac:dyDescent="0.25">
      <c r="B154" s="86"/>
      <c r="C154" s="86"/>
      <c r="D154" s="86"/>
      <c r="E154" s="86"/>
      <c r="F154" s="86"/>
    </row>
    <row r="155" spans="2:6" x14ac:dyDescent="0.25">
      <c r="B155" s="86"/>
      <c r="C155" s="86"/>
      <c r="D155" s="86"/>
      <c r="E155" s="86"/>
      <c r="F155" s="86"/>
    </row>
    <row r="156" spans="2:6" x14ac:dyDescent="0.25">
      <c r="B156" s="86"/>
      <c r="C156" s="86"/>
      <c r="D156" s="86"/>
      <c r="E156" s="86"/>
      <c r="F156" s="86"/>
    </row>
    <row r="157" spans="2:6" x14ac:dyDescent="0.25">
      <c r="B157" s="86"/>
      <c r="C157" s="86"/>
      <c r="D157" s="86"/>
      <c r="E157" s="86"/>
      <c r="F157" s="86"/>
    </row>
    <row r="158" spans="2:6" x14ac:dyDescent="0.25">
      <c r="B158" s="86"/>
      <c r="C158" s="86"/>
      <c r="D158" s="86"/>
      <c r="E158" s="86"/>
      <c r="F158" s="86"/>
    </row>
    <row r="159" spans="2:6" x14ac:dyDescent="0.25">
      <c r="B159" s="86"/>
      <c r="C159" s="86"/>
      <c r="D159" s="86"/>
      <c r="E159" s="86"/>
      <c r="F159" s="86"/>
    </row>
    <row r="160" spans="2:6" x14ac:dyDescent="0.25">
      <c r="B160" s="86"/>
      <c r="C160" s="86"/>
      <c r="D160" s="86"/>
      <c r="E160" s="86"/>
      <c r="F160" s="86"/>
    </row>
    <row r="161" spans="2:6" x14ac:dyDescent="0.25">
      <c r="B161" s="86"/>
      <c r="C161" s="86"/>
      <c r="D161" s="86"/>
      <c r="E161" s="86"/>
      <c r="F161" s="86"/>
    </row>
    <row r="162" spans="2:6" x14ac:dyDescent="0.25">
      <c r="B162" s="86"/>
      <c r="C162" s="86"/>
      <c r="D162" s="86"/>
      <c r="E162" s="86"/>
      <c r="F162" s="86"/>
    </row>
    <row r="163" spans="2:6" x14ac:dyDescent="0.25">
      <c r="B163" s="86"/>
      <c r="C163" s="86"/>
      <c r="D163" s="86"/>
      <c r="E163" s="86"/>
      <c r="F163" s="86"/>
    </row>
    <row r="164" spans="2:6" x14ac:dyDescent="0.25">
      <c r="B164" s="86"/>
      <c r="C164" s="86"/>
      <c r="D164" s="86"/>
      <c r="E164" s="86"/>
      <c r="F164" s="86"/>
    </row>
    <row r="165" spans="2:6" x14ac:dyDescent="0.25">
      <c r="B165" s="86"/>
      <c r="C165" s="86"/>
      <c r="D165" s="86"/>
      <c r="E165" s="86"/>
      <c r="F165" s="86"/>
    </row>
    <row r="166" spans="2:6" x14ac:dyDescent="0.25">
      <c r="B166" s="86"/>
      <c r="C166" s="86"/>
      <c r="D166" s="86"/>
      <c r="E166" s="86"/>
      <c r="F166" s="86"/>
    </row>
    <row r="167" spans="2:6" x14ac:dyDescent="0.25">
      <c r="B167" s="86"/>
      <c r="C167" s="86"/>
      <c r="D167" s="86"/>
      <c r="E167" s="86"/>
      <c r="F167" s="86"/>
    </row>
    <row r="168" spans="2:6" x14ac:dyDescent="0.25">
      <c r="B168" s="86"/>
      <c r="C168" s="86"/>
      <c r="D168" s="86"/>
      <c r="E168" s="86"/>
      <c r="F168" s="86"/>
    </row>
    <row r="169" spans="2:6" x14ac:dyDescent="0.25">
      <c r="B169" s="86"/>
      <c r="C169" s="86"/>
      <c r="D169" s="86"/>
      <c r="E169" s="86"/>
      <c r="F169" s="86"/>
    </row>
    <row r="170" spans="2:6" x14ac:dyDescent="0.25">
      <c r="B170" s="86"/>
      <c r="C170" s="86"/>
      <c r="D170" s="86"/>
      <c r="E170" s="86"/>
      <c r="F170" s="86"/>
    </row>
    <row r="171" spans="2:6" x14ac:dyDescent="0.25">
      <c r="B171" s="86"/>
      <c r="C171" s="86"/>
      <c r="D171" s="86"/>
      <c r="E171" s="86"/>
      <c r="F171" s="86"/>
    </row>
    <row r="172" spans="2:6" x14ac:dyDescent="0.25">
      <c r="B172" s="86"/>
      <c r="C172" s="86"/>
      <c r="D172" s="86"/>
      <c r="E172" s="86"/>
      <c r="F172" s="86"/>
    </row>
    <row r="173" spans="2:6" x14ac:dyDescent="0.25">
      <c r="B173" s="86"/>
      <c r="C173" s="86"/>
      <c r="D173" s="86"/>
      <c r="E173" s="86"/>
      <c r="F173" s="86"/>
    </row>
    <row r="174" spans="2:6" x14ac:dyDescent="0.25">
      <c r="B174" s="86"/>
      <c r="C174" s="86"/>
      <c r="D174" s="86"/>
      <c r="E174" s="86"/>
      <c r="F174" s="86"/>
    </row>
    <row r="175" spans="2:6" x14ac:dyDescent="0.25">
      <c r="B175" s="86"/>
      <c r="C175" s="86"/>
      <c r="D175" s="86"/>
      <c r="E175" s="86"/>
      <c r="F175" s="86"/>
    </row>
    <row r="176" spans="2:6" x14ac:dyDescent="0.25">
      <c r="B176" s="86"/>
      <c r="C176" s="86"/>
      <c r="D176" s="86"/>
      <c r="E176" s="86"/>
      <c r="F176" s="86"/>
    </row>
    <row r="177" spans="2:6" x14ac:dyDescent="0.25">
      <c r="B177" s="86"/>
      <c r="C177" s="86"/>
      <c r="D177" s="86"/>
      <c r="E177" s="86"/>
      <c r="F177" s="86"/>
    </row>
    <row r="178" spans="2:6" x14ac:dyDescent="0.25">
      <c r="B178" s="86"/>
      <c r="C178" s="86"/>
      <c r="D178" s="86"/>
      <c r="E178" s="86"/>
      <c r="F178" s="86"/>
    </row>
    <row r="179" spans="2:6" x14ac:dyDescent="0.25">
      <c r="B179" s="86"/>
      <c r="C179" s="86"/>
      <c r="D179" s="86"/>
      <c r="E179" s="86"/>
      <c r="F179" s="86"/>
    </row>
    <row r="180" spans="2:6" x14ac:dyDescent="0.25">
      <c r="B180" s="86"/>
      <c r="C180" s="86"/>
      <c r="D180" s="86"/>
      <c r="E180" s="86"/>
      <c r="F180" s="86"/>
    </row>
    <row r="181" spans="2:6" x14ac:dyDescent="0.25">
      <c r="B181" s="86"/>
      <c r="C181" s="86"/>
      <c r="D181" s="86"/>
      <c r="E181" s="86"/>
      <c r="F181" s="86"/>
    </row>
    <row r="182" spans="2:6" x14ac:dyDescent="0.25">
      <c r="B182" s="86"/>
      <c r="C182" s="86"/>
      <c r="D182" s="86"/>
      <c r="E182" s="86"/>
      <c r="F182" s="86"/>
    </row>
    <row r="183" spans="2:6" x14ac:dyDescent="0.25">
      <c r="B183" s="86"/>
      <c r="C183" s="86"/>
      <c r="D183" s="86"/>
      <c r="E183" s="86"/>
      <c r="F183" s="86"/>
    </row>
    <row r="184" spans="2:6" x14ac:dyDescent="0.25">
      <c r="B184" s="86"/>
      <c r="C184" s="86"/>
      <c r="D184" s="86"/>
      <c r="E184" s="86"/>
      <c r="F184" s="86"/>
    </row>
  </sheetData>
  <mergeCells count="20">
    <mergeCell ref="B98:F100"/>
    <mergeCell ref="B139:F143"/>
    <mergeCell ref="B121:F136"/>
    <mergeCell ref="B115:F118"/>
    <mergeCell ref="B108:F112"/>
    <mergeCell ref="B103:F105"/>
    <mergeCell ref="B27:F28"/>
    <mergeCell ref="B78:F80"/>
    <mergeCell ref="B83:F85"/>
    <mergeCell ref="B88:F90"/>
    <mergeCell ref="B93:F95"/>
    <mergeCell ref="B66:F69"/>
    <mergeCell ref="B72:F75"/>
    <mergeCell ref="B31:F33"/>
    <mergeCell ref="B36:F37"/>
    <mergeCell ref="B40:F43"/>
    <mergeCell ref="B46:F47"/>
    <mergeCell ref="B50:F52"/>
    <mergeCell ref="B55:F57"/>
    <mergeCell ref="B60:F6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0E09-E27C-472C-A5F3-B7224E1FAAFA}">
  <sheetPr codeName="Sheet6"/>
  <dimension ref="A1:X888"/>
  <sheetViews>
    <sheetView workbookViewId="0">
      <selection activeCell="F3" sqref="F3"/>
    </sheetView>
  </sheetViews>
  <sheetFormatPr defaultRowHeight="15" x14ac:dyDescent="0.25"/>
  <cols>
    <col min="1" max="4" width="13.7109375" style="25" customWidth="1"/>
    <col min="5" max="5" width="16.42578125" style="25" customWidth="1"/>
    <col min="6" max="10" width="13.7109375" style="25" customWidth="1"/>
    <col min="11" max="11" width="21.140625" style="51" customWidth="1"/>
    <col min="12" max="14" width="13.7109375" style="25" customWidth="1"/>
    <col min="16" max="17" width="13.7109375" style="25" customWidth="1"/>
    <col min="18" max="18" width="19.140625" style="25" customWidth="1"/>
    <col min="19" max="23" width="13.7109375" style="25" customWidth="1"/>
    <col min="24" max="24" width="21.140625" style="25" bestFit="1" customWidth="1"/>
  </cols>
  <sheetData>
    <row r="1" spans="1:24" x14ac:dyDescent="0.25">
      <c r="D1" s="27"/>
    </row>
    <row r="2" spans="1:24" x14ac:dyDescent="0.25">
      <c r="B2" s="25" t="s">
        <v>812</v>
      </c>
      <c r="C2" s="25" t="str">
        <f>IF('ZIPs &amp; FIPs'!$F$7="","",""&amp;COUNT(B7:B70)&amp;" Result"&amp;IF(COUNT(B7:B70)=1,"","s")&amp;"")</f>
        <v/>
      </c>
      <c r="D2" s="28"/>
      <c r="E2" s="25" t="s">
        <v>813</v>
      </c>
      <c r="F2" s="25" t="s">
        <v>1567</v>
      </c>
      <c r="Q2" s="25" t="s">
        <v>725</v>
      </c>
      <c r="S2" s="25" t="str">
        <f>"Highest: "&amp;MAX(S4:S381)&amp;""</f>
        <v>Highest: 59</v>
      </c>
      <c r="T2" s="25" t="str">
        <f>"Highest: "&amp;MAX(T4:T381)&amp;""</f>
        <v>Highest: 59</v>
      </c>
    </row>
    <row r="3" spans="1:24" ht="34.5" x14ac:dyDescent="0.25">
      <c r="B3" s="59" t="s">
        <v>803</v>
      </c>
      <c r="C3" s="59" t="s">
        <v>313</v>
      </c>
      <c r="D3" s="59" t="s">
        <v>310</v>
      </c>
      <c r="E3" s="59" t="s">
        <v>311</v>
      </c>
      <c r="F3" s="59" t="s">
        <v>312</v>
      </c>
      <c r="G3" s="57" t="s">
        <v>1207</v>
      </c>
      <c r="J3" s="57" t="s">
        <v>310</v>
      </c>
      <c r="K3" s="58" t="s">
        <v>311</v>
      </c>
      <c r="L3" s="57" t="s">
        <v>312</v>
      </c>
      <c r="M3" s="57" t="s">
        <v>313</v>
      </c>
      <c r="N3" s="57" t="s">
        <v>1207</v>
      </c>
      <c r="P3" s="57" t="s">
        <v>802</v>
      </c>
      <c r="Q3" s="57" t="s">
        <v>20</v>
      </c>
      <c r="R3" s="57" t="s">
        <v>17</v>
      </c>
      <c r="S3" s="70" t="s">
        <v>801</v>
      </c>
      <c r="T3" s="70" t="s">
        <v>800</v>
      </c>
    </row>
    <row r="4" spans="1:24" x14ac:dyDescent="0.25">
      <c r="B4" s="57"/>
      <c r="C4" s="57" t="s">
        <v>723</v>
      </c>
      <c r="D4" s="57" t="s">
        <v>724</v>
      </c>
      <c r="E4" s="57" t="s">
        <v>23</v>
      </c>
      <c r="F4" s="57" t="s">
        <v>24</v>
      </c>
      <c r="G4" s="57" t="s">
        <v>25</v>
      </c>
      <c r="J4" s="57" t="s">
        <v>723</v>
      </c>
      <c r="K4" s="57" t="s">
        <v>724</v>
      </c>
      <c r="L4" s="57" t="s">
        <v>23</v>
      </c>
      <c r="M4" s="57" t="s">
        <v>24</v>
      </c>
      <c r="N4" s="57" t="s">
        <v>25</v>
      </c>
      <c r="P4" s="57" t="s">
        <v>17</v>
      </c>
      <c r="Q4" s="60" t="s">
        <v>234</v>
      </c>
      <c r="R4" s="58" t="s">
        <v>627</v>
      </c>
      <c r="S4" s="25">
        <f t="shared" ref="S4:S67" si="0">COUNTIF($L$12:$L$499,Q4)</f>
        <v>11</v>
      </c>
      <c r="T4" s="25">
        <f t="shared" ref="T4:T35" si="1">COUNTIF($K$12:$K$499,R4)</f>
        <v>1</v>
      </c>
      <c r="W4" s="30" t="s">
        <v>310</v>
      </c>
      <c r="X4" s="52" t="s">
        <v>17</v>
      </c>
    </row>
    <row r="5" spans="1:24" x14ac:dyDescent="0.25">
      <c r="B5" s="57"/>
      <c r="C5" s="59" t="str">
        <f>IF(ISNA(VLOOKUP('ZIPs &amp; FIPs'!$H$5,$J$12:$M$499,4,FALSE))=TRUE,"",VLOOKUP('ZIPs &amp; FIPs'!$H$5,$J$12:$M$499,4,FALSE))</f>
        <v/>
      </c>
      <c r="D5" s="59" t="str">
        <f>IF(ISNA(VLOOKUP('ZIPs &amp; FIPs'!$H$5,$J$12:$M$499,1,FALSE))=TRUE,"",VLOOKUP('ZIPs &amp; FIPs'!$H$5,$J$12:$M$499,1,FALSE))</f>
        <v/>
      </c>
      <c r="E5" s="59" t="str">
        <f>IF(ISNA(VLOOKUP('ZIPs &amp; FIPs'!$H$5,$J$12:$M$499,2,FALSE))=TRUE,"",VLOOKUP('ZIPs &amp; FIPs'!$H$5,$J$12:$M$499,2,FALSE))</f>
        <v/>
      </c>
      <c r="F5" s="59" t="str">
        <f>IF(ISNA(VLOOKUP('ZIPs &amp; FIPs'!$H$5,$J$12:$M$499,3,FALSE))=TRUE,"",VLOOKUP('ZIPs &amp; FIPs'!$H$5,$J$12:$M$499,3,FALSE))</f>
        <v/>
      </c>
      <c r="G5" s="59" t="str">
        <f>IF(ISNA(VLOOKUP('ZIPs &amp; FIPs'!$H$5,$J$12:$N$499,3,FALSE))=TRUE,"",VLOOKUP('ZIPs &amp; FIPs'!$H$5,$J$12:$N$499,5,FALSE))</f>
        <v/>
      </c>
      <c r="J5" s="57"/>
      <c r="K5" s="58"/>
      <c r="L5" s="57"/>
      <c r="M5" s="59" t="str">
        <f>IF(ISNA(VLOOKUP('ZIPs &amp; FIPs'!$H$7,$L$12:$M$499,2,FALSE))=TRUE,"",VLOOKUP('ZIPs &amp; FIPs'!$H$7,$L$12:$M$499,2,FALSE))</f>
        <v/>
      </c>
      <c r="N5" s="59"/>
      <c r="P5" s="57" t="s">
        <v>20</v>
      </c>
      <c r="Q5" s="60" t="s">
        <v>132</v>
      </c>
      <c r="R5" s="58" t="s">
        <v>505</v>
      </c>
      <c r="S5" s="25">
        <f t="shared" si="0"/>
        <v>8</v>
      </c>
      <c r="T5" s="25">
        <f t="shared" si="1"/>
        <v>1</v>
      </c>
      <c r="V5" s="25">
        <f t="shared" ref="V5:V68" si="2">COUNTIF($W$5:$W$485,W5)</f>
        <v>1</v>
      </c>
      <c r="W5" s="46">
        <v>97001</v>
      </c>
      <c r="X5" s="50" t="s">
        <v>645</v>
      </c>
    </row>
    <row r="6" spans="1:24" x14ac:dyDescent="0.25">
      <c r="D6" s="28"/>
      <c r="J6" s="56"/>
      <c r="Q6" s="60" t="s">
        <v>264</v>
      </c>
      <c r="R6" s="58" t="s">
        <v>569</v>
      </c>
      <c r="S6" s="25">
        <f t="shared" si="0"/>
        <v>26</v>
      </c>
      <c r="T6" s="25">
        <f t="shared" si="1"/>
        <v>1</v>
      </c>
      <c r="V6" s="25">
        <f t="shared" si="2"/>
        <v>1</v>
      </c>
      <c r="W6" s="46">
        <v>97002</v>
      </c>
      <c r="X6" s="50" t="s">
        <v>581</v>
      </c>
    </row>
    <row r="7" spans="1:24" x14ac:dyDescent="0.25">
      <c r="A7" s="25">
        <v>1</v>
      </c>
      <c r="B7" s="59" t="str">
        <f>IF('ZIPs &amp; FIPs'!$H$7&lt;&gt;"",IF(AND('ZIPs &amp; FIPs'!$F$7="County",ISNA(ROW(INDEX($K$12:$M$500,MATCH('ZIPs &amp; FIPs'!$H$7,$L$12:$L$500,0),2)))=FALSE),ROW(INDEX($K$12:$M$500,MATCH('ZIPs &amp; FIPs'!$H$7,$L$12:$L$500,0),2)),IF(AND('ZIPs &amp; FIPs'!$F$7="City",ISNA(ROW(INDEX($K$12:$M$500,MATCH('ZIPs &amp; FIPs'!$H$7,$K$12:$K$500,0),1)))=FALSE),ROW(INDEX($K$12:$M$500,MATCH('ZIPs &amp; FIPs'!$H$7,$K$12:$K$500,0),1)),"")),"")</f>
        <v/>
      </c>
      <c r="C7" s="59" t="str">
        <f>IF('ZIPs &amp; FIPs'!$H$7&lt;&gt;"",IF(AND('ZIPs &amp; FIPs'!$F$7="County",ISNA(INDEX($K$12:$M$500,MATCH('ZIPs &amp; FIPs'!$H$7,$L$12:$L$500,0),3))=FALSE),INDEX($K$12:$M$500,MATCH('ZIPs &amp; FIPs'!$H$7,$L$12:$L$500,0),3),IF(AND('ZIPs &amp; FIPs'!$F$7="City",ISNA(INDEX($K$12:$M$500,MATCH('ZIPs &amp; FIPs'!$H$7,$K$12:$K$500,0),3))=FALSE),INDEX($K$12:$M$500,MATCH('ZIPs &amp; FIPs'!$H$7,$K$12:$K$500,0),3),"")),"")</f>
        <v/>
      </c>
      <c r="D7" s="59" t="str">
        <f>IF('ZIPs &amp; FIPs'!$H$7&lt;&gt;"",IF(AND('ZIPs &amp; FIPs'!$F$7="County",ISNA(INDEX($J$12:$M$500,MATCH('ZIPs &amp; FIPs'!$H$7,$L$12:$L$500,0),1))=FALSE),INDEX($J$12:$M$500,MATCH('ZIPs &amp; FIPs'!$H$7,$L$12:$L$500,0),1),IF(AND('ZIPs &amp; FIPs'!$F$7="City",ISNA(INDEX($J$12:$M$500,MATCH('ZIPs &amp; FIPs'!$H$7,$K$12:$K$500,0),1))=FALSE),INDEX($J$12:$M$500,MATCH('ZIPs &amp; FIPs'!$H$7,$K$12:$K$500,0),1),"")),"")</f>
        <v/>
      </c>
      <c r="E7" s="59" t="str">
        <f>IF('ZIPs &amp; FIPs'!$H$7&lt;&gt;"",IF(AND('ZIPs &amp; FIPs'!$F$7="County",ISNA(INDEX($K$12:$M$500,MATCH('ZIPs &amp; FIPs'!$H$7,$L$12:$L$500,0),1))=FALSE),INDEX($K$12:$M$500,MATCH('ZIPs &amp; FIPs'!$H$7,$L$12:$L$500,0),1),IF(AND('ZIPs &amp; FIPs'!$F$7="City",ISNA(INDEX($K$12:$M$500,MATCH('ZIPs &amp; FIPs'!$H$7,$K$12:$K$500,0),1))=FALSE),INDEX($K$12:$M$500,MATCH('ZIPs &amp; FIPs'!$H$7,$K$12:$K$500,0),1),"")),"")</f>
        <v/>
      </c>
      <c r="F7" s="59" t="str">
        <f>IF('ZIPs &amp; FIPs'!$H$7&lt;&gt;"",IF(AND('ZIPs &amp; FIPs'!$F$7="County",ISNA(INDEX($K$12:$M$500,MATCH('ZIPs &amp; FIPs'!$H$7,$L$12:$L$500,0),2))=FALSE),INDEX($K$12:$M$500,MATCH('ZIPs &amp; FIPs'!$H$7,$L$12:$L$500,0),2),IF(AND('ZIPs &amp; FIPs'!$F$7="City",ISNA(INDEX($K$12:$M$500,MATCH('ZIPs &amp; FIPs'!$H$7,$K$12:$K$500,0),2))=FALSE),INDEX($K$12:$M$500,MATCH('ZIPs &amp; FIPs'!$H$7,$K$12:$K$500,0),2),"")),"")</f>
        <v/>
      </c>
      <c r="Q7" s="60" t="s">
        <v>75</v>
      </c>
      <c r="R7" s="58" t="s">
        <v>409</v>
      </c>
      <c r="S7" s="25">
        <f t="shared" si="0"/>
        <v>7</v>
      </c>
      <c r="T7" s="25">
        <f t="shared" si="1"/>
        <v>1</v>
      </c>
      <c r="V7" s="25">
        <f t="shared" si="2"/>
        <v>1</v>
      </c>
      <c r="W7" s="46">
        <v>97004</v>
      </c>
      <c r="X7" s="50" t="s">
        <v>356</v>
      </c>
    </row>
    <row r="8" spans="1:24" x14ac:dyDescent="0.25">
      <c r="A8" s="25">
        <v>2</v>
      </c>
      <c r="B8" s="59" t="str">
        <f ca="1">IFERROR(IF('ZIPs &amp; FIPs'!$H$7&lt;&gt;"",IF(AND('ZIPs &amp; FIPs'!$F$7="County",ISNA(ROW(INDEX(INDIRECT("K"&amp;B7+1):$M$500,MATCH('ZIPs &amp; FIPs'!$H$7,INDIRECT("L"&amp;B7+1):$L$500,0),2)))=FALSE),ROW(INDEX(INDIRECT("K"&amp;B7+1):$M$500,MATCH('ZIPs &amp; FIPs'!$H$7,INDIRECT("L"&amp;B7+1):$L$500,0),2)),IF(AND('ZIPs &amp; FIPs'!$F$7="City",ISNA(ROW(INDEX(INDIRECT("K"&amp;B7+1):$M$500,MATCH('ZIPs &amp; FIPs'!$H$7,INDIRECT("K"&amp;B7+1):$K$500,0),1)))=FALSE),ROW(INDEX(INDIRECT("K"&amp;B7+1):$M$500,MATCH('ZIPs &amp; FIPs'!$H$7,INDIRECT("K"&amp;B7+1):$K$500,0),1)),"")),""),"")</f>
        <v/>
      </c>
      <c r="C8" s="59" t="str">
        <f ca="1">IF(B8&lt;&gt;"",IF('ZIPs &amp; FIPs'!$H$7&lt;&gt;"",IF(AND('ZIPs &amp; FIPs'!$F$7="County",ISNA(INDEX(INDIRECT("K"&amp;B8):$M$500,MATCH('ZIPs &amp; FIPs'!$H$7,INDIRECT("L"&amp;B8):$L$500,0),3))=FALSE),INDEX(INDIRECT("K"&amp;B8):$M$500,MATCH('ZIPs &amp; FIPs'!$H$7,INDIRECT("L"&amp;B8):$L$500,0),3),IF(AND('ZIPs &amp; FIPs'!$F$7="City",ISNA(INDEX(INDIRECT("K"&amp;B8):$M$500,MATCH('ZIPs &amp; FIPs'!$H$7,INDIRECT("K"&amp;B8):$K$500,0),3))=FALSE),INDEX(INDIRECT("K"&amp;B8):$M$500,MATCH('ZIPs &amp; FIPs'!$H$7,INDIRECT("K"&amp;B8):$K$500,0),3),""))),"")</f>
        <v/>
      </c>
      <c r="D8" s="59" t="str">
        <f ca="1">IF(B8&lt;&gt;"",IF('ZIPs &amp; FIPs'!$H$7&lt;&gt;"",IF(AND('ZIPs &amp; FIPs'!$F$7="County",ISNA(INDEX(INDIRECT("J"&amp;B8):$M$500,MATCH('ZIPs &amp; FIPs'!$H$7,INDIRECT("L"&amp;B8):$L$500,0),1))=FALSE),INDEX(INDIRECT("J"&amp;B8):$M$500,MATCH('ZIPs &amp; FIPs'!$H$7,INDIRECT("L"&amp;B8):$L$500,0),1),IF(AND('ZIPs &amp; FIPs'!$F$7="City",ISNA(INDEX(INDIRECT("J"&amp;B8):$M$500,MATCH('ZIPs &amp; FIPs'!$H$7,INDIRECT("K"&amp;B8):$K$500,0),1))=FALSE),INDEX(INDIRECT("J"&amp;B8):$M$500,MATCH('ZIPs &amp; FIPs'!$H$7,INDIRECT("K"&amp;B8):$K$500,0),1),""))),"")</f>
        <v/>
      </c>
      <c r="E8" s="59" t="str">
        <f ca="1">IF(B8&lt;&gt;"",IF('ZIPs &amp; FIPs'!$H$7&lt;&gt;"",IF(AND('ZIPs &amp; FIPs'!$F$7="County",ISNA(INDEX(INDIRECT("K"&amp;B8):$M$500,MATCH('ZIPs &amp; FIPs'!$H$7,INDIRECT("L"&amp;B8):$L$500,0),1))=FALSE),INDEX(INDIRECT("K"&amp;B8):$M$500,MATCH('ZIPs &amp; FIPs'!$H$7,INDIRECT("L"&amp;B8):$L$500,0),1),IF(AND('ZIPs &amp; FIPs'!$F$7="City",ISNA(INDEX(INDIRECT("K"&amp;B8):$M$500,MATCH('ZIPs &amp; FIPs'!$H$7,INDIRECT("K"&amp;B8):$K$500,0),1))=FALSE),INDEX(INDIRECT("K"&amp;B8):$M$500,MATCH('ZIPs &amp; FIPs'!$H$7,INDIRECT("K"&amp;B8):$K$500,0),1),""))),"")</f>
        <v/>
      </c>
      <c r="F8" s="59" t="str">
        <f ca="1">IF(B8&lt;&gt;"",IF('ZIPs &amp; FIPs'!$H$7&lt;&gt;"",IF(AND('ZIPs &amp; FIPs'!$F$7="County",ISNA(INDEX(INDIRECT("K"&amp;B8):$M$500,MATCH('ZIPs &amp; FIPs'!$H$7,INDIRECT("L"&amp;B8):$L$500,0),2))=FALSE),INDEX(INDIRECT("K"&amp;B8):$M$500,MATCH('ZIPs &amp; FIPs'!$H$7,INDIRECT("L"&amp;B8):$L$500,0),2),IF(AND('ZIPs &amp; FIPs'!$F$7="City",ISNA(INDEX(INDIRECT("K"&amp;B8):$M$500,MATCH('ZIPs &amp; FIPs'!$H$7,INDIRECT("K"&amp;B8):$K$500,0),2))=FALSE),INDEX(INDIRECT("K"&amp;B8):$M$500,MATCH('ZIPs &amp; FIPs'!$H$7,INDIRECT("K"&amp;B8):$K$500,0),2),""))),"")</f>
        <v/>
      </c>
      <c r="Q8" s="60" t="s">
        <v>88</v>
      </c>
      <c r="R8" s="58" t="s">
        <v>139</v>
      </c>
      <c r="S8" s="25">
        <f t="shared" si="0"/>
        <v>8</v>
      </c>
      <c r="T8" s="25">
        <f t="shared" si="1"/>
        <v>1</v>
      </c>
      <c r="V8" s="25">
        <f t="shared" si="2"/>
        <v>1</v>
      </c>
      <c r="W8" s="46">
        <v>97005</v>
      </c>
      <c r="X8" s="50" t="s">
        <v>274</v>
      </c>
    </row>
    <row r="9" spans="1:24" x14ac:dyDescent="0.25">
      <c r="A9" s="25">
        <v>3</v>
      </c>
      <c r="B9" s="59" t="str">
        <f ca="1">IFERROR(IF('ZIPs &amp; FIPs'!$H$7&lt;&gt;"",IF(AND('ZIPs &amp; FIPs'!$F$7="County",ISNA(ROW(INDEX(INDIRECT("K"&amp;B8+1):$M$500,MATCH('ZIPs &amp; FIPs'!$H$7,INDIRECT("L"&amp;B8+1):$L$500,0),2)))=FALSE),ROW(INDEX(INDIRECT("K"&amp;B8+1):$M$500,MATCH('ZIPs &amp; FIPs'!$H$7,INDIRECT("L"&amp;B8+1):$L$500,0),2)),IF(AND('ZIPs &amp; FIPs'!$F$7="City",ISNA(ROW(INDEX(INDIRECT("K"&amp;B8+1):$M$500,MATCH('ZIPs &amp; FIPs'!$H$7,INDIRECT("K"&amp;B8+1):$K$500,0),1)))=FALSE),ROW(INDEX(INDIRECT("K"&amp;B8+1):$M$500,MATCH('ZIPs &amp; FIPs'!$H$7,INDIRECT("K"&amp;B8+1):$K$500,0),1)),"")),""),"")</f>
        <v/>
      </c>
      <c r="C9" s="59" t="str">
        <f ca="1">IF(B9&lt;&gt;"",IF('ZIPs &amp; FIPs'!$H$7&lt;&gt;"",IF(AND('ZIPs &amp; FIPs'!$F$7="County",ISNA(INDEX(INDIRECT("K"&amp;B9):$M$500,MATCH('ZIPs &amp; FIPs'!$H$7,INDIRECT("L"&amp;B9):$L$500,0),3))=FALSE),INDEX(INDIRECT("K"&amp;B9):$M$500,MATCH('ZIPs &amp; FIPs'!$H$7,INDIRECT("L"&amp;B9):$L$500,0),3),IF(AND('ZIPs &amp; FIPs'!$F$7="City",ISNA(INDEX(INDIRECT("K"&amp;B9):$M$500,MATCH('ZIPs &amp; FIPs'!$H$7,INDIRECT("K"&amp;B9):$K$500,0),3))=FALSE),INDEX(INDIRECT("K"&amp;B9):$M$500,MATCH('ZIPs &amp; FIPs'!$H$7,INDIRECT("K"&amp;B9):$K$500,0),3),""))),"")</f>
        <v/>
      </c>
      <c r="D9" s="59" t="str">
        <f ca="1">IF(B9&lt;&gt;"",IF('ZIPs &amp; FIPs'!$H$7&lt;&gt;"",IF(AND('ZIPs &amp; FIPs'!$F$7="County",ISNA(INDEX(INDIRECT("J"&amp;B9):$M$500,MATCH('ZIPs &amp; FIPs'!$H$7,INDIRECT("L"&amp;B9):$L$500,0),1))=FALSE),INDEX(INDIRECT("J"&amp;B9):$M$500,MATCH('ZIPs &amp; FIPs'!$H$7,INDIRECT("L"&amp;B9):$L$500,0),1),IF(AND('ZIPs &amp; FIPs'!$F$7="City",ISNA(INDEX(INDIRECT("J"&amp;B9):$M$500,MATCH('ZIPs &amp; FIPs'!$H$7,INDIRECT("K"&amp;B9):$K$500,0),1))=FALSE),INDEX(INDIRECT("J"&amp;B9):$M$500,MATCH('ZIPs &amp; FIPs'!$H$7,INDIRECT("K"&amp;B9):$K$500,0),1),""))),"")</f>
        <v/>
      </c>
      <c r="E9" s="59" t="str">
        <f ca="1">IF(B9&lt;&gt;"",IF('ZIPs &amp; FIPs'!$H$7&lt;&gt;"",IF(AND('ZIPs &amp; FIPs'!$F$7="County",ISNA(INDEX(INDIRECT("K"&amp;B9):$M$500,MATCH('ZIPs &amp; FIPs'!$H$7,INDIRECT("L"&amp;B9):$L$500,0),1))=FALSE),INDEX(INDIRECT("K"&amp;B9):$M$500,MATCH('ZIPs &amp; FIPs'!$H$7,INDIRECT("L"&amp;B9):$L$500,0),1),IF(AND('ZIPs &amp; FIPs'!$F$7="City",ISNA(INDEX(INDIRECT("K"&amp;B9):$M$500,MATCH('ZIPs &amp; FIPs'!$H$7,INDIRECT("K"&amp;B9):$K$500,0),1))=FALSE),INDEX(INDIRECT("K"&amp;B9):$M$500,MATCH('ZIPs &amp; FIPs'!$H$7,INDIRECT("K"&amp;B9):$K$500,0),1),""))),"")</f>
        <v/>
      </c>
      <c r="F9" s="59" t="str">
        <f ca="1">IF(B9&lt;&gt;"",IF('ZIPs &amp; FIPs'!$H$7&lt;&gt;"",IF(AND('ZIPs &amp; FIPs'!$F$7="County",ISNA(INDEX(INDIRECT("K"&amp;B9):$M$500,MATCH('ZIPs &amp; FIPs'!$H$7,INDIRECT("L"&amp;B9):$L$500,0),2))=FALSE),INDEX(INDIRECT("K"&amp;B9):$M$500,MATCH('ZIPs &amp; FIPs'!$H$7,INDIRECT("L"&amp;B9):$L$500,0),2),IF(AND('ZIPs &amp; FIPs'!$F$7="City",ISNA(INDEX(INDIRECT("K"&amp;B9):$M$500,MATCH('ZIPs &amp; FIPs'!$H$7,INDIRECT("K"&amp;B9):$K$500,0),2))=FALSE),INDEX(INDIRECT("K"&amp;B9):$M$500,MATCH('ZIPs &amp; FIPs'!$H$7,INDIRECT("K"&amp;B9):$K$500,0),2),""))),"")</f>
        <v/>
      </c>
      <c r="Q9" s="60" t="s">
        <v>165</v>
      </c>
      <c r="R9" s="58" t="s">
        <v>398</v>
      </c>
      <c r="S9" s="25">
        <f t="shared" si="0"/>
        <v>9</v>
      </c>
      <c r="T9" s="25">
        <f t="shared" si="1"/>
        <v>1</v>
      </c>
      <c r="V9" s="25">
        <f t="shared" si="2"/>
        <v>1</v>
      </c>
      <c r="W9" s="46">
        <v>97006</v>
      </c>
      <c r="X9" s="50" t="s">
        <v>274</v>
      </c>
    </row>
    <row r="10" spans="1:24" x14ac:dyDescent="0.25">
      <c r="A10" s="25">
        <v>4</v>
      </c>
      <c r="B10" s="59" t="str">
        <f ca="1">IFERROR(IF('ZIPs &amp; FIPs'!$H$7&lt;&gt;"",IF(AND('ZIPs &amp; FIPs'!$F$7="County",ISNA(ROW(INDEX(INDIRECT("K"&amp;B9+1):$M$500,MATCH('ZIPs &amp; FIPs'!$H$7,INDIRECT("L"&amp;B9+1):$L$500,0),2)))=FALSE),ROW(INDEX(INDIRECT("K"&amp;B9+1):$M$500,MATCH('ZIPs &amp; FIPs'!$H$7,INDIRECT("L"&amp;B9+1):$L$500,0),2)),IF(AND('ZIPs &amp; FIPs'!$F$7="City",ISNA(ROW(INDEX(INDIRECT("K"&amp;B9+1):$M$500,MATCH('ZIPs &amp; FIPs'!$H$7,INDIRECT("K"&amp;B9+1):$K$500,0),1)))=FALSE),ROW(INDEX(INDIRECT("K"&amp;B9+1):$M$500,MATCH('ZIPs &amp; FIPs'!$H$7,INDIRECT("K"&amp;B9+1):$K$500,0),1)),"")),""),"")</f>
        <v/>
      </c>
      <c r="C10" s="59" t="str">
        <f ca="1">IF(B10&lt;&gt;"",IF('ZIPs &amp; FIPs'!$H$7&lt;&gt;"",IF(AND('ZIPs &amp; FIPs'!$F$7="County",ISNA(INDEX(INDIRECT("K"&amp;B10):$M$500,MATCH('ZIPs &amp; FIPs'!$H$7,INDIRECT("L"&amp;B10):$L$500,0),3))=FALSE),INDEX(INDIRECT("K"&amp;B10):$M$500,MATCH('ZIPs &amp; FIPs'!$H$7,INDIRECT("L"&amp;B10):$L$500,0),3),IF(AND('ZIPs &amp; FIPs'!$F$7="City",ISNA(INDEX(INDIRECT("K"&amp;B10):$M$500,MATCH('ZIPs &amp; FIPs'!$H$7,INDIRECT("K"&amp;B10):$K$500,0),3))=FALSE),INDEX(INDIRECT("K"&amp;B10):$M$500,MATCH('ZIPs &amp; FIPs'!$H$7,INDIRECT("K"&amp;B10):$K$500,0),3),""))),"")</f>
        <v/>
      </c>
      <c r="D10" s="59" t="str">
        <f ca="1">IF(B10&lt;&gt;"",IF('ZIPs &amp; FIPs'!$H$7&lt;&gt;"",IF(AND('ZIPs &amp; FIPs'!$F$7="County",ISNA(INDEX(INDIRECT("J"&amp;B10):$M$500,MATCH('ZIPs &amp; FIPs'!$H$7,INDIRECT("L"&amp;B10):$L$500,0),1))=FALSE),INDEX(INDIRECT("J"&amp;B10):$M$500,MATCH('ZIPs &amp; FIPs'!$H$7,INDIRECT("L"&amp;B10):$L$500,0),1),IF(AND('ZIPs &amp; FIPs'!$F$7="City",ISNA(INDEX(INDIRECT("J"&amp;B10):$M$500,MATCH('ZIPs &amp; FIPs'!$H$7,INDIRECT("K"&amp;B10):$K$500,0),1))=FALSE),INDEX(INDIRECT("J"&amp;B10):$M$500,MATCH('ZIPs &amp; FIPs'!$H$7,INDIRECT("K"&amp;B10):$K$500,0),1),""))),"")</f>
        <v/>
      </c>
      <c r="E10" s="59" t="str">
        <f ca="1">IF(B10&lt;&gt;"",IF('ZIPs &amp; FIPs'!$H$7&lt;&gt;"",IF(AND('ZIPs &amp; FIPs'!$F$7="County",ISNA(INDEX(INDIRECT("K"&amp;B10):$M$500,MATCH('ZIPs &amp; FIPs'!$H$7,INDIRECT("L"&amp;B10):$L$500,0),1))=FALSE),INDEX(INDIRECT("K"&amp;B10):$M$500,MATCH('ZIPs &amp; FIPs'!$H$7,INDIRECT("L"&amp;B10):$L$500,0),1),IF(AND('ZIPs &amp; FIPs'!$F$7="City",ISNA(INDEX(INDIRECT("K"&amp;B10):$M$500,MATCH('ZIPs &amp; FIPs'!$H$7,INDIRECT("K"&amp;B10):$K$500,0),1))=FALSE),INDEX(INDIRECT("K"&amp;B10):$M$500,MATCH('ZIPs &amp; FIPs'!$H$7,INDIRECT("K"&amp;B10):$K$500,0),1),""))),"")</f>
        <v/>
      </c>
      <c r="F10" s="59" t="str">
        <f ca="1">IF(B10&lt;&gt;"",IF('ZIPs &amp; FIPs'!$H$7&lt;&gt;"",IF(AND('ZIPs &amp; FIPs'!$F$7="County",ISNA(INDEX(INDIRECT("K"&amp;B10):$M$500,MATCH('ZIPs &amp; FIPs'!$H$7,INDIRECT("L"&amp;B10):$L$500,0),2))=FALSE),INDEX(INDIRECT("K"&amp;B10):$M$500,MATCH('ZIPs &amp; FIPs'!$H$7,INDIRECT("L"&amp;B10):$L$500,0),2),IF(AND('ZIPs &amp; FIPs'!$F$7="City",ISNA(INDEX(INDIRECT("K"&amp;B10):$M$500,MATCH('ZIPs &amp; FIPs'!$H$7,INDIRECT("K"&amp;B10):$K$500,0),2))=FALSE),INDEX(INDIRECT("K"&amp;B10):$M$500,MATCH('ZIPs &amp; FIPs'!$H$7,INDIRECT("K"&amp;B10):$K$500,0),2),""))),"")</f>
        <v/>
      </c>
      <c r="Q10" s="60" t="s">
        <v>208</v>
      </c>
      <c r="R10" s="58" t="s">
        <v>343</v>
      </c>
      <c r="S10" s="25">
        <f t="shared" si="0"/>
        <v>4</v>
      </c>
      <c r="T10" s="25">
        <f t="shared" si="1"/>
        <v>1</v>
      </c>
      <c r="V10" s="25">
        <f t="shared" si="2"/>
        <v>1</v>
      </c>
      <c r="W10" s="46">
        <v>97007</v>
      </c>
      <c r="X10" s="50" t="s">
        <v>274</v>
      </c>
    </row>
    <row r="11" spans="1:24" x14ac:dyDescent="0.25">
      <c r="A11" s="25">
        <v>5</v>
      </c>
      <c r="B11" s="59" t="str">
        <f ca="1">IFERROR(IF('ZIPs &amp; FIPs'!$H$7&lt;&gt;"",IF(AND('ZIPs &amp; FIPs'!$F$7="County",ISNA(ROW(INDEX(INDIRECT("K"&amp;B10+1):$M$500,MATCH('ZIPs &amp; FIPs'!$H$7,INDIRECT("L"&amp;B10+1):$L$500,0),2)))=FALSE),ROW(INDEX(INDIRECT("K"&amp;B10+1):$M$500,MATCH('ZIPs &amp; FIPs'!$H$7,INDIRECT("L"&amp;B10+1):$L$500,0),2)),IF(AND('ZIPs &amp; FIPs'!$F$7="City",ISNA(ROW(INDEX(INDIRECT("K"&amp;B10+1):$M$500,MATCH('ZIPs &amp; FIPs'!$H$7,INDIRECT("K"&amp;B10+1):$K$500,0),1)))=FALSE),ROW(INDEX(INDIRECT("K"&amp;B10+1):$M$500,MATCH('ZIPs &amp; FIPs'!$H$7,INDIRECT("K"&amp;B10+1):$K$500,0),1)),"")),""),"")</f>
        <v/>
      </c>
      <c r="C11" s="59" t="str">
        <f ca="1">IF(B11&lt;&gt;"",IF('ZIPs &amp; FIPs'!$H$7&lt;&gt;"",IF(AND('ZIPs &amp; FIPs'!$F$7="County",ISNA(INDEX(INDIRECT("K"&amp;B11):$M$500,MATCH('ZIPs &amp; FIPs'!$H$7,INDIRECT("L"&amp;B11):$L$500,0),3))=FALSE),INDEX(INDIRECT("K"&amp;B11):$M$500,MATCH('ZIPs &amp; FIPs'!$H$7,INDIRECT("L"&amp;B11):$L$500,0),3),IF(AND('ZIPs &amp; FIPs'!$F$7="City",ISNA(INDEX(INDIRECT("K"&amp;B11):$M$500,MATCH('ZIPs &amp; FIPs'!$H$7,INDIRECT("K"&amp;B11):$K$500,0),3))=FALSE),INDEX(INDIRECT("K"&amp;B11):$M$500,MATCH('ZIPs &amp; FIPs'!$H$7,INDIRECT("K"&amp;B11):$K$500,0),3),""))),"")</f>
        <v/>
      </c>
      <c r="D11" s="59" t="str">
        <f ca="1">IF(B11&lt;&gt;"",IF('ZIPs &amp; FIPs'!$H$7&lt;&gt;"",IF(AND('ZIPs &amp; FIPs'!$F$7="County",ISNA(INDEX(INDIRECT("J"&amp;B11):$M$500,MATCH('ZIPs &amp; FIPs'!$H$7,INDIRECT("L"&amp;B11):$L$500,0),1))=FALSE),INDEX(INDIRECT("J"&amp;B11):$M$500,MATCH('ZIPs &amp; FIPs'!$H$7,INDIRECT("L"&amp;B11):$L$500,0),1),IF(AND('ZIPs &amp; FIPs'!$F$7="City",ISNA(INDEX(INDIRECT("J"&amp;B11):$M$500,MATCH('ZIPs &amp; FIPs'!$H$7,INDIRECT("K"&amp;B11):$K$500,0),1))=FALSE),INDEX(INDIRECT("J"&amp;B11):$M$500,MATCH('ZIPs &amp; FIPs'!$H$7,INDIRECT("K"&amp;B11):$K$500,0),1),""))),"")</f>
        <v/>
      </c>
      <c r="E11" s="59" t="str">
        <f ca="1">IF(B11&lt;&gt;"",IF('ZIPs &amp; FIPs'!$H$7&lt;&gt;"",IF(AND('ZIPs &amp; FIPs'!$F$7="County",ISNA(INDEX(INDIRECT("K"&amp;B11):$M$500,MATCH('ZIPs &amp; FIPs'!$H$7,INDIRECT("L"&amp;B11):$L$500,0),1))=FALSE),INDEX(INDIRECT("K"&amp;B11):$M$500,MATCH('ZIPs &amp; FIPs'!$H$7,INDIRECT("L"&amp;B11):$L$500,0),1),IF(AND('ZIPs &amp; FIPs'!$F$7="City",ISNA(INDEX(INDIRECT("K"&amp;B11):$M$500,MATCH('ZIPs &amp; FIPs'!$H$7,INDIRECT("K"&amp;B11):$K$500,0),1))=FALSE),INDEX(INDIRECT("K"&amp;B11):$M$500,MATCH('ZIPs &amp; FIPs'!$H$7,INDIRECT("K"&amp;B11):$K$500,0),1),""))),"")</f>
        <v/>
      </c>
      <c r="F11" s="59" t="str">
        <f ca="1">IF(B11&lt;&gt;"",IF('ZIPs &amp; FIPs'!$H$7&lt;&gt;"",IF(AND('ZIPs &amp; FIPs'!$F$7="County",ISNA(INDEX(INDIRECT("K"&amp;B11):$M$500,MATCH('ZIPs &amp; FIPs'!$H$7,INDIRECT("L"&amp;B11):$L$500,0),2))=FALSE),INDEX(INDIRECT("K"&amp;B11):$M$500,MATCH('ZIPs &amp; FIPs'!$H$7,INDIRECT("L"&amp;B11):$L$500,0),2),IF(AND('ZIPs &amp; FIPs'!$F$7="City",ISNA(INDEX(INDIRECT("K"&amp;B11):$M$500,MATCH('ZIPs &amp; FIPs'!$H$7,INDIRECT("K"&amp;B11):$K$500,0),2))=FALSE),INDEX(INDIRECT("K"&amp;B11):$M$500,MATCH('ZIPs &amp; FIPs'!$H$7,INDIRECT("K"&amp;B11):$K$500,0),2),""))),"")</f>
        <v/>
      </c>
      <c r="J11" s="30" t="s">
        <v>310</v>
      </c>
      <c r="K11" s="52" t="s">
        <v>17</v>
      </c>
      <c r="L11" s="30" t="s">
        <v>20</v>
      </c>
      <c r="M11" s="30" t="s">
        <v>313</v>
      </c>
      <c r="N11" s="30" t="s">
        <v>54</v>
      </c>
      <c r="Q11" s="60" t="s">
        <v>169</v>
      </c>
      <c r="R11" s="58" t="s">
        <v>513</v>
      </c>
      <c r="S11" s="25">
        <f t="shared" si="0"/>
        <v>8</v>
      </c>
      <c r="T11" s="25">
        <f t="shared" si="1"/>
        <v>1</v>
      </c>
      <c r="V11" s="25">
        <f t="shared" si="2"/>
        <v>1</v>
      </c>
      <c r="W11" s="46">
        <v>97008</v>
      </c>
      <c r="X11" s="50" t="s">
        <v>274</v>
      </c>
    </row>
    <row r="12" spans="1:24" x14ac:dyDescent="0.25">
      <c r="A12" s="25">
        <v>6</v>
      </c>
      <c r="B12" s="59" t="str">
        <f ca="1">IFERROR(IF('ZIPs &amp; FIPs'!$H$7&lt;&gt;"",IF(AND('ZIPs &amp; FIPs'!$F$7="County",ISNA(ROW(INDEX(INDIRECT("K"&amp;B11+1):$M$500,MATCH('ZIPs &amp; FIPs'!$H$7,INDIRECT("L"&amp;B11+1):$L$500,0),2)))=FALSE),ROW(INDEX(INDIRECT("K"&amp;B11+1):$M$500,MATCH('ZIPs &amp; FIPs'!$H$7,INDIRECT("L"&amp;B11+1):$L$500,0),2)),IF(AND('ZIPs &amp; FIPs'!$F$7="City",ISNA(ROW(INDEX(INDIRECT("K"&amp;B11+1):$M$500,MATCH('ZIPs &amp; FIPs'!$H$7,INDIRECT("K"&amp;B11+1):$K$500,0),1)))=FALSE),ROW(INDEX(INDIRECT("K"&amp;B11+1):$M$500,MATCH('ZIPs &amp; FIPs'!$H$7,INDIRECT("K"&amp;B11+1):$K$500,0),1)),"")),""),"")</f>
        <v/>
      </c>
      <c r="C12" s="59" t="str">
        <f ca="1">IF(B12&lt;&gt;"",IF('ZIPs &amp; FIPs'!$H$7&lt;&gt;"",IF(AND('ZIPs &amp; FIPs'!$F$7="County",ISNA(INDEX(INDIRECT("K"&amp;B12):$M$500,MATCH('ZIPs &amp; FIPs'!$H$7,INDIRECT("L"&amp;B12):$L$500,0),3))=FALSE),INDEX(INDIRECT("K"&amp;B12):$M$500,MATCH('ZIPs &amp; FIPs'!$H$7,INDIRECT("L"&amp;B12):$L$500,0),3),IF(AND('ZIPs &amp; FIPs'!$F$7="City",ISNA(INDEX(INDIRECT("K"&amp;B12):$M$500,MATCH('ZIPs &amp; FIPs'!$H$7,INDIRECT("K"&amp;B12):$K$500,0),3))=FALSE),INDEX(INDIRECT("K"&amp;B12):$M$500,MATCH('ZIPs &amp; FIPs'!$H$7,INDIRECT("K"&amp;B12):$K$500,0),3),""))),"")</f>
        <v/>
      </c>
      <c r="D12" s="59" t="str">
        <f ca="1">IF(B12&lt;&gt;"",IF('ZIPs &amp; FIPs'!$H$7&lt;&gt;"",IF(AND('ZIPs &amp; FIPs'!$F$7="County",ISNA(INDEX(INDIRECT("J"&amp;B12):$M$500,MATCH('ZIPs &amp; FIPs'!$H$7,INDIRECT("L"&amp;B12):$L$500,0),1))=FALSE),INDEX(INDIRECT("J"&amp;B12):$M$500,MATCH('ZIPs &amp; FIPs'!$H$7,INDIRECT("L"&amp;B12):$L$500,0),1),IF(AND('ZIPs &amp; FIPs'!$F$7="City",ISNA(INDEX(INDIRECT("J"&amp;B12):$M$500,MATCH('ZIPs &amp; FIPs'!$H$7,INDIRECT("K"&amp;B12):$K$500,0),1))=FALSE),INDEX(INDIRECT("J"&amp;B12):$M$500,MATCH('ZIPs &amp; FIPs'!$H$7,INDIRECT("K"&amp;B12):$K$500,0),1),""))),"")</f>
        <v/>
      </c>
      <c r="E12" s="59" t="str">
        <f ca="1">IF(B12&lt;&gt;"",IF('ZIPs &amp; FIPs'!$H$7&lt;&gt;"",IF(AND('ZIPs &amp; FIPs'!$F$7="County",ISNA(INDEX(INDIRECT("K"&amp;B12):$M$500,MATCH('ZIPs &amp; FIPs'!$H$7,INDIRECT("L"&amp;B12):$L$500,0),1))=FALSE),INDEX(INDIRECT("K"&amp;B12):$M$500,MATCH('ZIPs &amp; FIPs'!$H$7,INDIRECT("L"&amp;B12):$L$500,0),1),IF(AND('ZIPs &amp; FIPs'!$F$7="City",ISNA(INDEX(INDIRECT("K"&amp;B12):$M$500,MATCH('ZIPs &amp; FIPs'!$H$7,INDIRECT("K"&amp;B12):$K$500,0),1))=FALSE),INDEX(INDIRECT("K"&amp;B12):$M$500,MATCH('ZIPs &amp; FIPs'!$H$7,INDIRECT("K"&amp;B12):$K$500,0),1),""))),"")</f>
        <v/>
      </c>
      <c r="F12" s="59" t="str">
        <f ca="1">IF(B12&lt;&gt;"",IF('ZIPs &amp; FIPs'!$H$7&lt;&gt;"",IF(AND('ZIPs &amp; FIPs'!$F$7="County",ISNA(INDEX(INDIRECT("K"&amp;B12):$M$500,MATCH('ZIPs &amp; FIPs'!$H$7,INDIRECT("L"&amp;B12):$L$500,0),2))=FALSE),INDEX(INDIRECT("K"&amp;B12):$M$500,MATCH('ZIPs &amp; FIPs'!$H$7,INDIRECT("L"&amp;B12):$L$500,0),2),IF(AND('ZIPs &amp; FIPs'!$F$7="City",ISNA(INDEX(INDIRECT("K"&amp;B12):$M$500,MATCH('ZIPs &amp; FIPs'!$H$7,INDIRECT("K"&amp;B12):$K$500,0),2))=FALSE),INDEX(INDIRECT("K"&amp;B12):$M$500,MATCH('ZIPs &amp; FIPs'!$H$7,INDIRECT("K"&amp;B12):$K$500,0),2),""))),"")</f>
        <v/>
      </c>
      <c r="J12" s="46">
        <v>97814</v>
      </c>
      <c r="K12" s="50" t="s">
        <v>233</v>
      </c>
      <c r="L12" s="32" t="s">
        <v>234</v>
      </c>
      <c r="M12" s="26" t="s">
        <v>315</v>
      </c>
      <c r="N12" t="s">
        <v>1192</v>
      </c>
      <c r="Q12" s="60" t="s">
        <v>197</v>
      </c>
      <c r="R12" s="58" t="s">
        <v>664</v>
      </c>
      <c r="S12" s="25">
        <f t="shared" si="0"/>
        <v>9</v>
      </c>
      <c r="T12" s="25">
        <f t="shared" si="1"/>
        <v>1</v>
      </c>
      <c r="V12" s="25">
        <f t="shared" si="2"/>
        <v>1</v>
      </c>
      <c r="W12" s="46">
        <v>97009</v>
      </c>
      <c r="X12" s="50" t="s">
        <v>358</v>
      </c>
    </row>
    <row r="13" spans="1:24" x14ac:dyDescent="0.25">
      <c r="A13" s="25">
        <v>7</v>
      </c>
      <c r="B13" s="59" t="str">
        <f ca="1">IFERROR(IF('ZIPs &amp; FIPs'!$H$7&lt;&gt;"",IF(AND('ZIPs &amp; FIPs'!$F$7="County",ISNA(ROW(INDEX(INDIRECT("K"&amp;B12+1):$M$500,MATCH('ZIPs &amp; FIPs'!$H$7,INDIRECT("L"&amp;B12+1):$L$500,0),2)))=FALSE),ROW(INDEX(INDIRECT("K"&amp;B12+1):$M$500,MATCH('ZIPs &amp; FIPs'!$H$7,INDIRECT("L"&amp;B12+1):$L$500,0),2)),IF(AND('ZIPs &amp; FIPs'!$F$7="City",ISNA(ROW(INDEX(INDIRECT("K"&amp;B12+1):$M$500,MATCH('ZIPs &amp; FIPs'!$H$7,INDIRECT("K"&amp;B12+1):$K$500,0),1)))=FALSE),ROW(INDEX(INDIRECT("K"&amp;B12+1):$M$500,MATCH('ZIPs &amp; FIPs'!$H$7,INDIRECT("K"&amp;B12+1):$K$500,0),1)),"")),""),"")</f>
        <v/>
      </c>
      <c r="C13" s="59" t="str">
        <f ca="1">IF(B13&lt;&gt;"",IF('ZIPs &amp; FIPs'!$H$7&lt;&gt;"",IF(AND('ZIPs &amp; FIPs'!$F$7="County",ISNA(INDEX(INDIRECT("K"&amp;B13):$M$500,MATCH('ZIPs &amp; FIPs'!$H$7,INDIRECT("L"&amp;B13):$L$500,0),3))=FALSE),INDEX(INDIRECT("K"&amp;B13):$M$500,MATCH('ZIPs &amp; FIPs'!$H$7,INDIRECT("L"&amp;B13):$L$500,0),3),IF(AND('ZIPs &amp; FIPs'!$F$7="City",ISNA(INDEX(INDIRECT("K"&amp;B13):$M$500,MATCH('ZIPs &amp; FIPs'!$H$7,INDIRECT("K"&amp;B13):$K$500,0),3))=FALSE),INDEX(INDIRECT("K"&amp;B13):$M$500,MATCH('ZIPs &amp; FIPs'!$H$7,INDIRECT("K"&amp;B13):$K$500,0),3),""))),"")</f>
        <v/>
      </c>
      <c r="D13" s="59" t="str">
        <f ca="1">IF(B13&lt;&gt;"",IF('ZIPs &amp; FIPs'!$H$7&lt;&gt;"",IF(AND('ZIPs &amp; FIPs'!$F$7="County",ISNA(INDEX(INDIRECT("J"&amp;B13):$M$500,MATCH('ZIPs &amp; FIPs'!$H$7,INDIRECT("L"&amp;B13):$L$500,0),1))=FALSE),INDEX(INDIRECT("J"&amp;B13):$M$500,MATCH('ZIPs &amp; FIPs'!$H$7,INDIRECT("L"&amp;B13):$L$500,0),1),IF(AND('ZIPs &amp; FIPs'!$F$7="City",ISNA(INDEX(INDIRECT("J"&amp;B13):$M$500,MATCH('ZIPs &amp; FIPs'!$H$7,INDIRECT("K"&amp;B13):$K$500,0),1))=FALSE),INDEX(INDIRECT("J"&amp;B13):$M$500,MATCH('ZIPs &amp; FIPs'!$H$7,INDIRECT("K"&amp;B13):$K$500,0),1),""))),"")</f>
        <v/>
      </c>
      <c r="E13" s="59" t="str">
        <f ca="1">IF(B13&lt;&gt;"",IF('ZIPs &amp; FIPs'!$H$7&lt;&gt;"",IF(AND('ZIPs &amp; FIPs'!$F$7="County",ISNA(INDEX(INDIRECT("K"&amp;B13):$M$500,MATCH('ZIPs &amp; FIPs'!$H$7,INDIRECT("L"&amp;B13):$L$500,0),1))=FALSE),INDEX(INDIRECT("K"&amp;B13):$M$500,MATCH('ZIPs &amp; FIPs'!$H$7,INDIRECT("L"&amp;B13):$L$500,0),1),IF(AND('ZIPs &amp; FIPs'!$F$7="City",ISNA(INDEX(INDIRECT("K"&amp;B13):$M$500,MATCH('ZIPs &amp; FIPs'!$H$7,INDIRECT("K"&amp;B13):$K$500,0),1))=FALSE),INDEX(INDIRECT("K"&amp;B13):$M$500,MATCH('ZIPs &amp; FIPs'!$H$7,INDIRECT("K"&amp;B13):$K$500,0),1),""))),"")</f>
        <v/>
      </c>
      <c r="F13" s="59" t="str">
        <f ca="1">IF(B13&lt;&gt;"",IF('ZIPs &amp; FIPs'!$H$7&lt;&gt;"",IF(AND('ZIPs &amp; FIPs'!$F$7="County",ISNA(INDEX(INDIRECT("K"&amp;B13):$M$500,MATCH('ZIPs &amp; FIPs'!$H$7,INDIRECT("L"&amp;B13):$L$500,0),2))=FALSE),INDEX(INDIRECT("K"&amp;B13):$M$500,MATCH('ZIPs &amp; FIPs'!$H$7,INDIRECT("L"&amp;B13):$L$500,0),2),IF(AND('ZIPs &amp; FIPs'!$F$7="City",ISNA(INDEX(INDIRECT("K"&amp;B13):$M$500,MATCH('ZIPs &amp; FIPs'!$H$7,INDIRECT("K"&amp;B13):$K$500,0),2))=FALSE),INDEX(INDIRECT("K"&amp;B13):$M$500,MATCH('ZIPs &amp; FIPs'!$H$7,INDIRECT("K"&amp;B13):$K$500,0),2),""))),"")</f>
        <v/>
      </c>
      <c r="J13" s="46">
        <v>97819</v>
      </c>
      <c r="K13" s="50" t="s">
        <v>322</v>
      </c>
      <c r="L13" s="32" t="s">
        <v>234</v>
      </c>
      <c r="M13" s="26" t="s">
        <v>315</v>
      </c>
      <c r="N13" t="s">
        <v>1192</v>
      </c>
      <c r="Q13" s="60" t="s">
        <v>161</v>
      </c>
      <c r="R13" s="58" t="s">
        <v>645</v>
      </c>
      <c r="S13" s="25">
        <f t="shared" si="0"/>
        <v>26</v>
      </c>
      <c r="T13" s="25">
        <f t="shared" si="1"/>
        <v>1</v>
      </c>
      <c r="V13" s="25">
        <f t="shared" si="2"/>
        <v>1</v>
      </c>
      <c r="W13" s="46">
        <v>97010</v>
      </c>
      <c r="X13" s="50" t="s">
        <v>602</v>
      </c>
    </row>
    <row r="14" spans="1:24" x14ac:dyDescent="0.25">
      <c r="A14" s="25">
        <v>8</v>
      </c>
      <c r="B14" s="59" t="str">
        <f ca="1">IFERROR(IF('ZIPs &amp; FIPs'!$H$7&lt;&gt;"",IF(AND('ZIPs &amp; FIPs'!$F$7="County",ISNA(ROW(INDEX(INDIRECT("K"&amp;B13+1):$M$500,MATCH('ZIPs &amp; FIPs'!$H$7,INDIRECT("L"&amp;B13+1):$L$500,0),2)))=FALSE),ROW(INDEX(INDIRECT("K"&amp;B13+1):$M$500,MATCH('ZIPs &amp; FIPs'!$H$7,INDIRECT("L"&amp;B13+1):$L$500,0),2)),IF(AND('ZIPs &amp; FIPs'!$F$7="City",ISNA(ROW(INDEX(INDIRECT("K"&amp;B13+1):$M$500,MATCH('ZIPs &amp; FIPs'!$H$7,INDIRECT("K"&amp;B13+1):$K$500,0),1)))=FALSE),ROW(INDEX(INDIRECT("K"&amp;B13+1):$M$500,MATCH('ZIPs &amp; FIPs'!$H$7,INDIRECT("K"&amp;B13+1):$K$500,0),1)),"")),""),"")</f>
        <v/>
      </c>
      <c r="C14" s="59" t="str">
        <f ca="1">IF(B14&lt;&gt;"",IF('ZIPs &amp; FIPs'!$H$7&lt;&gt;"",IF(AND('ZIPs &amp; FIPs'!$F$7="County",ISNA(INDEX(INDIRECT("K"&amp;B14):$M$500,MATCH('ZIPs &amp; FIPs'!$H$7,INDIRECT("L"&amp;B14):$L$500,0),3))=FALSE),INDEX(INDIRECT("K"&amp;B14):$M$500,MATCH('ZIPs &amp; FIPs'!$H$7,INDIRECT("L"&amp;B14):$L$500,0),3),IF(AND('ZIPs &amp; FIPs'!$F$7="City",ISNA(INDEX(INDIRECT("K"&amp;B14):$M$500,MATCH('ZIPs &amp; FIPs'!$H$7,INDIRECT("K"&amp;B14):$K$500,0),3))=FALSE),INDEX(INDIRECT("K"&amp;B14):$M$500,MATCH('ZIPs &amp; FIPs'!$H$7,INDIRECT("K"&amp;B14):$K$500,0),3),""))),"")</f>
        <v/>
      </c>
      <c r="D14" s="59" t="str">
        <f ca="1">IF(B14&lt;&gt;"",IF('ZIPs &amp; FIPs'!$H$7&lt;&gt;"",IF(AND('ZIPs &amp; FIPs'!$F$7="County",ISNA(INDEX(INDIRECT("J"&amp;B14):$M$500,MATCH('ZIPs &amp; FIPs'!$H$7,INDIRECT("L"&amp;B14):$L$500,0),1))=FALSE),INDEX(INDIRECT("J"&amp;B14):$M$500,MATCH('ZIPs &amp; FIPs'!$H$7,INDIRECT("L"&amp;B14):$L$500,0),1),IF(AND('ZIPs &amp; FIPs'!$F$7="City",ISNA(INDEX(INDIRECT("J"&amp;B14):$M$500,MATCH('ZIPs &amp; FIPs'!$H$7,INDIRECT("K"&amp;B14):$K$500,0),1))=FALSE),INDEX(INDIRECT("J"&amp;B14):$M$500,MATCH('ZIPs &amp; FIPs'!$H$7,INDIRECT("K"&amp;B14):$K$500,0),1),""))),"")</f>
        <v/>
      </c>
      <c r="E14" s="59" t="str">
        <f ca="1">IF(B14&lt;&gt;"",IF('ZIPs &amp; FIPs'!$H$7&lt;&gt;"",IF(AND('ZIPs &amp; FIPs'!$F$7="County",ISNA(INDEX(INDIRECT("K"&amp;B14):$M$500,MATCH('ZIPs &amp; FIPs'!$H$7,INDIRECT("L"&amp;B14):$L$500,0),1))=FALSE),INDEX(INDIRECT("K"&amp;B14):$M$500,MATCH('ZIPs &amp; FIPs'!$H$7,INDIRECT("L"&amp;B14):$L$500,0),1),IF(AND('ZIPs &amp; FIPs'!$F$7="City",ISNA(INDEX(INDIRECT("K"&amp;B14):$M$500,MATCH('ZIPs &amp; FIPs'!$H$7,INDIRECT("K"&amp;B14):$K$500,0),1))=FALSE),INDEX(INDIRECT("K"&amp;B14):$M$500,MATCH('ZIPs &amp; FIPs'!$H$7,INDIRECT("K"&amp;B14):$K$500,0),1),""))),"")</f>
        <v/>
      </c>
      <c r="F14" s="59" t="str">
        <f ca="1">IF(B14&lt;&gt;"",IF('ZIPs &amp; FIPs'!$H$7&lt;&gt;"",IF(AND('ZIPs &amp; FIPs'!$F$7="County",ISNA(INDEX(INDIRECT("K"&amp;B14):$M$500,MATCH('ZIPs &amp; FIPs'!$H$7,INDIRECT("L"&amp;B14):$L$500,0),2))=FALSE),INDEX(INDIRECT("K"&amp;B14):$M$500,MATCH('ZIPs &amp; FIPs'!$H$7,INDIRECT("L"&amp;B14):$L$500,0),2),IF(AND('ZIPs &amp; FIPs'!$F$7="City",ISNA(INDEX(INDIRECT("K"&amp;B14):$M$500,MATCH('ZIPs &amp; FIPs'!$H$7,INDIRECT("K"&amp;B14):$K$500,0),2))=FALSE),INDEX(INDIRECT("K"&amp;B14):$M$500,MATCH('ZIPs &amp; FIPs'!$H$7,INDIRECT("K"&amp;B14):$K$500,0),2),""))),"")</f>
        <v/>
      </c>
      <c r="J14" s="46">
        <v>97833</v>
      </c>
      <c r="K14" s="50" t="s">
        <v>324</v>
      </c>
      <c r="L14" s="32" t="s">
        <v>234</v>
      </c>
      <c r="M14" s="26" t="s">
        <v>315</v>
      </c>
      <c r="N14" t="s">
        <v>1192</v>
      </c>
      <c r="Q14" s="60" t="s">
        <v>329</v>
      </c>
      <c r="R14" s="58" t="s">
        <v>385</v>
      </c>
      <c r="S14" s="25">
        <f t="shared" si="0"/>
        <v>3</v>
      </c>
      <c r="T14" s="25">
        <f t="shared" si="1"/>
        <v>1</v>
      </c>
      <c r="V14" s="25">
        <f t="shared" si="2"/>
        <v>1</v>
      </c>
      <c r="W14" s="46">
        <v>97011</v>
      </c>
      <c r="X14" s="50" t="s">
        <v>360</v>
      </c>
    </row>
    <row r="15" spans="1:24" x14ac:dyDescent="0.25">
      <c r="A15" s="25">
        <v>9</v>
      </c>
      <c r="B15" s="59" t="str">
        <f ca="1">IFERROR(IF('ZIPs &amp; FIPs'!$H$7&lt;&gt;"",IF(AND('ZIPs &amp; FIPs'!$F$7="County",ISNA(ROW(INDEX(INDIRECT("K"&amp;B14+1):$M$500,MATCH('ZIPs &amp; FIPs'!$H$7,INDIRECT("L"&amp;B14+1):$L$500,0),2)))=FALSE),ROW(INDEX(INDIRECT("K"&amp;B14+1):$M$500,MATCH('ZIPs &amp; FIPs'!$H$7,INDIRECT("L"&amp;B14+1):$L$500,0),2)),IF(AND('ZIPs &amp; FIPs'!$F$7="City",ISNA(ROW(INDEX(INDIRECT("K"&amp;B14+1):$M$500,MATCH('ZIPs &amp; FIPs'!$H$7,INDIRECT("K"&amp;B14+1):$K$500,0),1)))=FALSE),ROW(INDEX(INDIRECT("K"&amp;B14+1):$M$500,MATCH('ZIPs &amp; FIPs'!$H$7,INDIRECT("K"&amp;B14+1):$K$500,0),1)),"")),""),"")</f>
        <v/>
      </c>
      <c r="C15" s="59" t="str">
        <f ca="1">IF(B15&lt;&gt;"",IF('ZIPs &amp; FIPs'!$H$7&lt;&gt;"",IF(AND('ZIPs &amp; FIPs'!$F$7="County",ISNA(INDEX(INDIRECT("K"&amp;B15):$M$500,MATCH('ZIPs &amp; FIPs'!$H$7,INDIRECT("L"&amp;B15):$L$500,0),3))=FALSE),INDEX(INDIRECT("K"&amp;B15):$M$500,MATCH('ZIPs &amp; FIPs'!$H$7,INDIRECT("L"&amp;B15):$L$500,0),3),IF(AND('ZIPs &amp; FIPs'!$F$7="City",ISNA(INDEX(INDIRECT("K"&amp;B15):$M$500,MATCH('ZIPs &amp; FIPs'!$H$7,INDIRECT("K"&amp;B15):$K$500,0),3))=FALSE),INDEX(INDIRECT("K"&amp;B15):$M$500,MATCH('ZIPs &amp; FIPs'!$H$7,INDIRECT("K"&amp;B15):$K$500,0),3),""))),"")</f>
        <v/>
      </c>
      <c r="D15" s="59" t="str">
        <f ca="1">IF(B15&lt;&gt;"",IF('ZIPs &amp; FIPs'!$H$7&lt;&gt;"",IF(AND('ZIPs &amp; FIPs'!$F$7="County",ISNA(INDEX(INDIRECT("J"&amp;B15):$M$500,MATCH('ZIPs &amp; FIPs'!$H$7,INDIRECT("L"&amp;B15):$L$500,0),1))=FALSE),INDEX(INDIRECT("J"&amp;B15):$M$500,MATCH('ZIPs &amp; FIPs'!$H$7,INDIRECT("L"&amp;B15):$L$500,0),1),IF(AND('ZIPs &amp; FIPs'!$F$7="City",ISNA(INDEX(INDIRECT("J"&amp;B15):$M$500,MATCH('ZIPs &amp; FIPs'!$H$7,INDIRECT("K"&amp;B15):$K$500,0),1))=FALSE),INDEX(INDIRECT("J"&amp;B15):$M$500,MATCH('ZIPs &amp; FIPs'!$H$7,INDIRECT("K"&amp;B15):$K$500,0),1),""))),"")</f>
        <v/>
      </c>
      <c r="E15" s="59" t="str">
        <f ca="1">IF(B15&lt;&gt;"",IF('ZIPs &amp; FIPs'!$H$7&lt;&gt;"",IF(AND('ZIPs &amp; FIPs'!$F$7="County",ISNA(INDEX(INDIRECT("K"&amp;B15):$M$500,MATCH('ZIPs &amp; FIPs'!$H$7,INDIRECT("L"&amp;B15):$L$500,0),1))=FALSE),INDEX(INDIRECT("K"&amp;B15):$M$500,MATCH('ZIPs &amp; FIPs'!$H$7,INDIRECT("L"&amp;B15):$L$500,0),1),IF(AND('ZIPs &amp; FIPs'!$F$7="City",ISNA(INDEX(INDIRECT("K"&amp;B15):$M$500,MATCH('ZIPs &amp; FIPs'!$H$7,INDIRECT("K"&amp;B15):$K$500,0),1))=FALSE),INDEX(INDIRECT("K"&amp;B15):$M$500,MATCH('ZIPs &amp; FIPs'!$H$7,INDIRECT("K"&amp;B15):$K$500,0),1),""))),"")</f>
        <v/>
      </c>
      <c r="F15" s="59" t="str">
        <f ca="1">IF(B15&lt;&gt;"",IF('ZIPs &amp; FIPs'!$H$7&lt;&gt;"",IF(AND('ZIPs &amp; FIPs'!$F$7="County",ISNA(INDEX(INDIRECT("K"&amp;B15):$M$500,MATCH('ZIPs &amp; FIPs'!$H$7,INDIRECT("L"&amp;B15):$L$500,0),2))=FALSE),INDEX(INDIRECT("K"&amp;B15):$M$500,MATCH('ZIPs &amp; FIPs'!$H$7,INDIRECT("L"&amp;B15):$L$500,0),2),IF(AND('ZIPs &amp; FIPs'!$F$7="City",ISNA(INDEX(INDIRECT("K"&amp;B15):$M$500,MATCH('ZIPs &amp; FIPs'!$H$7,INDIRECT("K"&amp;B15):$K$500,0),2))=FALSE),INDEX(INDIRECT("K"&amp;B15):$M$500,MATCH('ZIPs &amp; FIPs'!$H$7,INDIRECT("K"&amp;B15):$K$500,0),2),""))),"")</f>
        <v/>
      </c>
      <c r="J15" s="46">
        <v>97834</v>
      </c>
      <c r="K15" s="50" t="s">
        <v>326</v>
      </c>
      <c r="L15" s="32" t="s">
        <v>234</v>
      </c>
      <c r="M15" s="26" t="s">
        <v>315</v>
      </c>
      <c r="N15" t="s">
        <v>1192</v>
      </c>
      <c r="Q15" s="60" t="s">
        <v>247</v>
      </c>
      <c r="R15" s="58" t="s">
        <v>443</v>
      </c>
      <c r="S15" s="25">
        <f t="shared" si="0"/>
        <v>10</v>
      </c>
      <c r="T15" s="25">
        <f t="shared" si="1"/>
        <v>1</v>
      </c>
      <c r="V15" s="25">
        <f t="shared" si="2"/>
        <v>1</v>
      </c>
      <c r="W15" s="46">
        <v>97013</v>
      </c>
      <c r="X15" s="50" t="s">
        <v>267</v>
      </c>
    </row>
    <row r="16" spans="1:24" x14ac:dyDescent="0.25">
      <c r="A16" s="25">
        <v>10</v>
      </c>
      <c r="B16" s="59" t="str">
        <f ca="1">IFERROR(IF('ZIPs &amp; FIPs'!$H$7&lt;&gt;"",IF(AND('ZIPs &amp; FIPs'!$F$7="County",ISNA(ROW(INDEX(INDIRECT("K"&amp;B15+1):$M$500,MATCH('ZIPs &amp; FIPs'!$H$7,INDIRECT("L"&amp;B15+1):$L$500,0),2)))=FALSE),ROW(INDEX(INDIRECT("K"&amp;B15+1):$M$500,MATCH('ZIPs &amp; FIPs'!$H$7,INDIRECT("L"&amp;B15+1):$L$500,0),2)),IF(AND('ZIPs &amp; FIPs'!$F$7="City",ISNA(ROW(INDEX(INDIRECT("K"&amp;B15+1):$M$500,MATCH('ZIPs &amp; FIPs'!$H$7,INDIRECT("K"&amp;B15+1):$K$500,0),1)))=FALSE),ROW(INDEX(INDIRECT("K"&amp;B15+1):$M$500,MATCH('ZIPs &amp; FIPs'!$H$7,INDIRECT("K"&amp;B15+1):$K$500,0),1)),"")),""),"")</f>
        <v/>
      </c>
      <c r="C16" s="59" t="str">
        <f ca="1">IF(B16&lt;&gt;"",IF('ZIPs &amp; FIPs'!$H$7&lt;&gt;"",IF(AND('ZIPs &amp; FIPs'!$F$7="County",ISNA(INDEX(INDIRECT("K"&amp;B16):$M$500,MATCH('ZIPs &amp; FIPs'!$H$7,INDIRECT("L"&amp;B16):$L$500,0),3))=FALSE),INDEX(INDIRECT("K"&amp;B16):$M$500,MATCH('ZIPs &amp; FIPs'!$H$7,INDIRECT("L"&amp;B16):$L$500,0),3),IF(AND('ZIPs &amp; FIPs'!$F$7="City",ISNA(INDEX(INDIRECT("K"&amp;B16):$M$500,MATCH('ZIPs &amp; FIPs'!$H$7,INDIRECT("K"&amp;B16):$K$500,0),3))=FALSE),INDEX(INDIRECT("K"&amp;B16):$M$500,MATCH('ZIPs &amp; FIPs'!$H$7,INDIRECT("K"&amp;B16):$K$500,0),3),""))),"")</f>
        <v/>
      </c>
      <c r="D16" s="59" t="str">
        <f ca="1">IF(B16&lt;&gt;"",IF('ZIPs &amp; FIPs'!$H$7&lt;&gt;"",IF(AND('ZIPs &amp; FIPs'!$F$7="County",ISNA(INDEX(INDIRECT("J"&amp;B16):$M$500,MATCH('ZIPs &amp; FIPs'!$H$7,INDIRECT("L"&amp;B16):$L$500,0),1))=FALSE),INDEX(INDIRECT("J"&amp;B16):$M$500,MATCH('ZIPs &amp; FIPs'!$H$7,INDIRECT("L"&amp;B16):$L$500,0),1),IF(AND('ZIPs &amp; FIPs'!$F$7="City",ISNA(INDEX(INDIRECT("J"&amp;B16):$M$500,MATCH('ZIPs &amp; FIPs'!$H$7,INDIRECT("K"&amp;B16):$K$500,0),1))=FALSE),INDEX(INDIRECT("J"&amp;B16):$M$500,MATCH('ZIPs &amp; FIPs'!$H$7,INDIRECT("K"&amp;B16):$K$500,0),1),""))),"")</f>
        <v/>
      </c>
      <c r="E16" s="59" t="str">
        <f ca="1">IF(B16&lt;&gt;"",IF('ZIPs &amp; FIPs'!$H$7&lt;&gt;"",IF(AND('ZIPs &amp; FIPs'!$F$7="County",ISNA(INDEX(INDIRECT("K"&amp;B16):$M$500,MATCH('ZIPs &amp; FIPs'!$H$7,INDIRECT("L"&amp;B16):$L$500,0),1))=FALSE),INDEX(INDIRECT("K"&amp;B16):$M$500,MATCH('ZIPs &amp; FIPs'!$H$7,INDIRECT("L"&amp;B16):$L$500,0),1),IF(AND('ZIPs &amp; FIPs'!$F$7="City",ISNA(INDEX(INDIRECT("K"&amp;B16):$M$500,MATCH('ZIPs &amp; FIPs'!$H$7,INDIRECT("K"&amp;B16):$K$500,0),1))=FALSE),INDEX(INDIRECT("K"&amp;B16):$M$500,MATCH('ZIPs &amp; FIPs'!$H$7,INDIRECT("K"&amp;B16):$K$500,0),1),""))),"")</f>
        <v/>
      </c>
      <c r="F16" s="59" t="str">
        <f ca="1">IF(B16&lt;&gt;"",IF('ZIPs &amp; FIPs'!$H$7&lt;&gt;"",IF(AND('ZIPs &amp; FIPs'!$F$7="County",ISNA(INDEX(INDIRECT("K"&amp;B16):$M$500,MATCH('ZIPs &amp; FIPs'!$H$7,INDIRECT("L"&amp;B16):$L$500,0),2))=FALSE),INDEX(INDIRECT("K"&amp;B16):$M$500,MATCH('ZIPs &amp; FIPs'!$H$7,INDIRECT("L"&amp;B16):$L$500,0),2),IF(AND('ZIPs &amp; FIPs'!$F$7="City",ISNA(INDEX(INDIRECT("K"&amp;B16):$M$500,MATCH('ZIPs &amp; FIPs'!$H$7,INDIRECT("K"&amp;B16):$K$500,0),2))=FALSE),INDEX(INDIRECT("K"&amp;B16):$M$500,MATCH('ZIPs &amp; FIPs'!$H$7,INDIRECT("K"&amp;B16):$K$500,0),2),""))),"")</f>
        <v/>
      </c>
      <c r="H16" s="69"/>
      <c r="J16" s="46">
        <v>97837</v>
      </c>
      <c r="K16" s="50" t="s">
        <v>328</v>
      </c>
      <c r="L16" s="32" t="s">
        <v>234</v>
      </c>
      <c r="M16" s="26" t="s">
        <v>315</v>
      </c>
      <c r="N16" t="s">
        <v>1192</v>
      </c>
      <c r="Q16" s="60" t="s">
        <v>252</v>
      </c>
      <c r="R16" s="58" t="s">
        <v>570</v>
      </c>
      <c r="S16" s="25">
        <f t="shared" si="0"/>
        <v>9</v>
      </c>
      <c r="T16" s="25">
        <f t="shared" si="1"/>
        <v>1</v>
      </c>
      <c r="V16" s="25">
        <f t="shared" si="2"/>
        <v>1</v>
      </c>
      <c r="W16" s="46">
        <v>97014</v>
      </c>
      <c r="X16" s="50" t="s">
        <v>463</v>
      </c>
    </row>
    <row r="17" spans="1:24" x14ac:dyDescent="0.25">
      <c r="A17" s="25">
        <v>11</v>
      </c>
      <c r="B17" s="59" t="str">
        <f ca="1">IFERROR(IF('ZIPs &amp; FIPs'!$H$7&lt;&gt;"",IF(AND('ZIPs &amp; FIPs'!$F$7="County",ISNA(ROW(INDEX(INDIRECT("K"&amp;B16+1):$M$500,MATCH('ZIPs &amp; FIPs'!$H$7,INDIRECT("L"&amp;B16+1):$L$500,0),2)))=FALSE),ROW(INDEX(INDIRECT("K"&amp;B16+1):$M$500,MATCH('ZIPs &amp; FIPs'!$H$7,INDIRECT("L"&amp;B16+1):$L$500,0),2)),IF(AND('ZIPs &amp; FIPs'!$F$7="City",ISNA(ROW(INDEX(INDIRECT("K"&amp;B16+1):$M$500,MATCH('ZIPs &amp; FIPs'!$H$7,INDIRECT("K"&amp;B16+1):$K$500,0),1)))=FALSE),ROW(INDEX(INDIRECT("K"&amp;B16+1):$M$500,MATCH('ZIPs &amp; FIPs'!$H$7,INDIRECT("K"&amp;B16+1):$K$500,0),1)),"")),""),"")</f>
        <v/>
      </c>
      <c r="C17" s="59" t="str">
        <f ca="1">IF(B17&lt;&gt;"",IF('ZIPs &amp; FIPs'!$H$7&lt;&gt;"",IF(AND('ZIPs &amp; FIPs'!$F$7="County",ISNA(INDEX(INDIRECT("K"&amp;B17):$M$500,MATCH('ZIPs &amp; FIPs'!$H$7,INDIRECT("L"&amp;B17):$L$500,0),3))=FALSE),INDEX(INDIRECT("K"&amp;B17):$M$500,MATCH('ZIPs &amp; FIPs'!$H$7,INDIRECT("L"&amp;B17):$L$500,0),3),IF(AND('ZIPs &amp; FIPs'!$F$7="City",ISNA(INDEX(INDIRECT("K"&amp;B17):$M$500,MATCH('ZIPs &amp; FIPs'!$H$7,INDIRECT("K"&amp;B17):$K$500,0),3))=FALSE),INDEX(INDIRECT("K"&amp;B17):$M$500,MATCH('ZIPs &amp; FIPs'!$H$7,INDIRECT("K"&amp;B17):$K$500,0),3),""))),"")</f>
        <v/>
      </c>
      <c r="D17" s="59" t="str">
        <f ca="1">IF(B17&lt;&gt;"",IF('ZIPs &amp; FIPs'!$H$7&lt;&gt;"",IF(AND('ZIPs &amp; FIPs'!$F$7="County",ISNA(INDEX(INDIRECT("J"&amp;B17):$M$500,MATCH('ZIPs &amp; FIPs'!$H$7,INDIRECT("L"&amp;B17):$L$500,0),1))=FALSE),INDEX(INDIRECT("J"&amp;B17):$M$500,MATCH('ZIPs &amp; FIPs'!$H$7,INDIRECT("L"&amp;B17):$L$500,0),1),IF(AND('ZIPs &amp; FIPs'!$F$7="City",ISNA(INDEX(INDIRECT("J"&amp;B17):$M$500,MATCH('ZIPs &amp; FIPs'!$H$7,INDIRECT("K"&amp;B17):$K$500,0),1))=FALSE),INDEX(INDIRECT("J"&amp;B17):$M$500,MATCH('ZIPs &amp; FIPs'!$H$7,INDIRECT("K"&amp;B17):$K$500,0),1),""))),"")</f>
        <v/>
      </c>
      <c r="E17" s="59" t="str">
        <f ca="1">IF(B17&lt;&gt;"",IF('ZIPs &amp; FIPs'!$H$7&lt;&gt;"",IF(AND('ZIPs &amp; FIPs'!$F$7="County",ISNA(INDEX(INDIRECT("K"&amp;B17):$M$500,MATCH('ZIPs &amp; FIPs'!$H$7,INDIRECT("L"&amp;B17):$L$500,0),1))=FALSE),INDEX(INDIRECT("K"&amp;B17):$M$500,MATCH('ZIPs &amp; FIPs'!$H$7,INDIRECT("L"&amp;B17):$L$500,0),1),IF(AND('ZIPs &amp; FIPs'!$F$7="City",ISNA(INDEX(INDIRECT("K"&amp;B17):$M$500,MATCH('ZIPs &amp; FIPs'!$H$7,INDIRECT("K"&amp;B17):$K$500,0),1))=FALSE),INDEX(INDIRECT("K"&amp;B17):$M$500,MATCH('ZIPs &amp; FIPs'!$H$7,INDIRECT("K"&amp;B17):$K$500,0),1),""))),"")</f>
        <v/>
      </c>
      <c r="F17" s="59" t="str">
        <f ca="1">IF(B17&lt;&gt;"",IF('ZIPs &amp; FIPs'!$H$7&lt;&gt;"",IF(AND('ZIPs &amp; FIPs'!$F$7="County",ISNA(INDEX(INDIRECT("K"&amp;B17):$M$500,MATCH('ZIPs &amp; FIPs'!$H$7,INDIRECT("L"&amp;B17):$L$500,0),2))=FALSE),INDEX(INDIRECT("K"&amp;B17):$M$500,MATCH('ZIPs &amp; FIPs'!$H$7,INDIRECT("L"&amp;B17):$L$500,0),2),IF(AND('ZIPs &amp; FIPs'!$F$7="City",ISNA(INDEX(INDIRECT("K"&amp;B17):$M$500,MATCH('ZIPs &amp; FIPs'!$H$7,INDIRECT("K"&amp;B17):$K$500,0),2))=FALSE),INDEX(INDIRECT("K"&amp;B17):$M$500,MATCH('ZIPs &amp; FIPs'!$H$7,INDIRECT("K"&amp;B17):$K$500,0),2),""))),"")</f>
        <v/>
      </c>
      <c r="H17" s="69"/>
      <c r="J17" s="46">
        <v>97840</v>
      </c>
      <c r="K17" s="50" t="s">
        <v>331</v>
      </c>
      <c r="L17" s="32" t="s">
        <v>234</v>
      </c>
      <c r="M17" s="26" t="s">
        <v>315</v>
      </c>
      <c r="N17" t="s">
        <v>1192</v>
      </c>
      <c r="Q17" s="60" t="s">
        <v>191</v>
      </c>
      <c r="R17" s="58" t="s">
        <v>174</v>
      </c>
      <c r="S17" s="25">
        <f t="shared" si="0"/>
        <v>4</v>
      </c>
      <c r="T17" s="25">
        <f t="shared" si="1"/>
        <v>1</v>
      </c>
      <c r="V17" s="25">
        <f t="shared" si="2"/>
        <v>1</v>
      </c>
      <c r="W17" s="46">
        <v>97015</v>
      </c>
      <c r="X17" s="50" t="s">
        <v>264</v>
      </c>
    </row>
    <row r="18" spans="1:24" x14ac:dyDescent="0.25">
      <c r="A18" s="25">
        <v>12</v>
      </c>
      <c r="B18" s="59" t="str">
        <f ca="1">IFERROR(IF('ZIPs &amp; FIPs'!$H$7&lt;&gt;"",IF(AND('ZIPs &amp; FIPs'!$F$7="County",ISNA(ROW(INDEX(INDIRECT("K"&amp;B17+1):$M$500,MATCH('ZIPs &amp; FIPs'!$H$7,INDIRECT("L"&amp;B17+1):$L$500,0),2)))=FALSE),ROW(INDEX(INDIRECT("K"&amp;B17+1):$M$500,MATCH('ZIPs &amp; FIPs'!$H$7,INDIRECT("L"&amp;B17+1):$L$500,0),2)),IF(AND('ZIPs &amp; FIPs'!$F$7="City",ISNA(ROW(INDEX(INDIRECT("K"&amp;B17+1):$M$500,MATCH('ZIPs &amp; FIPs'!$H$7,INDIRECT("K"&amp;B17+1):$K$500,0),1)))=FALSE),ROW(INDEX(INDIRECT("K"&amp;B17+1):$M$500,MATCH('ZIPs &amp; FIPs'!$H$7,INDIRECT("K"&amp;B17+1):$K$500,0),1)),"")),""),"")</f>
        <v/>
      </c>
      <c r="C18" s="59" t="str">
        <f ca="1">IF(B18&lt;&gt;"",IF('ZIPs &amp; FIPs'!$H$7&lt;&gt;"",IF(AND('ZIPs &amp; FIPs'!$F$7="County",ISNA(INDEX(INDIRECT("K"&amp;B18):$M$500,MATCH('ZIPs &amp; FIPs'!$H$7,INDIRECT("L"&amp;B18):$L$500,0),3))=FALSE),INDEX(INDIRECT("K"&amp;B18):$M$500,MATCH('ZIPs &amp; FIPs'!$H$7,INDIRECT("L"&amp;B18):$L$500,0),3),IF(AND('ZIPs &amp; FIPs'!$F$7="City",ISNA(INDEX(INDIRECT("K"&amp;B18):$M$500,MATCH('ZIPs &amp; FIPs'!$H$7,INDIRECT("K"&amp;B18):$K$500,0),3))=FALSE),INDEX(INDIRECT("K"&amp;B18):$M$500,MATCH('ZIPs &amp; FIPs'!$H$7,INDIRECT("K"&amp;B18):$K$500,0),3),""))),"")</f>
        <v/>
      </c>
      <c r="D18" s="59" t="str">
        <f ca="1">IF(B18&lt;&gt;"",IF('ZIPs &amp; FIPs'!$H$7&lt;&gt;"",IF(AND('ZIPs &amp; FIPs'!$F$7="County",ISNA(INDEX(INDIRECT("J"&amp;B18):$M$500,MATCH('ZIPs &amp; FIPs'!$H$7,INDIRECT("L"&amp;B18):$L$500,0),1))=FALSE),INDEX(INDIRECT("J"&amp;B18):$M$500,MATCH('ZIPs &amp; FIPs'!$H$7,INDIRECT("L"&amp;B18):$L$500,0),1),IF(AND('ZIPs &amp; FIPs'!$F$7="City",ISNA(INDEX(INDIRECT("J"&amp;B18):$M$500,MATCH('ZIPs &amp; FIPs'!$H$7,INDIRECT("K"&amp;B18):$K$500,0),1))=FALSE),INDEX(INDIRECT("J"&amp;B18):$M$500,MATCH('ZIPs &amp; FIPs'!$H$7,INDIRECT("K"&amp;B18):$K$500,0),1),""))),"")</f>
        <v/>
      </c>
      <c r="E18" s="59" t="str">
        <f ca="1">IF(B18&lt;&gt;"",IF('ZIPs &amp; FIPs'!$H$7&lt;&gt;"",IF(AND('ZIPs &amp; FIPs'!$F$7="County",ISNA(INDEX(INDIRECT("K"&amp;B18):$M$500,MATCH('ZIPs &amp; FIPs'!$H$7,INDIRECT("L"&amp;B18):$L$500,0),1))=FALSE),INDEX(INDIRECT("K"&amp;B18):$M$500,MATCH('ZIPs &amp; FIPs'!$H$7,INDIRECT("L"&amp;B18):$L$500,0),1),IF(AND('ZIPs &amp; FIPs'!$F$7="City",ISNA(INDEX(INDIRECT("K"&amp;B18):$M$500,MATCH('ZIPs &amp; FIPs'!$H$7,INDIRECT("K"&amp;B18):$K$500,0),1))=FALSE),INDEX(INDIRECT("K"&amp;B18):$M$500,MATCH('ZIPs &amp; FIPs'!$H$7,INDIRECT("K"&amp;B18):$K$500,0),1),""))),"")</f>
        <v/>
      </c>
      <c r="F18" s="59" t="str">
        <f ca="1">IF(B18&lt;&gt;"",IF('ZIPs &amp; FIPs'!$H$7&lt;&gt;"",IF(AND('ZIPs &amp; FIPs'!$F$7="County",ISNA(INDEX(INDIRECT("K"&amp;B18):$M$500,MATCH('ZIPs &amp; FIPs'!$H$7,INDIRECT("L"&amp;B18):$L$500,0),2))=FALSE),INDEX(INDIRECT("K"&amp;B18):$M$500,MATCH('ZIPs &amp; FIPs'!$H$7,INDIRECT("L"&amp;B18):$L$500,0),2),IF(AND('ZIPs &amp; FIPs'!$F$7="City",ISNA(INDEX(INDIRECT("K"&amp;B18):$M$500,MATCH('ZIPs &amp; FIPs'!$H$7,INDIRECT("K"&amp;B18):$K$500,0),2))=FALSE),INDEX(INDIRECT("K"&amp;B18):$M$500,MATCH('ZIPs &amp; FIPs'!$H$7,INDIRECT("K"&amp;B18):$K$500,0),2),""))),"")</f>
        <v/>
      </c>
      <c r="J18" s="46">
        <v>97870</v>
      </c>
      <c r="K18" s="50" t="s">
        <v>333</v>
      </c>
      <c r="L18" s="32" t="s">
        <v>234</v>
      </c>
      <c r="M18" s="26" t="s">
        <v>315</v>
      </c>
      <c r="N18" t="s">
        <v>1192</v>
      </c>
      <c r="Q18" s="60" t="s">
        <v>172</v>
      </c>
      <c r="R18" s="58" t="s">
        <v>477</v>
      </c>
      <c r="S18" s="25">
        <f t="shared" si="0"/>
        <v>15</v>
      </c>
      <c r="T18" s="25">
        <f t="shared" si="1"/>
        <v>1</v>
      </c>
      <c r="V18" s="25">
        <f t="shared" si="2"/>
        <v>1</v>
      </c>
      <c r="W18" s="46">
        <v>97016</v>
      </c>
      <c r="X18" s="50" t="s">
        <v>390</v>
      </c>
    </row>
    <row r="19" spans="1:24" x14ac:dyDescent="0.25">
      <c r="A19" s="25">
        <v>13</v>
      </c>
      <c r="B19" s="59" t="str">
        <f ca="1">IFERROR(IF('ZIPs &amp; FIPs'!$H$7&lt;&gt;"",IF(AND('ZIPs &amp; FIPs'!$F$7="County",ISNA(ROW(INDEX(INDIRECT("K"&amp;B18+1):$M$500,MATCH('ZIPs &amp; FIPs'!$H$7,INDIRECT("L"&amp;B18+1):$L$500,0),2)))=FALSE),ROW(INDEX(INDIRECT("K"&amp;B18+1):$M$500,MATCH('ZIPs &amp; FIPs'!$H$7,INDIRECT("L"&amp;B18+1):$L$500,0),2)),IF(AND('ZIPs &amp; FIPs'!$F$7="City",ISNA(ROW(INDEX(INDIRECT("K"&amp;B18+1):$M$500,MATCH('ZIPs &amp; FIPs'!$H$7,INDIRECT("K"&amp;B18+1):$K$500,0),1)))=FALSE),ROW(INDEX(INDIRECT("K"&amp;B18+1):$M$500,MATCH('ZIPs &amp; FIPs'!$H$7,INDIRECT("K"&amp;B18+1):$K$500,0),1)),"")),""),"")</f>
        <v/>
      </c>
      <c r="C19" s="59" t="str">
        <f ca="1">IF(B19&lt;&gt;"",IF('ZIPs &amp; FIPs'!$H$7&lt;&gt;"",IF(AND('ZIPs &amp; FIPs'!$F$7="County",ISNA(INDEX(INDIRECT("K"&amp;B19):$M$500,MATCH('ZIPs &amp; FIPs'!$H$7,INDIRECT("L"&amp;B19):$L$500,0),3))=FALSE),INDEX(INDIRECT("K"&amp;B19):$M$500,MATCH('ZIPs &amp; FIPs'!$H$7,INDIRECT("L"&amp;B19):$L$500,0),3),IF(AND('ZIPs &amp; FIPs'!$F$7="City",ISNA(INDEX(INDIRECT("K"&amp;B19):$M$500,MATCH('ZIPs &amp; FIPs'!$H$7,INDIRECT("K"&amp;B19):$K$500,0),3))=FALSE),INDEX(INDIRECT("K"&amp;B19):$M$500,MATCH('ZIPs &amp; FIPs'!$H$7,INDIRECT("K"&amp;B19):$K$500,0),3),""))),"")</f>
        <v/>
      </c>
      <c r="D19" s="59" t="str">
        <f ca="1">IF(B19&lt;&gt;"",IF('ZIPs &amp; FIPs'!$H$7&lt;&gt;"",IF(AND('ZIPs &amp; FIPs'!$F$7="County",ISNA(INDEX(INDIRECT("J"&amp;B19):$M$500,MATCH('ZIPs &amp; FIPs'!$H$7,INDIRECT("L"&amp;B19):$L$500,0),1))=FALSE),INDEX(INDIRECT("J"&amp;B19):$M$500,MATCH('ZIPs &amp; FIPs'!$H$7,INDIRECT("L"&amp;B19):$L$500,0),1),IF(AND('ZIPs &amp; FIPs'!$F$7="City",ISNA(INDEX(INDIRECT("J"&amp;B19):$M$500,MATCH('ZIPs &amp; FIPs'!$H$7,INDIRECT("K"&amp;B19):$K$500,0),1))=FALSE),INDEX(INDIRECT("J"&amp;B19):$M$500,MATCH('ZIPs &amp; FIPs'!$H$7,INDIRECT("K"&amp;B19):$K$500,0),1),""))),"")</f>
        <v/>
      </c>
      <c r="E19" s="59" t="str">
        <f ca="1">IF(B19&lt;&gt;"",IF('ZIPs &amp; FIPs'!$H$7&lt;&gt;"",IF(AND('ZIPs &amp; FIPs'!$F$7="County",ISNA(INDEX(INDIRECT("K"&amp;B19):$M$500,MATCH('ZIPs &amp; FIPs'!$H$7,INDIRECT("L"&amp;B19):$L$500,0),1))=FALSE),INDEX(INDIRECT("K"&amp;B19):$M$500,MATCH('ZIPs &amp; FIPs'!$H$7,INDIRECT("L"&amp;B19):$L$500,0),1),IF(AND('ZIPs &amp; FIPs'!$F$7="City",ISNA(INDEX(INDIRECT("K"&amp;B19):$M$500,MATCH('ZIPs &amp; FIPs'!$H$7,INDIRECT("K"&amp;B19):$K$500,0),1))=FALSE),INDEX(INDIRECT("K"&amp;B19):$M$500,MATCH('ZIPs &amp; FIPs'!$H$7,INDIRECT("K"&amp;B19):$K$500,0),1),""))),"")</f>
        <v/>
      </c>
      <c r="F19" s="59" t="str">
        <f ca="1">IF(B19&lt;&gt;"",IF('ZIPs &amp; FIPs'!$H$7&lt;&gt;"",IF(AND('ZIPs &amp; FIPs'!$F$7="County",ISNA(INDEX(INDIRECT("K"&amp;B19):$M$500,MATCH('ZIPs &amp; FIPs'!$H$7,INDIRECT("L"&amp;B19):$L$500,0),2))=FALSE),INDEX(INDIRECT("K"&amp;B19):$M$500,MATCH('ZIPs &amp; FIPs'!$H$7,INDIRECT("L"&amp;B19):$L$500,0),2),IF(AND('ZIPs &amp; FIPs'!$F$7="City",ISNA(INDEX(INDIRECT("K"&amp;B19):$M$500,MATCH('ZIPs &amp; FIPs'!$H$7,INDIRECT("K"&amp;B19):$K$500,0),2))=FALSE),INDEX(INDIRECT("K"&amp;B19):$M$500,MATCH('ZIPs &amp; FIPs'!$H$7,INDIRECT("K"&amp;B19):$K$500,0),2),""))),"")</f>
        <v/>
      </c>
      <c r="J19" s="46">
        <v>97877</v>
      </c>
      <c r="K19" s="50" t="s">
        <v>335</v>
      </c>
      <c r="L19" s="32" t="s">
        <v>234</v>
      </c>
      <c r="M19" s="26" t="s">
        <v>315</v>
      </c>
      <c r="N19" t="s">
        <v>1192</v>
      </c>
      <c r="Q19" s="60" t="s">
        <v>213</v>
      </c>
      <c r="R19" s="58" t="s">
        <v>73</v>
      </c>
      <c r="S19" s="25">
        <f t="shared" si="0"/>
        <v>6</v>
      </c>
      <c r="T19" s="25">
        <f t="shared" si="1"/>
        <v>1</v>
      </c>
      <c r="V19" s="25">
        <f t="shared" si="2"/>
        <v>1</v>
      </c>
      <c r="W19" s="46">
        <v>97017</v>
      </c>
      <c r="X19" s="50" t="s">
        <v>365</v>
      </c>
    </row>
    <row r="20" spans="1:24" x14ac:dyDescent="0.25">
      <c r="A20" s="25">
        <v>14</v>
      </c>
      <c r="B20" s="59" t="str">
        <f ca="1">IFERROR(IF('ZIPs &amp; FIPs'!$H$7&lt;&gt;"",IF(AND('ZIPs &amp; FIPs'!$F$7="County",ISNA(ROW(INDEX(INDIRECT("K"&amp;B19+1):$M$500,MATCH('ZIPs &amp; FIPs'!$H$7,INDIRECT("L"&amp;B19+1):$L$500,0),2)))=FALSE),ROW(INDEX(INDIRECT("K"&amp;B19+1):$M$500,MATCH('ZIPs &amp; FIPs'!$H$7,INDIRECT("L"&amp;B19+1):$L$500,0),2)),IF(AND('ZIPs &amp; FIPs'!$F$7="City",ISNA(ROW(INDEX(INDIRECT("K"&amp;B19+1):$M$500,MATCH('ZIPs &amp; FIPs'!$H$7,INDIRECT("K"&amp;B19+1):$K$500,0),1)))=FALSE),ROW(INDEX(INDIRECT("K"&amp;B19+1):$M$500,MATCH('ZIPs &amp; FIPs'!$H$7,INDIRECT("K"&amp;B19+1):$K$500,0),1)),"")),""),"")</f>
        <v/>
      </c>
      <c r="C20" s="59" t="str">
        <f ca="1">IF(B20&lt;&gt;"",IF('ZIPs &amp; FIPs'!$H$7&lt;&gt;"",IF(AND('ZIPs &amp; FIPs'!$F$7="County",ISNA(INDEX(INDIRECT("K"&amp;B20):$M$500,MATCH('ZIPs &amp; FIPs'!$H$7,INDIRECT("L"&amp;B20):$L$500,0),3))=FALSE),INDEX(INDIRECT("K"&amp;B20):$M$500,MATCH('ZIPs &amp; FIPs'!$H$7,INDIRECT("L"&amp;B20):$L$500,0),3),IF(AND('ZIPs &amp; FIPs'!$F$7="City",ISNA(INDEX(INDIRECT("K"&amp;B20):$M$500,MATCH('ZIPs &amp; FIPs'!$H$7,INDIRECT("K"&amp;B20):$K$500,0),3))=FALSE),INDEX(INDIRECT("K"&amp;B20):$M$500,MATCH('ZIPs &amp; FIPs'!$H$7,INDIRECT("K"&amp;B20):$K$500,0),3),""))),"")</f>
        <v/>
      </c>
      <c r="D20" s="59" t="str">
        <f ca="1">IF(B20&lt;&gt;"",IF('ZIPs &amp; FIPs'!$H$7&lt;&gt;"",IF(AND('ZIPs &amp; FIPs'!$F$7="County",ISNA(INDEX(INDIRECT("J"&amp;B20):$M$500,MATCH('ZIPs &amp; FIPs'!$H$7,INDIRECT("L"&amp;B20):$L$500,0),1))=FALSE),INDEX(INDIRECT("J"&amp;B20):$M$500,MATCH('ZIPs &amp; FIPs'!$H$7,INDIRECT("L"&amp;B20):$L$500,0),1),IF(AND('ZIPs &amp; FIPs'!$F$7="City",ISNA(INDEX(INDIRECT("J"&amp;B20):$M$500,MATCH('ZIPs &amp; FIPs'!$H$7,INDIRECT("K"&amp;B20):$K$500,0),1))=FALSE),INDEX(INDIRECT("J"&amp;B20):$M$500,MATCH('ZIPs &amp; FIPs'!$H$7,INDIRECT("K"&amp;B20):$K$500,0),1),""))),"")</f>
        <v/>
      </c>
      <c r="E20" s="59" t="str">
        <f ca="1">IF(B20&lt;&gt;"",IF('ZIPs &amp; FIPs'!$H$7&lt;&gt;"",IF(AND('ZIPs &amp; FIPs'!$F$7="County",ISNA(INDEX(INDIRECT("K"&amp;B20):$M$500,MATCH('ZIPs &amp; FIPs'!$H$7,INDIRECT("L"&amp;B20):$L$500,0),1))=FALSE),INDEX(INDIRECT("K"&amp;B20):$M$500,MATCH('ZIPs &amp; FIPs'!$H$7,INDIRECT("L"&amp;B20):$L$500,0),1),IF(AND('ZIPs &amp; FIPs'!$F$7="City",ISNA(INDEX(INDIRECT("K"&amp;B20):$M$500,MATCH('ZIPs &amp; FIPs'!$H$7,INDIRECT("K"&amp;B20):$K$500,0),1))=FALSE),INDEX(INDIRECT("K"&amp;B20):$M$500,MATCH('ZIPs &amp; FIPs'!$H$7,INDIRECT("K"&amp;B20):$K$500,0),1),""))),"")</f>
        <v/>
      </c>
      <c r="F20" s="59" t="str">
        <f ca="1">IF(B20&lt;&gt;"",IF('ZIPs &amp; FIPs'!$H$7&lt;&gt;"",IF(AND('ZIPs &amp; FIPs'!$F$7="County",ISNA(INDEX(INDIRECT("K"&amp;B20):$M$500,MATCH('ZIPs &amp; FIPs'!$H$7,INDIRECT("L"&amp;B20):$L$500,0),2))=FALSE),INDEX(INDIRECT("K"&amp;B20):$M$500,MATCH('ZIPs &amp; FIPs'!$H$7,INDIRECT("L"&amp;B20):$L$500,0),2),IF(AND('ZIPs &amp; FIPs'!$F$7="City",ISNA(INDEX(INDIRECT("K"&amp;B20):$M$500,MATCH('ZIPs &amp; FIPs'!$H$7,INDIRECT("K"&amp;B20):$K$500,0),2))=FALSE),INDEX(INDIRECT("K"&amp;B20):$M$500,MATCH('ZIPs &amp; FIPs'!$H$7,INDIRECT("K"&amp;B20):$K$500,0),2),""))),"")</f>
        <v/>
      </c>
      <c r="J20" s="46">
        <v>97884</v>
      </c>
      <c r="K20" s="50" t="s">
        <v>337</v>
      </c>
      <c r="L20" s="32" t="s">
        <v>234</v>
      </c>
      <c r="M20" s="26" t="s">
        <v>315</v>
      </c>
      <c r="N20" t="s">
        <v>1192</v>
      </c>
      <c r="Q20" s="60" t="s">
        <v>182</v>
      </c>
      <c r="R20" s="58" t="s">
        <v>628</v>
      </c>
      <c r="S20" s="25">
        <f t="shared" si="0"/>
        <v>12</v>
      </c>
      <c r="T20" s="25">
        <f t="shared" si="1"/>
        <v>1</v>
      </c>
      <c r="V20" s="25">
        <f t="shared" si="2"/>
        <v>1</v>
      </c>
      <c r="W20" s="46">
        <v>97018</v>
      </c>
      <c r="X20" s="50" t="s">
        <v>391</v>
      </c>
    </row>
    <row r="21" spans="1:24" x14ac:dyDescent="0.25">
      <c r="A21" s="25">
        <v>15</v>
      </c>
      <c r="B21" s="59" t="str">
        <f ca="1">IFERROR(IF('ZIPs &amp; FIPs'!$H$7&lt;&gt;"",IF(AND('ZIPs &amp; FIPs'!$F$7="County",ISNA(ROW(INDEX(INDIRECT("K"&amp;B20+1):$M$500,MATCH('ZIPs &amp; FIPs'!$H$7,INDIRECT("L"&amp;B20+1):$L$500,0),2)))=FALSE),ROW(INDEX(INDIRECT("K"&amp;B20+1):$M$500,MATCH('ZIPs &amp; FIPs'!$H$7,INDIRECT("L"&amp;B20+1):$L$500,0),2)),IF(AND('ZIPs &amp; FIPs'!$F$7="City",ISNA(ROW(INDEX(INDIRECT("K"&amp;B20+1):$M$500,MATCH('ZIPs &amp; FIPs'!$H$7,INDIRECT("K"&amp;B20+1):$K$500,0),1)))=FALSE),ROW(INDEX(INDIRECT("K"&amp;B20+1):$M$500,MATCH('ZIPs &amp; FIPs'!$H$7,INDIRECT("K"&amp;B20+1):$K$500,0),1)),"")),""),"")</f>
        <v/>
      </c>
      <c r="C21" s="59" t="str">
        <f ca="1">IF(B21&lt;&gt;"",IF('ZIPs &amp; FIPs'!$H$7&lt;&gt;"",IF(AND('ZIPs &amp; FIPs'!$F$7="County",ISNA(INDEX(INDIRECT("K"&amp;B21):$M$500,MATCH('ZIPs &amp; FIPs'!$H$7,INDIRECT("L"&amp;B21):$L$500,0),3))=FALSE),INDEX(INDIRECT("K"&amp;B21):$M$500,MATCH('ZIPs &amp; FIPs'!$H$7,INDIRECT("L"&amp;B21):$L$500,0),3),IF(AND('ZIPs &amp; FIPs'!$F$7="City",ISNA(INDEX(INDIRECT("K"&amp;B21):$M$500,MATCH('ZIPs &amp; FIPs'!$H$7,INDIRECT("K"&amp;B21):$K$500,0),3))=FALSE),INDEX(INDIRECT("K"&amp;B21):$M$500,MATCH('ZIPs &amp; FIPs'!$H$7,INDIRECT("K"&amp;B21):$K$500,0),3),""))),"")</f>
        <v/>
      </c>
      <c r="D21" s="59" t="str">
        <f ca="1">IF(B21&lt;&gt;"",IF('ZIPs &amp; FIPs'!$H$7&lt;&gt;"",IF(AND('ZIPs &amp; FIPs'!$F$7="County",ISNA(INDEX(INDIRECT("J"&amp;B21):$M$500,MATCH('ZIPs &amp; FIPs'!$H$7,INDIRECT("L"&amp;B21):$L$500,0),1))=FALSE),INDEX(INDIRECT("J"&amp;B21):$M$500,MATCH('ZIPs &amp; FIPs'!$H$7,INDIRECT("L"&amp;B21):$L$500,0),1),IF(AND('ZIPs &amp; FIPs'!$F$7="City",ISNA(INDEX(INDIRECT("J"&amp;B21):$M$500,MATCH('ZIPs &amp; FIPs'!$H$7,INDIRECT("K"&amp;B21):$K$500,0),1))=FALSE),INDEX(INDIRECT("J"&amp;B21):$M$500,MATCH('ZIPs &amp; FIPs'!$H$7,INDIRECT("K"&amp;B21):$K$500,0),1),""))),"")</f>
        <v/>
      </c>
      <c r="E21" s="59" t="str">
        <f ca="1">IF(B21&lt;&gt;"",IF('ZIPs &amp; FIPs'!$H$7&lt;&gt;"",IF(AND('ZIPs &amp; FIPs'!$F$7="County",ISNA(INDEX(INDIRECT("K"&amp;B21):$M$500,MATCH('ZIPs &amp; FIPs'!$H$7,INDIRECT("L"&amp;B21):$L$500,0),1))=FALSE),INDEX(INDIRECT("K"&amp;B21):$M$500,MATCH('ZIPs &amp; FIPs'!$H$7,INDIRECT("L"&amp;B21):$L$500,0),1),IF(AND('ZIPs &amp; FIPs'!$F$7="City",ISNA(INDEX(INDIRECT("K"&amp;B21):$M$500,MATCH('ZIPs &amp; FIPs'!$H$7,INDIRECT("K"&amp;B21):$K$500,0),1))=FALSE),INDEX(INDIRECT("K"&amp;B21):$M$500,MATCH('ZIPs &amp; FIPs'!$H$7,INDIRECT("K"&amp;B21):$K$500,0),1),""))),"")</f>
        <v/>
      </c>
      <c r="F21" s="59" t="str">
        <f ca="1">IF(B21&lt;&gt;"",IF('ZIPs &amp; FIPs'!$H$7&lt;&gt;"",IF(AND('ZIPs &amp; FIPs'!$F$7="County",ISNA(INDEX(INDIRECT("K"&amp;B21):$M$500,MATCH('ZIPs &amp; FIPs'!$H$7,INDIRECT("L"&amp;B21):$L$500,0),2))=FALSE),INDEX(INDIRECT("K"&amp;B21):$M$500,MATCH('ZIPs &amp; FIPs'!$H$7,INDIRECT("L"&amp;B21):$L$500,0),2),IF(AND('ZIPs &amp; FIPs'!$F$7="City",ISNA(INDEX(INDIRECT("K"&amp;B21):$M$500,MATCH('ZIPs &amp; FIPs'!$H$7,INDIRECT("K"&amp;B21):$K$500,0),2))=FALSE),INDEX(INDIRECT("K"&amp;B21):$M$500,MATCH('ZIPs &amp; FIPs'!$H$7,INDIRECT("K"&amp;B21):$K$500,0),2),""))),"")</f>
        <v/>
      </c>
      <c r="J21" s="46">
        <v>97905</v>
      </c>
      <c r="K21" s="50" t="s">
        <v>339</v>
      </c>
      <c r="L21" s="32" t="s">
        <v>234</v>
      </c>
      <c r="M21" s="26" t="s">
        <v>315</v>
      </c>
      <c r="N21" t="s">
        <v>1192</v>
      </c>
      <c r="Q21" s="60" t="s">
        <v>218</v>
      </c>
      <c r="R21" s="58" t="s">
        <v>587</v>
      </c>
      <c r="S21" s="25">
        <f t="shared" si="0"/>
        <v>19</v>
      </c>
      <c r="T21" s="25">
        <f t="shared" si="1"/>
        <v>1</v>
      </c>
      <c r="V21" s="25">
        <f t="shared" si="2"/>
        <v>1</v>
      </c>
      <c r="W21" s="46">
        <v>97019</v>
      </c>
      <c r="X21" s="50" t="s">
        <v>603</v>
      </c>
    </row>
    <row r="22" spans="1:24" x14ac:dyDescent="0.25">
      <c r="A22" s="25">
        <v>16</v>
      </c>
      <c r="B22" s="59" t="str">
        <f ca="1">IFERROR(IF('ZIPs &amp; FIPs'!$H$7&lt;&gt;"",IF(AND('ZIPs &amp; FIPs'!$F$7="County",ISNA(ROW(INDEX(INDIRECT("K"&amp;B21+1):$M$500,MATCH('ZIPs &amp; FIPs'!$H$7,INDIRECT("L"&amp;B21+1):$L$500,0),2)))=FALSE),ROW(INDEX(INDIRECT("K"&amp;B21+1):$M$500,MATCH('ZIPs &amp; FIPs'!$H$7,INDIRECT("L"&amp;B21+1):$L$500,0),2)),IF(AND('ZIPs &amp; FIPs'!$F$7="City",ISNA(ROW(INDEX(INDIRECT("K"&amp;B21+1):$M$500,MATCH('ZIPs &amp; FIPs'!$H$7,INDIRECT("K"&amp;B21+1):$K$500,0),1)))=FALSE),ROW(INDEX(INDIRECT("K"&amp;B21+1):$M$500,MATCH('ZIPs &amp; FIPs'!$H$7,INDIRECT("K"&amp;B21+1):$K$500,0),1)),"")),""),"")</f>
        <v/>
      </c>
      <c r="C22" s="59" t="str">
        <f ca="1">IF(B22&lt;&gt;"",IF('ZIPs &amp; FIPs'!$H$7&lt;&gt;"",IF(AND('ZIPs &amp; FIPs'!$F$7="County",ISNA(INDEX(INDIRECT("K"&amp;B22):$M$500,MATCH('ZIPs &amp; FIPs'!$H$7,INDIRECT("L"&amp;B22):$L$500,0),3))=FALSE),INDEX(INDIRECT("K"&amp;B22):$M$500,MATCH('ZIPs &amp; FIPs'!$H$7,INDIRECT("L"&amp;B22):$L$500,0),3),IF(AND('ZIPs &amp; FIPs'!$F$7="City",ISNA(INDEX(INDIRECT("K"&amp;B22):$M$500,MATCH('ZIPs &amp; FIPs'!$H$7,INDIRECT("K"&amp;B22):$K$500,0),3))=FALSE),INDEX(INDIRECT("K"&amp;B22):$M$500,MATCH('ZIPs &amp; FIPs'!$H$7,INDIRECT("K"&amp;B22):$K$500,0),3),""))),"")</f>
        <v/>
      </c>
      <c r="D22" s="59" t="str">
        <f ca="1">IF(B22&lt;&gt;"",IF('ZIPs &amp; FIPs'!$H$7&lt;&gt;"",IF(AND('ZIPs &amp; FIPs'!$F$7="County",ISNA(INDEX(INDIRECT("J"&amp;B22):$M$500,MATCH('ZIPs &amp; FIPs'!$H$7,INDIRECT("L"&amp;B22):$L$500,0),1))=FALSE),INDEX(INDIRECT("J"&amp;B22):$M$500,MATCH('ZIPs &amp; FIPs'!$H$7,INDIRECT("L"&amp;B22):$L$500,0),1),IF(AND('ZIPs &amp; FIPs'!$F$7="City",ISNA(INDEX(INDIRECT("J"&amp;B22):$M$500,MATCH('ZIPs &amp; FIPs'!$H$7,INDIRECT("K"&amp;B22):$K$500,0),1))=FALSE),INDEX(INDIRECT("J"&amp;B22):$M$500,MATCH('ZIPs &amp; FIPs'!$H$7,INDIRECT("K"&amp;B22):$K$500,0),1),""))),"")</f>
        <v/>
      </c>
      <c r="E22" s="59" t="str">
        <f ca="1">IF(B22&lt;&gt;"",IF('ZIPs &amp; FIPs'!$H$7&lt;&gt;"",IF(AND('ZIPs &amp; FIPs'!$F$7="County",ISNA(INDEX(INDIRECT("K"&amp;B22):$M$500,MATCH('ZIPs &amp; FIPs'!$H$7,INDIRECT("L"&amp;B22):$L$500,0),1))=FALSE),INDEX(INDIRECT("K"&amp;B22):$M$500,MATCH('ZIPs &amp; FIPs'!$H$7,INDIRECT("L"&amp;B22):$L$500,0),1),IF(AND('ZIPs &amp; FIPs'!$F$7="City",ISNA(INDEX(INDIRECT("K"&amp;B22):$M$500,MATCH('ZIPs &amp; FIPs'!$H$7,INDIRECT("K"&amp;B22):$K$500,0),1))=FALSE),INDEX(INDIRECT("K"&amp;B22):$M$500,MATCH('ZIPs &amp; FIPs'!$H$7,INDIRECT("K"&amp;B22):$K$500,0),1),""))),"")</f>
        <v/>
      </c>
      <c r="F22" s="59" t="str">
        <f ca="1">IF(B22&lt;&gt;"",IF('ZIPs &amp; FIPs'!$H$7&lt;&gt;"",IF(AND('ZIPs &amp; FIPs'!$F$7="County",ISNA(INDEX(INDIRECT("K"&amp;B22):$M$500,MATCH('ZIPs &amp; FIPs'!$H$7,INDIRECT("L"&amp;B22):$L$500,0),2))=FALSE),INDEX(INDIRECT("K"&amp;B22):$M$500,MATCH('ZIPs &amp; FIPs'!$H$7,INDIRECT("L"&amp;B22):$L$500,0),2),IF(AND('ZIPs &amp; FIPs'!$F$7="City",ISNA(INDEX(INDIRECT("K"&amp;B22):$M$500,MATCH('ZIPs &amp; FIPs'!$H$7,INDIRECT("K"&amp;B22):$K$500,0),2))=FALSE),INDEX(INDIRECT("K"&amp;B22):$M$500,MATCH('ZIPs &amp; FIPs'!$H$7,INDIRECT("K"&amp;B22):$K$500,0),2),""))),"")</f>
        <v/>
      </c>
      <c r="J22" s="46">
        <v>97907</v>
      </c>
      <c r="K22" s="50" t="s">
        <v>341</v>
      </c>
      <c r="L22" s="32" t="s">
        <v>234</v>
      </c>
      <c r="M22" s="26" t="s">
        <v>315</v>
      </c>
      <c r="N22" t="s">
        <v>1192</v>
      </c>
      <c r="Q22" s="60" t="s">
        <v>221</v>
      </c>
      <c r="R22" s="58" t="s">
        <v>581</v>
      </c>
      <c r="S22" s="25">
        <f t="shared" si="0"/>
        <v>9</v>
      </c>
      <c r="T22" s="25">
        <f t="shared" si="1"/>
        <v>1</v>
      </c>
      <c r="V22" s="25">
        <f t="shared" si="2"/>
        <v>1</v>
      </c>
      <c r="W22" s="46">
        <v>97020</v>
      </c>
      <c r="X22" s="50" t="s">
        <v>582</v>
      </c>
    </row>
    <row r="23" spans="1:24" x14ac:dyDescent="0.25">
      <c r="A23" s="25">
        <v>17</v>
      </c>
      <c r="B23" s="59" t="str">
        <f ca="1">IFERROR(IF('ZIPs &amp; FIPs'!$H$7&lt;&gt;"",IF(AND('ZIPs &amp; FIPs'!$F$7="County",ISNA(ROW(INDEX(INDIRECT("K"&amp;B22+1):$M$500,MATCH('ZIPs &amp; FIPs'!$H$7,INDIRECT("L"&amp;B22+1):$L$500,0),2)))=FALSE),ROW(INDEX(INDIRECT("K"&amp;B22+1):$M$500,MATCH('ZIPs &amp; FIPs'!$H$7,INDIRECT("L"&amp;B22+1):$L$500,0),2)),IF(AND('ZIPs &amp; FIPs'!$F$7="City",ISNA(ROW(INDEX(INDIRECT("K"&amp;B22+1):$M$500,MATCH('ZIPs &amp; FIPs'!$H$7,INDIRECT("K"&amp;B22+1):$K$500,0),1)))=FALSE),ROW(INDEX(INDIRECT("K"&amp;B22+1):$M$500,MATCH('ZIPs &amp; FIPs'!$H$7,INDIRECT("K"&amp;B22+1):$K$500,0),1)),"")),""),"")</f>
        <v/>
      </c>
      <c r="C23" s="59" t="str">
        <f ca="1">IF(B23&lt;&gt;"",IF('ZIPs &amp; FIPs'!$H$7&lt;&gt;"",IF(AND('ZIPs &amp; FIPs'!$F$7="County",ISNA(INDEX(INDIRECT("K"&amp;B23):$M$500,MATCH('ZIPs &amp; FIPs'!$H$7,INDIRECT("L"&amp;B23):$L$500,0),3))=FALSE),INDEX(INDIRECT("K"&amp;B23):$M$500,MATCH('ZIPs &amp; FIPs'!$H$7,INDIRECT("L"&amp;B23):$L$500,0),3),IF(AND('ZIPs &amp; FIPs'!$F$7="City",ISNA(INDEX(INDIRECT("K"&amp;B23):$M$500,MATCH('ZIPs &amp; FIPs'!$H$7,INDIRECT("K"&amp;B23):$K$500,0),3))=FALSE),INDEX(INDIRECT("K"&amp;B23):$M$500,MATCH('ZIPs &amp; FIPs'!$H$7,INDIRECT("K"&amp;B23):$K$500,0),3),""))),"")</f>
        <v/>
      </c>
      <c r="D23" s="59" t="str">
        <f ca="1">IF(B23&lt;&gt;"",IF('ZIPs &amp; FIPs'!$H$7&lt;&gt;"",IF(AND('ZIPs &amp; FIPs'!$F$7="County",ISNA(INDEX(INDIRECT("J"&amp;B23):$M$500,MATCH('ZIPs &amp; FIPs'!$H$7,INDIRECT("L"&amp;B23):$L$500,0),1))=FALSE),INDEX(INDIRECT("J"&amp;B23):$M$500,MATCH('ZIPs &amp; FIPs'!$H$7,INDIRECT("L"&amp;B23):$L$500,0),1),IF(AND('ZIPs &amp; FIPs'!$F$7="City",ISNA(INDEX(INDIRECT("J"&amp;B23):$M$500,MATCH('ZIPs &amp; FIPs'!$H$7,INDIRECT("K"&amp;B23):$K$500,0),1))=FALSE),INDEX(INDIRECT("J"&amp;B23):$M$500,MATCH('ZIPs &amp; FIPs'!$H$7,INDIRECT("K"&amp;B23):$K$500,0),1),""))),"")</f>
        <v/>
      </c>
      <c r="E23" s="59" t="str">
        <f ca="1">IF(B23&lt;&gt;"",IF('ZIPs &amp; FIPs'!$H$7&lt;&gt;"",IF(AND('ZIPs &amp; FIPs'!$F$7="County",ISNA(INDEX(INDIRECT("K"&amp;B23):$M$500,MATCH('ZIPs &amp; FIPs'!$H$7,INDIRECT("L"&amp;B23):$L$500,0),1))=FALSE),INDEX(INDIRECT("K"&amp;B23):$M$500,MATCH('ZIPs &amp; FIPs'!$H$7,INDIRECT("L"&amp;B23):$L$500,0),1),IF(AND('ZIPs &amp; FIPs'!$F$7="City",ISNA(INDEX(INDIRECT("K"&amp;B23):$M$500,MATCH('ZIPs &amp; FIPs'!$H$7,INDIRECT("K"&amp;B23):$K$500,0),1))=FALSE),INDEX(INDIRECT("K"&amp;B23):$M$500,MATCH('ZIPs &amp; FIPs'!$H$7,INDIRECT("K"&amp;B23):$K$500,0),1),""))),"")</f>
        <v/>
      </c>
      <c r="F23" s="59" t="str">
        <f ca="1">IF(B23&lt;&gt;"",IF('ZIPs &amp; FIPs'!$H$7&lt;&gt;"",IF(AND('ZIPs &amp; FIPs'!$F$7="County",ISNA(INDEX(INDIRECT("K"&amp;B23):$M$500,MATCH('ZIPs &amp; FIPs'!$H$7,INDIRECT("L"&amp;B23):$L$500,0),2))=FALSE),INDEX(INDIRECT("K"&amp;B23):$M$500,MATCH('ZIPs &amp; FIPs'!$H$7,INDIRECT("L"&amp;B23):$L$500,0),2),IF(AND('ZIPs &amp; FIPs'!$F$7="City",ISNA(INDEX(INDIRECT("K"&amp;B23):$M$500,MATCH('ZIPs &amp; FIPs'!$H$7,INDIRECT("K"&amp;B23):$K$500,0),2))=FALSE),INDEX(INDIRECT("K"&amp;B23):$M$500,MATCH('ZIPs &amp; FIPs'!$H$7,INDIRECT("K"&amp;B23):$K$500,0),2),""))),"")</f>
        <v/>
      </c>
      <c r="J23" s="46">
        <v>97324</v>
      </c>
      <c r="K23" s="50" t="s">
        <v>343</v>
      </c>
      <c r="L23" s="32" t="s">
        <v>132</v>
      </c>
      <c r="M23" s="26" t="s">
        <v>316</v>
      </c>
      <c r="N23" t="s">
        <v>1193</v>
      </c>
      <c r="Q23" s="60" t="s">
        <v>149</v>
      </c>
      <c r="R23" s="58" t="s">
        <v>419</v>
      </c>
      <c r="S23" s="25">
        <f t="shared" si="0"/>
        <v>40</v>
      </c>
      <c r="T23" s="25">
        <f t="shared" si="1"/>
        <v>1</v>
      </c>
      <c r="V23" s="25">
        <f t="shared" si="2"/>
        <v>1</v>
      </c>
      <c r="W23" s="46">
        <v>97021</v>
      </c>
      <c r="X23" s="50" t="s">
        <v>646</v>
      </c>
    </row>
    <row r="24" spans="1:24" x14ac:dyDescent="0.25">
      <c r="A24" s="25">
        <v>18</v>
      </c>
      <c r="B24" s="59" t="str">
        <f ca="1">IFERROR(IF('ZIPs &amp; FIPs'!$H$7&lt;&gt;"",IF(AND('ZIPs &amp; FIPs'!$F$7="County",ISNA(ROW(INDEX(INDIRECT("K"&amp;B23+1):$M$500,MATCH('ZIPs &amp; FIPs'!$H$7,INDIRECT("L"&amp;B23+1):$L$500,0),2)))=FALSE),ROW(INDEX(INDIRECT("K"&amp;B23+1):$M$500,MATCH('ZIPs &amp; FIPs'!$H$7,INDIRECT("L"&amp;B23+1):$L$500,0),2)),IF(AND('ZIPs &amp; FIPs'!$F$7="City",ISNA(ROW(INDEX(INDIRECT("K"&amp;B23+1):$M$500,MATCH('ZIPs &amp; FIPs'!$H$7,INDIRECT("K"&amp;B23+1):$K$500,0),1)))=FALSE),ROW(INDEX(INDIRECT("K"&amp;B23+1):$M$500,MATCH('ZIPs &amp; FIPs'!$H$7,INDIRECT("K"&amp;B23+1):$K$500,0),1)),"")),""),"")</f>
        <v/>
      </c>
      <c r="C24" s="59" t="str">
        <f ca="1">IF(B24&lt;&gt;"",IF('ZIPs &amp; FIPs'!$H$7&lt;&gt;"",IF(AND('ZIPs &amp; FIPs'!$F$7="County",ISNA(INDEX(INDIRECT("K"&amp;B24):$M$500,MATCH('ZIPs &amp; FIPs'!$H$7,INDIRECT("L"&amp;B24):$L$500,0),3))=FALSE),INDEX(INDIRECT("K"&amp;B24):$M$500,MATCH('ZIPs &amp; FIPs'!$H$7,INDIRECT("L"&amp;B24):$L$500,0),3),IF(AND('ZIPs &amp; FIPs'!$F$7="City",ISNA(INDEX(INDIRECT("K"&amp;B24):$M$500,MATCH('ZIPs &amp; FIPs'!$H$7,INDIRECT("K"&amp;B24):$K$500,0),3))=FALSE),INDEX(INDIRECT("K"&amp;B24):$M$500,MATCH('ZIPs &amp; FIPs'!$H$7,INDIRECT("K"&amp;B24):$K$500,0),3),""))),"")</f>
        <v/>
      </c>
      <c r="D24" s="59" t="str">
        <f ca="1">IF(B24&lt;&gt;"",IF('ZIPs &amp; FIPs'!$H$7&lt;&gt;"",IF(AND('ZIPs &amp; FIPs'!$F$7="County",ISNA(INDEX(INDIRECT("J"&amp;B24):$M$500,MATCH('ZIPs &amp; FIPs'!$H$7,INDIRECT("L"&amp;B24):$L$500,0),1))=FALSE),INDEX(INDIRECT("J"&amp;B24):$M$500,MATCH('ZIPs &amp; FIPs'!$H$7,INDIRECT("L"&amp;B24):$L$500,0),1),IF(AND('ZIPs &amp; FIPs'!$F$7="City",ISNA(INDEX(INDIRECT("J"&amp;B24):$M$500,MATCH('ZIPs &amp; FIPs'!$H$7,INDIRECT("K"&amp;B24):$K$500,0),1))=FALSE),INDEX(INDIRECT("J"&amp;B24):$M$500,MATCH('ZIPs &amp; FIPs'!$H$7,INDIRECT("K"&amp;B24):$K$500,0),1),""))),"")</f>
        <v/>
      </c>
      <c r="E24" s="59" t="str">
        <f ca="1">IF(B24&lt;&gt;"",IF('ZIPs &amp; FIPs'!$H$7&lt;&gt;"",IF(AND('ZIPs &amp; FIPs'!$F$7="County",ISNA(INDEX(INDIRECT("K"&amp;B24):$M$500,MATCH('ZIPs &amp; FIPs'!$H$7,INDIRECT("L"&amp;B24):$L$500,0),1))=FALSE),INDEX(INDIRECT("K"&amp;B24):$M$500,MATCH('ZIPs &amp; FIPs'!$H$7,INDIRECT("L"&amp;B24):$L$500,0),1),IF(AND('ZIPs &amp; FIPs'!$F$7="City",ISNA(INDEX(INDIRECT("K"&amp;B24):$M$500,MATCH('ZIPs &amp; FIPs'!$H$7,INDIRECT("K"&amp;B24):$K$500,0),1))=FALSE),INDEX(INDIRECT("K"&amp;B24):$M$500,MATCH('ZIPs &amp; FIPs'!$H$7,INDIRECT("K"&amp;B24):$K$500,0),1),""))),"")</f>
        <v/>
      </c>
      <c r="F24" s="59" t="str">
        <f ca="1">IF(B24&lt;&gt;"",IF('ZIPs &amp; FIPs'!$H$7&lt;&gt;"",IF(AND('ZIPs &amp; FIPs'!$F$7="County",ISNA(INDEX(INDIRECT("K"&amp;B24):$M$500,MATCH('ZIPs &amp; FIPs'!$H$7,INDIRECT("L"&amp;B24):$L$500,0),2))=FALSE),INDEX(INDIRECT("K"&amp;B24):$M$500,MATCH('ZIPs &amp; FIPs'!$H$7,INDIRECT("L"&amp;B24):$L$500,0),2),IF(AND('ZIPs &amp; FIPs'!$F$7="City",ISNA(INDEX(INDIRECT("K"&amp;B24):$M$500,MATCH('ZIPs &amp; FIPs'!$H$7,INDIRECT("K"&amp;B24):$K$500,0),2))=FALSE),INDEX(INDIRECT("K"&amp;B24):$M$500,MATCH('ZIPs &amp; FIPs'!$H$7,INDIRECT("K"&amp;B24):$K$500,0),2),""))),"")</f>
        <v/>
      </c>
      <c r="J24" s="46">
        <v>97326</v>
      </c>
      <c r="K24" s="50" t="s">
        <v>345</v>
      </c>
      <c r="L24" s="32" t="s">
        <v>132</v>
      </c>
      <c r="M24" s="26" t="s">
        <v>316</v>
      </c>
      <c r="N24" t="s">
        <v>1193</v>
      </c>
      <c r="Q24" s="60" t="s">
        <v>135</v>
      </c>
      <c r="R24" s="58" t="s">
        <v>233</v>
      </c>
      <c r="S24" s="25">
        <f t="shared" si="0"/>
        <v>17</v>
      </c>
      <c r="T24" s="25">
        <f t="shared" si="1"/>
        <v>1</v>
      </c>
      <c r="V24" s="25">
        <f t="shared" si="2"/>
        <v>1</v>
      </c>
      <c r="W24" s="46">
        <v>97022</v>
      </c>
      <c r="X24" s="50" t="s">
        <v>367</v>
      </c>
    </row>
    <row r="25" spans="1:24" x14ac:dyDescent="0.25">
      <c r="A25" s="25">
        <v>19</v>
      </c>
      <c r="B25" s="59" t="str">
        <f ca="1">IFERROR(IF('ZIPs &amp; FIPs'!$H$7&lt;&gt;"",IF(AND('ZIPs &amp; FIPs'!$F$7="County",ISNA(ROW(INDEX(INDIRECT("K"&amp;B24+1):$M$500,MATCH('ZIPs &amp; FIPs'!$H$7,INDIRECT("L"&amp;B24+1):$L$500,0),2)))=FALSE),ROW(INDEX(INDIRECT("K"&amp;B24+1):$M$500,MATCH('ZIPs &amp; FIPs'!$H$7,INDIRECT("L"&amp;B24+1):$L$500,0),2)),IF(AND('ZIPs &amp; FIPs'!$F$7="City",ISNA(ROW(INDEX(INDIRECT("K"&amp;B24+1):$M$500,MATCH('ZIPs &amp; FIPs'!$H$7,INDIRECT("K"&amp;B24+1):$K$500,0),1)))=FALSE),ROW(INDEX(INDIRECT("K"&amp;B24+1):$M$500,MATCH('ZIPs &amp; FIPs'!$H$7,INDIRECT("K"&amp;B24+1):$K$500,0),1)),"")),""),"")</f>
        <v/>
      </c>
      <c r="C25" s="59" t="str">
        <f ca="1">IF(B25&lt;&gt;"",IF('ZIPs &amp; FIPs'!$H$7&lt;&gt;"",IF(AND('ZIPs &amp; FIPs'!$F$7="County",ISNA(INDEX(INDIRECT("K"&amp;B25):$M$500,MATCH('ZIPs &amp; FIPs'!$H$7,INDIRECT("L"&amp;B25):$L$500,0),3))=FALSE),INDEX(INDIRECT("K"&amp;B25):$M$500,MATCH('ZIPs &amp; FIPs'!$H$7,INDIRECT("L"&amp;B25):$L$500,0),3),IF(AND('ZIPs &amp; FIPs'!$F$7="City",ISNA(INDEX(INDIRECT("K"&amp;B25):$M$500,MATCH('ZIPs &amp; FIPs'!$H$7,INDIRECT("K"&amp;B25):$K$500,0),3))=FALSE),INDEX(INDIRECT("K"&amp;B25):$M$500,MATCH('ZIPs &amp; FIPs'!$H$7,INDIRECT("K"&amp;B25):$K$500,0),3),""))),"")</f>
        <v/>
      </c>
      <c r="D25" s="59" t="str">
        <f ca="1">IF(B25&lt;&gt;"",IF('ZIPs &amp; FIPs'!$H$7&lt;&gt;"",IF(AND('ZIPs &amp; FIPs'!$F$7="County",ISNA(INDEX(INDIRECT("J"&amp;B25):$M$500,MATCH('ZIPs &amp; FIPs'!$H$7,INDIRECT("L"&amp;B25):$L$500,0),1))=FALSE),INDEX(INDIRECT("J"&amp;B25):$M$500,MATCH('ZIPs &amp; FIPs'!$H$7,INDIRECT("L"&amp;B25):$L$500,0),1),IF(AND('ZIPs &amp; FIPs'!$F$7="City",ISNA(INDEX(INDIRECT("J"&amp;B25):$M$500,MATCH('ZIPs &amp; FIPs'!$H$7,INDIRECT("K"&amp;B25):$K$500,0),1))=FALSE),INDEX(INDIRECT("J"&amp;B25):$M$500,MATCH('ZIPs &amp; FIPs'!$H$7,INDIRECT("K"&amp;B25):$K$500,0),1),""))),"")</f>
        <v/>
      </c>
      <c r="E25" s="59" t="str">
        <f ca="1">IF(B25&lt;&gt;"",IF('ZIPs &amp; FIPs'!$H$7&lt;&gt;"",IF(AND('ZIPs &amp; FIPs'!$F$7="County",ISNA(INDEX(INDIRECT("K"&amp;B25):$M$500,MATCH('ZIPs &amp; FIPs'!$H$7,INDIRECT("L"&amp;B25):$L$500,0),1))=FALSE),INDEX(INDIRECT("K"&amp;B25):$M$500,MATCH('ZIPs &amp; FIPs'!$H$7,INDIRECT("L"&amp;B25):$L$500,0),1),IF(AND('ZIPs &amp; FIPs'!$F$7="City",ISNA(INDEX(INDIRECT("K"&amp;B25):$M$500,MATCH('ZIPs &amp; FIPs'!$H$7,INDIRECT("K"&amp;B25):$K$500,0),1))=FALSE),INDEX(INDIRECT("K"&amp;B25):$M$500,MATCH('ZIPs &amp; FIPs'!$H$7,INDIRECT("K"&amp;B25):$K$500,0),1),""))),"")</f>
        <v/>
      </c>
      <c r="F25" s="59" t="str">
        <f ca="1">IF(B25&lt;&gt;"",IF('ZIPs &amp; FIPs'!$H$7&lt;&gt;"",IF(AND('ZIPs &amp; FIPs'!$F$7="County",ISNA(INDEX(INDIRECT("K"&amp;B25):$M$500,MATCH('ZIPs &amp; FIPs'!$H$7,INDIRECT("L"&amp;B25):$L$500,0),2))=FALSE),INDEX(INDIRECT("K"&amp;B25):$M$500,MATCH('ZIPs &amp; FIPs'!$H$7,INDIRECT("L"&amp;B25):$L$500,0),2),IF(AND('ZIPs &amp; FIPs'!$F$7="City",ISNA(INDEX(INDIRECT("K"&amp;B25):$M$500,MATCH('ZIPs &amp; FIPs'!$H$7,INDIRECT("K"&amp;B25):$K$500,0),2))=FALSE),INDEX(INDIRECT("K"&amp;B25):$M$500,MATCH('ZIPs &amp; FIPs'!$H$7,INDIRECT("K"&amp;B25):$K$500,0),2),""))),"")</f>
        <v/>
      </c>
      <c r="J25" s="46">
        <v>97330</v>
      </c>
      <c r="K25" s="50" t="s">
        <v>131</v>
      </c>
      <c r="L25" s="32" t="s">
        <v>132</v>
      </c>
      <c r="M25" s="26" t="s">
        <v>316</v>
      </c>
      <c r="N25" t="s">
        <v>1193</v>
      </c>
      <c r="Q25" s="60" t="s">
        <v>140</v>
      </c>
      <c r="R25" s="58" t="s">
        <v>399</v>
      </c>
      <c r="S25" s="25">
        <f t="shared" si="0"/>
        <v>15</v>
      </c>
      <c r="T25" s="25">
        <f t="shared" si="1"/>
        <v>1</v>
      </c>
      <c r="V25" s="25">
        <f t="shared" si="2"/>
        <v>1</v>
      </c>
      <c r="W25" s="46">
        <v>97023</v>
      </c>
      <c r="X25" s="50" t="s">
        <v>272</v>
      </c>
    </row>
    <row r="26" spans="1:24" x14ac:dyDescent="0.25">
      <c r="A26" s="25">
        <v>20</v>
      </c>
      <c r="B26" s="59" t="str">
        <f ca="1">IFERROR(IF('ZIPs &amp; FIPs'!$H$7&lt;&gt;"",IF(AND('ZIPs &amp; FIPs'!$F$7="County",ISNA(ROW(INDEX(INDIRECT("K"&amp;B25+1):$M$500,MATCH('ZIPs &amp; FIPs'!$H$7,INDIRECT("L"&amp;B25+1):$L$500,0),2)))=FALSE),ROW(INDEX(INDIRECT("K"&amp;B25+1):$M$500,MATCH('ZIPs &amp; FIPs'!$H$7,INDIRECT("L"&amp;B25+1):$L$500,0),2)),IF(AND('ZIPs &amp; FIPs'!$F$7="City",ISNA(ROW(INDEX(INDIRECT("K"&amp;B25+1):$M$500,MATCH('ZIPs &amp; FIPs'!$H$7,INDIRECT("K"&amp;B25+1):$K$500,0),1)))=FALSE),ROW(INDEX(INDIRECT("K"&amp;B25+1):$M$500,MATCH('ZIPs &amp; FIPs'!$H$7,INDIRECT("K"&amp;B25+1):$K$500,0),1)),"")),""),"")</f>
        <v/>
      </c>
      <c r="C26" s="59" t="str">
        <f ca="1">IF(B26&lt;&gt;"",IF('ZIPs &amp; FIPs'!$H$7&lt;&gt;"",IF(AND('ZIPs &amp; FIPs'!$F$7="County",ISNA(INDEX(INDIRECT("K"&amp;B26):$M$500,MATCH('ZIPs &amp; FIPs'!$H$7,INDIRECT("L"&amp;B26):$L$500,0),3))=FALSE),INDEX(INDIRECT("K"&amp;B26):$M$500,MATCH('ZIPs &amp; FIPs'!$H$7,INDIRECT("L"&amp;B26):$L$500,0),3),IF(AND('ZIPs &amp; FIPs'!$F$7="City",ISNA(INDEX(INDIRECT("K"&amp;B26):$M$500,MATCH('ZIPs &amp; FIPs'!$H$7,INDIRECT("K"&amp;B26):$K$500,0),3))=FALSE),INDEX(INDIRECT("K"&amp;B26):$M$500,MATCH('ZIPs &amp; FIPs'!$H$7,INDIRECT("K"&amp;B26):$K$500,0),3),""))),"")</f>
        <v/>
      </c>
      <c r="D26" s="59" t="str">
        <f ca="1">IF(B26&lt;&gt;"",IF('ZIPs &amp; FIPs'!$H$7&lt;&gt;"",IF(AND('ZIPs &amp; FIPs'!$F$7="County",ISNA(INDEX(INDIRECT("J"&amp;B26):$M$500,MATCH('ZIPs &amp; FIPs'!$H$7,INDIRECT("L"&amp;B26):$L$500,0),1))=FALSE),INDEX(INDIRECT("J"&amp;B26):$M$500,MATCH('ZIPs &amp; FIPs'!$H$7,INDIRECT("L"&amp;B26):$L$500,0),1),IF(AND('ZIPs &amp; FIPs'!$F$7="City",ISNA(INDEX(INDIRECT("J"&amp;B26):$M$500,MATCH('ZIPs &amp; FIPs'!$H$7,INDIRECT("K"&amp;B26):$K$500,0),1))=FALSE),INDEX(INDIRECT("J"&amp;B26):$M$500,MATCH('ZIPs &amp; FIPs'!$H$7,INDIRECT("K"&amp;B26):$K$500,0),1),""))),"")</f>
        <v/>
      </c>
      <c r="E26" s="59" t="str">
        <f ca="1">IF(B26&lt;&gt;"",IF('ZIPs &amp; FIPs'!$H$7&lt;&gt;"",IF(AND('ZIPs &amp; FIPs'!$F$7="County",ISNA(INDEX(INDIRECT("K"&amp;B26):$M$500,MATCH('ZIPs &amp; FIPs'!$H$7,INDIRECT("L"&amp;B26):$L$500,0),1))=FALSE),INDEX(INDIRECT("K"&amp;B26):$M$500,MATCH('ZIPs &amp; FIPs'!$H$7,INDIRECT("L"&amp;B26):$L$500,0),1),IF(AND('ZIPs &amp; FIPs'!$F$7="City",ISNA(INDEX(INDIRECT("K"&amp;B26):$M$500,MATCH('ZIPs &amp; FIPs'!$H$7,INDIRECT("K"&amp;B26):$K$500,0),1))=FALSE),INDEX(INDIRECT("K"&amp;B26):$M$500,MATCH('ZIPs &amp; FIPs'!$H$7,INDIRECT("K"&amp;B26):$K$500,0),1),""))),"")</f>
        <v/>
      </c>
      <c r="F26" s="59" t="str">
        <f ca="1">IF(B26&lt;&gt;"",IF('ZIPs &amp; FIPs'!$H$7&lt;&gt;"",IF(AND('ZIPs &amp; FIPs'!$F$7="County",ISNA(INDEX(INDIRECT("K"&amp;B26):$M$500,MATCH('ZIPs &amp; FIPs'!$H$7,INDIRECT("L"&amp;B26):$L$500,0),2))=FALSE),INDEX(INDIRECT("K"&amp;B26):$M$500,MATCH('ZIPs &amp; FIPs'!$H$7,INDIRECT("L"&amp;B26):$L$500,0),2),IF(AND('ZIPs &amp; FIPs'!$F$7="City",ISNA(INDEX(INDIRECT("K"&amp;B26):$M$500,MATCH('ZIPs &amp; FIPs'!$H$7,INDIRECT("K"&amp;B26):$K$500,0),2))=FALSE),INDEX(INDIRECT("K"&amp;B26):$M$500,MATCH('ZIPs &amp; FIPs'!$H$7,INDIRECT("K"&amp;B26):$K$500,0),2),""))),"")</f>
        <v/>
      </c>
      <c r="J26" s="46">
        <v>97331</v>
      </c>
      <c r="K26" s="50" t="s">
        <v>131</v>
      </c>
      <c r="L26" s="32" t="s">
        <v>132</v>
      </c>
      <c r="M26" s="26" t="s">
        <v>316</v>
      </c>
      <c r="N26" t="s">
        <v>1193</v>
      </c>
      <c r="Q26" s="60" t="s">
        <v>260</v>
      </c>
      <c r="R26" s="58" t="s">
        <v>651</v>
      </c>
      <c r="S26" s="25">
        <f t="shared" si="0"/>
        <v>13</v>
      </c>
      <c r="T26" s="25">
        <f t="shared" si="1"/>
        <v>1</v>
      </c>
      <c r="V26" s="25">
        <f t="shared" si="2"/>
        <v>1</v>
      </c>
      <c r="W26" s="46">
        <v>97024</v>
      </c>
      <c r="X26" s="50" t="s">
        <v>604</v>
      </c>
    </row>
    <row r="27" spans="1:24" x14ac:dyDescent="0.25">
      <c r="A27" s="25">
        <v>21</v>
      </c>
      <c r="B27" s="59" t="str">
        <f ca="1">IFERROR(IF('ZIPs &amp; FIPs'!$H$7&lt;&gt;"",IF(AND('ZIPs &amp; FIPs'!$F$7="County",ISNA(ROW(INDEX(INDIRECT("K"&amp;B26+1):$M$500,MATCH('ZIPs &amp; FIPs'!$H$7,INDIRECT("L"&amp;B26+1):$L$500,0),2)))=FALSE),ROW(INDEX(INDIRECT("K"&amp;B26+1):$M$500,MATCH('ZIPs &amp; FIPs'!$H$7,INDIRECT("L"&amp;B26+1):$L$500,0),2)),IF(AND('ZIPs &amp; FIPs'!$F$7="City",ISNA(ROW(INDEX(INDIRECT("K"&amp;B26+1):$M$500,MATCH('ZIPs &amp; FIPs'!$H$7,INDIRECT("K"&amp;B26+1):$K$500,0),1)))=FALSE),ROW(INDEX(INDIRECT("K"&amp;B26+1):$M$500,MATCH('ZIPs &amp; FIPs'!$H$7,INDIRECT("K"&amp;B26+1):$K$500,0),1)),"")),""),"")</f>
        <v/>
      </c>
      <c r="C27" s="59" t="str">
        <f ca="1">IF(B27&lt;&gt;"",IF('ZIPs &amp; FIPs'!$H$7&lt;&gt;"",IF(AND('ZIPs &amp; FIPs'!$F$7="County",ISNA(INDEX(INDIRECT("K"&amp;B27):$M$500,MATCH('ZIPs &amp; FIPs'!$H$7,INDIRECT("L"&amp;B27):$L$500,0),3))=FALSE),INDEX(INDIRECT("K"&amp;B27):$M$500,MATCH('ZIPs &amp; FIPs'!$H$7,INDIRECT("L"&amp;B27):$L$500,0),3),IF(AND('ZIPs &amp; FIPs'!$F$7="City",ISNA(INDEX(INDIRECT("K"&amp;B27):$M$500,MATCH('ZIPs &amp; FIPs'!$H$7,INDIRECT("K"&amp;B27):$K$500,0),3))=FALSE),INDEX(INDIRECT("K"&amp;B27):$M$500,MATCH('ZIPs &amp; FIPs'!$H$7,INDIRECT("K"&amp;B27):$K$500,0),3),""))),"")</f>
        <v/>
      </c>
      <c r="D27" s="59" t="str">
        <f ca="1">IF(B27&lt;&gt;"",IF('ZIPs &amp; FIPs'!$H$7&lt;&gt;"",IF(AND('ZIPs &amp; FIPs'!$F$7="County",ISNA(INDEX(INDIRECT("J"&amp;B27):$M$500,MATCH('ZIPs &amp; FIPs'!$H$7,INDIRECT("L"&amp;B27):$L$500,0),1))=FALSE),INDEX(INDIRECT("J"&amp;B27):$M$500,MATCH('ZIPs &amp; FIPs'!$H$7,INDIRECT("L"&amp;B27):$L$500,0),1),IF(AND('ZIPs &amp; FIPs'!$F$7="City",ISNA(INDEX(INDIRECT("J"&amp;B27):$M$500,MATCH('ZIPs &amp; FIPs'!$H$7,INDIRECT("K"&amp;B27):$K$500,0),1))=FALSE),INDEX(INDIRECT("J"&amp;B27):$M$500,MATCH('ZIPs &amp; FIPs'!$H$7,INDIRECT("K"&amp;B27):$K$500,0),1),""))),"")</f>
        <v/>
      </c>
      <c r="E27" s="59" t="str">
        <f ca="1">IF(B27&lt;&gt;"",IF('ZIPs &amp; FIPs'!$H$7&lt;&gt;"",IF(AND('ZIPs &amp; FIPs'!$F$7="County",ISNA(INDEX(INDIRECT("K"&amp;B27):$M$500,MATCH('ZIPs &amp; FIPs'!$H$7,INDIRECT("L"&amp;B27):$L$500,0),1))=FALSE),INDEX(INDIRECT("K"&amp;B27):$M$500,MATCH('ZIPs &amp; FIPs'!$H$7,INDIRECT("L"&amp;B27):$L$500,0),1),IF(AND('ZIPs &amp; FIPs'!$F$7="City",ISNA(INDEX(INDIRECT("K"&amp;B27):$M$500,MATCH('ZIPs &amp; FIPs'!$H$7,INDIRECT("K"&amp;B27):$K$500,0),1))=FALSE),INDEX(INDIRECT("K"&amp;B27):$M$500,MATCH('ZIPs &amp; FIPs'!$H$7,INDIRECT("K"&amp;B27):$K$500,0),1),""))),"")</f>
        <v/>
      </c>
      <c r="F27" s="59" t="str">
        <f ca="1">IF(B27&lt;&gt;"",IF('ZIPs &amp; FIPs'!$H$7&lt;&gt;"",IF(AND('ZIPs &amp; FIPs'!$F$7="County",ISNA(INDEX(INDIRECT("K"&amp;B27):$M$500,MATCH('ZIPs &amp; FIPs'!$H$7,INDIRECT("L"&amp;B27):$L$500,0),2))=FALSE),INDEX(INDIRECT("K"&amp;B27):$M$500,MATCH('ZIPs &amp; FIPs'!$H$7,INDIRECT("L"&amp;B27):$L$500,0),2),IF(AND('ZIPs &amp; FIPs'!$F$7="City",ISNA(INDEX(INDIRECT("K"&amp;B27):$M$500,MATCH('ZIPs &amp; FIPs'!$H$7,INDIRECT("K"&amp;B27):$K$500,0),2))=FALSE),INDEX(INDIRECT("K"&amp;B27):$M$500,MATCH('ZIPs &amp; FIPs'!$H$7,INDIRECT("K"&amp;B27):$K$500,0),2),""))),"")</f>
        <v/>
      </c>
      <c r="J27" s="46">
        <v>97333</v>
      </c>
      <c r="K27" s="50" t="s">
        <v>131</v>
      </c>
      <c r="L27" s="32" t="s">
        <v>132</v>
      </c>
      <c r="M27" s="26" t="s">
        <v>316</v>
      </c>
      <c r="N27" t="s">
        <v>1193</v>
      </c>
      <c r="Q27" s="60" t="s">
        <v>78</v>
      </c>
      <c r="R27" s="58" t="s">
        <v>446</v>
      </c>
      <c r="S27" s="25">
        <f t="shared" si="0"/>
        <v>34</v>
      </c>
      <c r="T27" s="25">
        <f t="shared" si="1"/>
        <v>1</v>
      </c>
      <c r="V27" s="25">
        <f t="shared" si="2"/>
        <v>1</v>
      </c>
      <c r="W27" s="46">
        <v>97026</v>
      </c>
      <c r="X27" s="50" t="s">
        <v>583</v>
      </c>
    </row>
    <row r="28" spans="1:24" x14ac:dyDescent="0.25">
      <c r="A28" s="25">
        <v>22</v>
      </c>
      <c r="B28" s="59" t="str">
        <f ca="1">IFERROR(IF('ZIPs &amp; FIPs'!$H$7&lt;&gt;"",IF(AND('ZIPs &amp; FIPs'!$F$7="County",ISNA(ROW(INDEX(INDIRECT("K"&amp;B27+1):$M$500,MATCH('ZIPs &amp; FIPs'!$H$7,INDIRECT("L"&amp;B27+1):$L$500,0),2)))=FALSE),ROW(INDEX(INDIRECT("K"&amp;B27+1):$M$500,MATCH('ZIPs &amp; FIPs'!$H$7,INDIRECT("L"&amp;B27+1):$L$500,0),2)),IF(AND('ZIPs &amp; FIPs'!$F$7="City",ISNA(ROW(INDEX(INDIRECT("K"&amp;B27+1):$M$500,MATCH('ZIPs &amp; FIPs'!$H$7,INDIRECT("K"&amp;B27+1):$K$500,0),1)))=FALSE),ROW(INDEX(INDIRECT("K"&amp;B27+1):$M$500,MATCH('ZIPs &amp; FIPs'!$H$7,INDIRECT("K"&amp;B27+1):$K$500,0),1)),"")),""),"")</f>
        <v/>
      </c>
      <c r="C28" s="59" t="str">
        <f ca="1">IF(B28&lt;&gt;"",IF('ZIPs &amp; FIPs'!$H$7&lt;&gt;"",IF(AND('ZIPs &amp; FIPs'!$F$7="County",ISNA(INDEX(INDIRECT("K"&amp;B28):$M$500,MATCH('ZIPs &amp; FIPs'!$H$7,INDIRECT("L"&amp;B28):$L$500,0),3))=FALSE),INDEX(INDIRECT("K"&amp;B28):$M$500,MATCH('ZIPs &amp; FIPs'!$H$7,INDIRECT("L"&amp;B28):$L$500,0),3),IF(AND('ZIPs &amp; FIPs'!$F$7="City",ISNA(INDEX(INDIRECT("K"&amp;B28):$M$500,MATCH('ZIPs &amp; FIPs'!$H$7,INDIRECT("K"&amp;B28):$K$500,0),3))=FALSE),INDEX(INDIRECT("K"&amp;B28):$M$500,MATCH('ZIPs &amp; FIPs'!$H$7,INDIRECT("K"&amp;B28):$K$500,0),3),""))),"")</f>
        <v/>
      </c>
      <c r="D28" s="59" t="str">
        <f ca="1">IF(B28&lt;&gt;"",IF('ZIPs &amp; FIPs'!$H$7&lt;&gt;"",IF(AND('ZIPs &amp; FIPs'!$F$7="County",ISNA(INDEX(INDIRECT("J"&amp;B28):$M$500,MATCH('ZIPs &amp; FIPs'!$H$7,INDIRECT("L"&amp;B28):$L$500,0),1))=FALSE),INDEX(INDIRECT("J"&amp;B28):$M$500,MATCH('ZIPs &amp; FIPs'!$H$7,INDIRECT("L"&amp;B28):$L$500,0),1),IF(AND('ZIPs &amp; FIPs'!$F$7="City",ISNA(INDEX(INDIRECT("J"&amp;B28):$M$500,MATCH('ZIPs &amp; FIPs'!$H$7,INDIRECT("K"&amp;B28):$K$500,0),1))=FALSE),INDEX(INDIRECT("J"&amp;B28):$M$500,MATCH('ZIPs &amp; FIPs'!$H$7,INDIRECT("K"&amp;B28):$K$500,0),1),""))),"")</f>
        <v/>
      </c>
      <c r="E28" s="59" t="str">
        <f ca="1">IF(B28&lt;&gt;"",IF('ZIPs &amp; FIPs'!$H$7&lt;&gt;"",IF(AND('ZIPs &amp; FIPs'!$F$7="County",ISNA(INDEX(INDIRECT("K"&amp;B28):$M$500,MATCH('ZIPs &amp; FIPs'!$H$7,INDIRECT("L"&amp;B28):$L$500,0),1))=FALSE),INDEX(INDIRECT("K"&amp;B28):$M$500,MATCH('ZIPs &amp; FIPs'!$H$7,INDIRECT("L"&amp;B28):$L$500,0),1),IF(AND('ZIPs &amp; FIPs'!$F$7="City",ISNA(INDEX(INDIRECT("K"&amp;B28):$M$500,MATCH('ZIPs &amp; FIPs'!$H$7,INDIRECT("K"&amp;B28):$K$500,0),1))=FALSE),INDEX(INDIRECT("K"&amp;B28):$M$500,MATCH('ZIPs &amp; FIPs'!$H$7,INDIRECT("K"&amp;B28):$K$500,0),1),""))),"")</f>
        <v/>
      </c>
      <c r="F28" s="59" t="str">
        <f ca="1">IF(B28&lt;&gt;"",IF('ZIPs &amp; FIPs'!$H$7&lt;&gt;"",IF(AND('ZIPs &amp; FIPs'!$F$7="County",ISNA(INDEX(INDIRECT("K"&amp;B28):$M$500,MATCH('ZIPs &amp; FIPs'!$H$7,INDIRECT("L"&amp;B28):$L$500,0),2))=FALSE),INDEX(INDIRECT("K"&amp;B28):$M$500,MATCH('ZIPs &amp; FIPs'!$H$7,INDIRECT("L"&amp;B28):$L$500,0),2),IF(AND('ZIPs &amp; FIPs'!$F$7="City",ISNA(INDEX(INDIRECT("K"&amp;B28):$M$500,MATCH('ZIPs &amp; FIPs'!$H$7,INDIRECT("K"&amp;B28):$K$500,0),2))=FALSE),INDEX(INDIRECT("K"&amp;B28):$M$500,MATCH('ZIPs &amp; FIPs'!$H$7,INDIRECT("K"&amp;B28):$K$500,0),2),""))),"")</f>
        <v/>
      </c>
      <c r="J28" s="46">
        <v>97339</v>
      </c>
      <c r="K28" s="50" t="s">
        <v>131</v>
      </c>
      <c r="L28" s="32" t="s">
        <v>132</v>
      </c>
      <c r="M28" s="26" t="s">
        <v>316</v>
      </c>
      <c r="N28" t="s">
        <v>1193</v>
      </c>
      <c r="Q28" s="60" t="s">
        <v>354</v>
      </c>
      <c r="R28" s="58" t="s">
        <v>615</v>
      </c>
      <c r="S28" s="25">
        <f t="shared" si="0"/>
        <v>5</v>
      </c>
      <c r="T28" s="25">
        <f t="shared" si="1"/>
        <v>1</v>
      </c>
      <c r="V28" s="25">
        <f t="shared" si="2"/>
        <v>1</v>
      </c>
      <c r="W28" s="46">
        <v>97027</v>
      </c>
      <c r="X28" s="50" t="s">
        <v>370</v>
      </c>
    </row>
    <row r="29" spans="1:24" x14ac:dyDescent="0.25">
      <c r="A29" s="25">
        <v>23</v>
      </c>
      <c r="B29" s="59" t="str">
        <f ca="1">IFERROR(IF('ZIPs &amp; FIPs'!$H$7&lt;&gt;"",IF(AND('ZIPs &amp; FIPs'!$F$7="County",ISNA(ROW(INDEX(INDIRECT("K"&amp;B28+1):$M$500,MATCH('ZIPs &amp; FIPs'!$H$7,INDIRECT("L"&amp;B28+1):$L$500,0),2)))=FALSE),ROW(INDEX(INDIRECT("K"&amp;B28+1):$M$500,MATCH('ZIPs &amp; FIPs'!$H$7,INDIRECT("L"&amp;B28+1):$L$500,0),2)),IF(AND('ZIPs &amp; FIPs'!$F$7="City",ISNA(ROW(INDEX(INDIRECT("K"&amp;B28+1):$M$500,MATCH('ZIPs &amp; FIPs'!$H$7,INDIRECT("K"&amp;B28+1):$K$500,0),1)))=FALSE),ROW(INDEX(INDIRECT("K"&amp;B28+1):$M$500,MATCH('ZIPs &amp; FIPs'!$H$7,INDIRECT("K"&amp;B28+1):$K$500,0),1)),"")),""),"")</f>
        <v/>
      </c>
      <c r="C29" s="59" t="str">
        <f ca="1">IF(B29&lt;&gt;"",IF('ZIPs &amp; FIPs'!$H$7&lt;&gt;"",IF(AND('ZIPs &amp; FIPs'!$F$7="County",ISNA(INDEX(INDIRECT("K"&amp;B29):$M$500,MATCH('ZIPs &amp; FIPs'!$H$7,INDIRECT("L"&amp;B29):$L$500,0),3))=FALSE),INDEX(INDIRECT("K"&amp;B29):$M$500,MATCH('ZIPs &amp; FIPs'!$H$7,INDIRECT("L"&amp;B29):$L$500,0),3),IF(AND('ZIPs &amp; FIPs'!$F$7="City",ISNA(INDEX(INDIRECT("K"&amp;B29):$M$500,MATCH('ZIPs &amp; FIPs'!$H$7,INDIRECT("K"&amp;B29):$K$500,0),3))=FALSE),INDEX(INDIRECT("K"&amp;B29):$M$500,MATCH('ZIPs &amp; FIPs'!$H$7,INDIRECT("K"&amp;B29):$K$500,0),3),""))),"")</f>
        <v/>
      </c>
      <c r="D29" s="59" t="str">
        <f ca="1">IF(B29&lt;&gt;"",IF('ZIPs &amp; FIPs'!$H$7&lt;&gt;"",IF(AND('ZIPs &amp; FIPs'!$F$7="County",ISNA(INDEX(INDIRECT("J"&amp;B29):$M$500,MATCH('ZIPs &amp; FIPs'!$H$7,INDIRECT("L"&amp;B29):$L$500,0),1))=FALSE),INDEX(INDIRECT("J"&amp;B29):$M$500,MATCH('ZIPs &amp; FIPs'!$H$7,INDIRECT("L"&amp;B29):$L$500,0),1),IF(AND('ZIPs &amp; FIPs'!$F$7="City",ISNA(INDEX(INDIRECT("J"&amp;B29):$M$500,MATCH('ZIPs &amp; FIPs'!$H$7,INDIRECT("K"&amp;B29):$K$500,0),1))=FALSE),INDEX(INDIRECT("J"&amp;B29):$M$500,MATCH('ZIPs &amp; FIPs'!$H$7,INDIRECT("K"&amp;B29):$K$500,0),1),""))),"")</f>
        <v/>
      </c>
      <c r="E29" s="59" t="str">
        <f ca="1">IF(B29&lt;&gt;"",IF('ZIPs &amp; FIPs'!$H$7&lt;&gt;"",IF(AND('ZIPs &amp; FIPs'!$F$7="County",ISNA(INDEX(INDIRECT("K"&amp;B29):$M$500,MATCH('ZIPs &amp; FIPs'!$H$7,INDIRECT("L"&amp;B29):$L$500,0),1))=FALSE),INDEX(INDIRECT("K"&amp;B29):$M$500,MATCH('ZIPs &amp; FIPs'!$H$7,INDIRECT("L"&amp;B29):$L$500,0),1),IF(AND('ZIPs &amp; FIPs'!$F$7="City",ISNA(INDEX(INDIRECT("K"&amp;B29):$M$500,MATCH('ZIPs &amp; FIPs'!$H$7,INDIRECT("K"&amp;B29):$K$500,0),1))=FALSE),INDEX(INDIRECT("K"&amp;B29):$M$500,MATCH('ZIPs &amp; FIPs'!$H$7,INDIRECT("K"&amp;B29):$K$500,0),1),""))),"")</f>
        <v/>
      </c>
      <c r="F29" s="59" t="str">
        <f ca="1">IF(B29&lt;&gt;"",IF('ZIPs &amp; FIPs'!$H$7&lt;&gt;"",IF(AND('ZIPs &amp; FIPs'!$F$7="County",ISNA(INDEX(INDIRECT("K"&amp;B29):$M$500,MATCH('ZIPs &amp; FIPs'!$H$7,INDIRECT("L"&amp;B29):$L$500,0),2))=FALSE),INDEX(INDIRECT("K"&amp;B29):$M$500,MATCH('ZIPs &amp; FIPs'!$H$7,INDIRECT("L"&amp;B29):$L$500,0),2),IF(AND('ZIPs &amp; FIPs'!$F$7="City",ISNA(INDEX(INDIRECT("K"&amp;B29):$M$500,MATCH('ZIPs &amp; FIPs'!$H$7,INDIRECT("K"&amp;B29):$K$500,0),2))=FALSE),INDEX(INDIRECT("K"&amp;B29):$M$500,MATCH('ZIPs &amp; FIPs'!$H$7,INDIRECT("K"&amp;B29):$K$500,0),2),""))),"")</f>
        <v/>
      </c>
      <c r="J29" s="46">
        <v>97370</v>
      </c>
      <c r="K29" s="50" t="s">
        <v>351</v>
      </c>
      <c r="L29" s="32" t="s">
        <v>132</v>
      </c>
      <c r="M29" s="26" t="s">
        <v>316</v>
      </c>
      <c r="N29" t="s">
        <v>1193</v>
      </c>
      <c r="Q29" s="60" t="s">
        <v>98</v>
      </c>
      <c r="R29" s="58" t="s">
        <v>491</v>
      </c>
      <c r="S29" s="25">
        <f t="shared" si="0"/>
        <v>59</v>
      </c>
      <c r="T29" s="25">
        <f t="shared" si="1"/>
        <v>1</v>
      </c>
      <c r="V29" s="25">
        <f t="shared" si="2"/>
        <v>1</v>
      </c>
      <c r="W29" s="46">
        <v>97028</v>
      </c>
      <c r="X29" s="50" t="s">
        <v>372</v>
      </c>
    </row>
    <row r="30" spans="1:24" x14ac:dyDescent="0.25">
      <c r="A30" s="25">
        <v>24</v>
      </c>
      <c r="B30" s="59" t="str">
        <f ca="1">IFERROR(IF('ZIPs &amp; FIPs'!$H$7&lt;&gt;"",IF(AND('ZIPs &amp; FIPs'!$F$7="County",ISNA(ROW(INDEX(INDIRECT("K"&amp;B29+1):$M$500,MATCH('ZIPs &amp; FIPs'!$H$7,INDIRECT("L"&amp;B29+1):$L$500,0),2)))=FALSE),ROW(INDEX(INDIRECT("K"&amp;B29+1):$M$500,MATCH('ZIPs &amp; FIPs'!$H$7,INDIRECT("L"&amp;B29+1):$L$500,0),2)),IF(AND('ZIPs &amp; FIPs'!$F$7="City",ISNA(ROW(INDEX(INDIRECT("K"&amp;B29+1):$M$500,MATCH('ZIPs &amp; FIPs'!$H$7,INDIRECT("K"&amp;B29+1):$K$500,0),1)))=FALSE),ROW(INDEX(INDIRECT("K"&amp;B29+1):$M$500,MATCH('ZIPs &amp; FIPs'!$H$7,INDIRECT("K"&amp;B29+1):$K$500,0),1)),"")),""),"")</f>
        <v/>
      </c>
      <c r="C30" s="59" t="str">
        <f ca="1">IF(B30&lt;&gt;"",IF('ZIPs &amp; FIPs'!$H$7&lt;&gt;"",IF(AND('ZIPs &amp; FIPs'!$F$7="County",ISNA(INDEX(INDIRECT("K"&amp;B30):$M$500,MATCH('ZIPs &amp; FIPs'!$H$7,INDIRECT("L"&amp;B30):$L$500,0),3))=FALSE),INDEX(INDIRECT("K"&amp;B30):$M$500,MATCH('ZIPs &amp; FIPs'!$H$7,INDIRECT("L"&amp;B30):$L$500,0),3),IF(AND('ZIPs &amp; FIPs'!$F$7="City",ISNA(INDEX(INDIRECT("K"&amp;B30):$M$500,MATCH('ZIPs &amp; FIPs'!$H$7,INDIRECT("K"&amp;B30):$K$500,0),3))=FALSE),INDEX(INDIRECT("K"&amp;B30):$M$500,MATCH('ZIPs &amp; FIPs'!$H$7,INDIRECT("K"&amp;B30):$K$500,0),3),""))),"")</f>
        <v/>
      </c>
      <c r="D30" s="59" t="str">
        <f ca="1">IF(B30&lt;&gt;"",IF('ZIPs &amp; FIPs'!$H$7&lt;&gt;"",IF(AND('ZIPs &amp; FIPs'!$F$7="County",ISNA(INDEX(INDIRECT("J"&amp;B30):$M$500,MATCH('ZIPs &amp; FIPs'!$H$7,INDIRECT("L"&amp;B30):$L$500,0),1))=FALSE),INDEX(INDIRECT("J"&amp;B30):$M$500,MATCH('ZIPs &amp; FIPs'!$H$7,INDIRECT("L"&amp;B30):$L$500,0),1),IF(AND('ZIPs &amp; FIPs'!$F$7="City",ISNA(INDEX(INDIRECT("J"&amp;B30):$M$500,MATCH('ZIPs &amp; FIPs'!$H$7,INDIRECT("K"&amp;B30):$K$500,0),1))=FALSE),INDEX(INDIRECT("J"&amp;B30):$M$500,MATCH('ZIPs &amp; FIPs'!$H$7,INDIRECT("K"&amp;B30):$K$500,0),1),""))),"")</f>
        <v/>
      </c>
      <c r="E30" s="59" t="str">
        <f ca="1">IF(B30&lt;&gt;"",IF('ZIPs &amp; FIPs'!$H$7&lt;&gt;"",IF(AND('ZIPs &amp; FIPs'!$F$7="County",ISNA(INDEX(INDIRECT("K"&amp;B30):$M$500,MATCH('ZIPs &amp; FIPs'!$H$7,INDIRECT("L"&amp;B30):$L$500,0),1))=FALSE),INDEX(INDIRECT("K"&amp;B30):$M$500,MATCH('ZIPs &amp; FIPs'!$H$7,INDIRECT("L"&amp;B30):$L$500,0),1),IF(AND('ZIPs &amp; FIPs'!$F$7="City",ISNA(INDEX(INDIRECT("K"&amp;B30):$M$500,MATCH('ZIPs &amp; FIPs'!$H$7,INDIRECT("K"&amp;B30):$K$500,0),1))=FALSE),INDEX(INDIRECT("K"&amp;B30):$M$500,MATCH('ZIPs &amp; FIPs'!$H$7,INDIRECT("K"&amp;B30):$K$500,0),1),""))),"")</f>
        <v/>
      </c>
      <c r="F30" s="59" t="str">
        <f ca="1">IF(B30&lt;&gt;"",IF('ZIPs &amp; FIPs'!$H$7&lt;&gt;"",IF(AND('ZIPs &amp; FIPs'!$F$7="County",ISNA(INDEX(INDIRECT("K"&amp;B30):$M$500,MATCH('ZIPs &amp; FIPs'!$H$7,INDIRECT("L"&amp;B30):$L$500,0),2))=FALSE),INDEX(INDIRECT("K"&amp;B30):$M$500,MATCH('ZIPs &amp; FIPs'!$H$7,INDIRECT("L"&amp;B30):$L$500,0),2),IF(AND('ZIPs &amp; FIPs'!$F$7="City",ISNA(INDEX(INDIRECT("K"&amp;B30):$M$500,MATCH('ZIPs &amp; FIPs'!$H$7,INDIRECT("K"&amp;B30):$K$500,0),2))=FALSE),INDEX(INDIRECT("K"&amp;B30):$M$500,MATCH('ZIPs &amp; FIPs'!$H$7,INDIRECT("K"&amp;B30):$K$500,0),2),""))),"")</f>
        <v/>
      </c>
      <c r="J30" s="46">
        <v>97456</v>
      </c>
      <c r="K30" s="50" t="s">
        <v>353</v>
      </c>
      <c r="L30" s="32" t="s">
        <v>132</v>
      </c>
      <c r="M30" s="26" t="s">
        <v>316</v>
      </c>
      <c r="N30" t="s">
        <v>1193</v>
      </c>
      <c r="Q30" s="60" t="s">
        <v>123</v>
      </c>
      <c r="R30" s="58" t="s">
        <v>616</v>
      </c>
      <c r="S30" s="25">
        <f t="shared" si="0"/>
        <v>7</v>
      </c>
      <c r="T30" s="25">
        <f t="shared" si="1"/>
        <v>1</v>
      </c>
      <c r="V30" s="25">
        <f t="shared" si="2"/>
        <v>1</v>
      </c>
      <c r="W30" s="46">
        <v>97029</v>
      </c>
      <c r="X30" s="50" t="s">
        <v>611</v>
      </c>
    </row>
    <row r="31" spans="1:24" x14ac:dyDescent="0.25">
      <c r="A31" s="25">
        <v>25</v>
      </c>
      <c r="B31" s="59" t="str">
        <f ca="1">IFERROR(IF('ZIPs &amp; FIPs'!$H$7&lt;&gt;"",IF(AND('ZIPs &amp; FIPs'!$F$7="County",ISNA(ROW(INDEX(INDIRECT("K"&amp;B30+1):$M$500,MATCH('ZIPs &amp; FIPs'!$H$7,INDIRECT("L"&amp;B30+1):$L$500,0),2)))=FALSE),ROW(INDEX(INDIRECT("K"&amp;B30+1):$M$500,MATCH('ZIPs &amp; FIPs'!$H$7,INDIRECT("L"&amp;B30+1):$L$500,0),2)),IF(AND('ZIPs &amp; FIPs'!$F$7="City",ISNA(ROW(INDEX(INDIRECT("K"&amp;B30+1):$M$500,MATCH('ZIPs &amp; FIPs'!$H$7,INDIRECT("K"&amp;B30+1):$K$500,0),1)))=FALSE),ROW(INDEX(INDIRECT("K"&amp;B30+1):$M$500,MATCH('ZIPs &amp; FIPs'!$H$7,INDIRECT("K"&amp;B30+1):$K$500,0),1)),"")),""),"")</f>
        <v/>
      </c>
      <c r="C31" s="59" t="str">
        <f ca="1">IF(B31&lt;&gt;"",IF('ZIPs &amp; FIPs'!$H$7&lt;&gt;"",IF(AND('ZIPs &amp; FIPs'!$F$7="County",ISNA(INDEX(INDIRECT("K"&amp;B31):$M$500,MATCH('ZIPs &amp; FIPs'!$H$7,INDIRECT("L"&amp;B31):$L$500,0),3))=FALSE),INDEX(INDIRECT("K"&amp;B31):$M$500,MATCH('ZIPs &amp; FIPs'!$H$7,INDIRECT("L"&amp;B31):$L$500,0),3),IF(AND('ZIPs &amp; FIPs'!$F$7="City",ISNA(INDEX(INDIRECT("K"&amp;B31):$M$500,MATCH('ZIPs &amp; FIPs'!$H$7,INDIRECT("K"&amp;B31):$K$500,0),3))=FALSE),INDEX(INDIRECT("K"&amp;B31):$M$500,MATCH('ZIPs &amp; FIPs'!$H$7,INDIRECT("K"&amp;B31):$K$500,0),3),""))),"")</f>
        <v/>
      </c>
      <c r="D31" s="59" t="str">
        <f ca="1">IF(B31&lt;&gt;"",IF('ZIPs &amp; FIPs'!$H$7&lt;&gt;"",IF(AND('ZIPs &amp; FIPs'!$F$7="County",ISNA(INDEX(INDIRECT("J"&amp;B31):$M$500,MATCH('ZIPs &amp; FIPs'!$H$7,INDIRECT("L"&amp;B31):$L$500,0),1))=FALSE),INDEX(INDIRECT("J"&amp;B31):$M$500,MATCH('ZIPs &amp; FIPs'!$H$7,INDIRECT("L"&amp;B31):$L$500,0),1),IF(AND('ZIPs &amp; FIPs'!$F$7="City",ISNA(INDEX(INDIRECT("J"&amp;B31):$M$500,MATCH('ZIPs &amp; FIPs'!$H$7,INDIRECT("K"&amp;B31):$K$500,0),1))=FALSE),INDEX(INDIRECT("J"&amp;B31):$M$500,MATCH('ZIPs &amp; FIPs'!$H$7,INDIRECT("K"&amp;B31):$K$500,0),1),""))),"")</f>
        <v/>
      </c>
      <c r="E31" s="59" t="str">
        <f ca="1">IF(B31&lt;&gt;"",IF('ZIPs &amp; FIPs'!$H$7&lt;&gt;"",IF(AND('ZIPs &amp; FIPs'!$F$7="County",ISNA(INDEX(INDIRECT("K"&amp;B31):$M$500,MATCH('ZIPs &amp; FIPs'!$H$7,INDIRECT("L"&amp;B31):$L$500,0),1))=FALSE),INDEX(INDIRECT("K"&amp;B31):$M$500,MATCH('ZIPs &amp; FIPs'!$H$7,INDIRECT("L"&amp;B31):$L$500,0),1),IF(AND('ZIPs &amp; FIPs'!$F$7="City",ISNA(INDEX(INDIRECT("K"&amp;B31):$M$500,MATCH('ZIPs &amp; FIPs'!$H$7,INDIRECT("K"&amp;B31):$K$500,0),1))=FALSE),INDEX(INDIRECT("K"&amp;B31):$M$500,MATCH('ZIPs &amp; FIPs'!$H$7,INDIRECT("K"&amp;B31):$K$500,0),1),""))),"")</f>
        <v/>
      </c>
      <c r="F31" s="59" t="str">
        <f ca="1">IF(B31&lt;&gt;"",IF('ZIPs &amp; FIPs'!$H$7&lt;&gt;"",IF(AND('ZIPs &amp; FIPs'!$F$7="County",ISNA(INDEX(INDIRECT("K"&amp;B31):$M$500,MATCH('ZIPs &amp; FIPs'!$H$7,INDIRECT("L"&amp;B31):$L$500,0),2))=FALSE),INDEX(INDIRECT("K"&amp;B31):$M$500,MATCH('ZIPs &amp; FIPs'!$H$7,INDIRECT("L"&amp;B31):$L$500,0),2),IF(AND('ZIPs &amp; FIPs'!$F$7="City",ISNA(INDEX(INDIRECT("K"&amp;B31):$M$500,MATCH('ZIPs &amp; FIPs'!$H$7,INDIRECT("K"&amp;B31):$K$500,0),2))=FALSE),INDEX(INDIRECT("K"&amp;B31):$M$500,MATCH('ZIPs &amp; FIPs'!$H$7,INDIRECT("K"&amp;B31):$K$500,0),2),""))),"")</f>
        <v/>
      </c>
      <c r="J31" s="46">
        <v>97004</v>
      </c>
      <c r="K31" s="50" t="s">
        <v>356</v>
      </c>
      <c r="L31" s="32" t="s">
        <v>264</v>
      </c>
      <c r="M31" s="26" t="s">
        <v>317</v>
      </c>
      <c r="N31" t="s">
        <v>1194</v>
      </c>
      <c r="Q31" s="60" t="s">
        <v>361</v>
      </c>
      <c r="R31" s="58" t="s">
        <v>356</v>
      </c>
      <c r="S31" s="25">
        <f t="shared" si="0"/>
        <v>5</v>
      </c>
      <c r="T31" s="25">
        <f t="shared" si="1"/>
        <v>1</v>
      </c>
      <c r="V31" s="25">
        <f t="shared" si="2"/>
        <v>1</v>
      </c>
      <c r="W31" s="46">
        <v>97030</v>
      </c>
      <c r="X31" s="50" t="s">
        <v>306</v>
      </c>
    </row>
    <row r="32" spans="1:24" x14ac:dyDescent="0.25">
      <c r="A32" s="25">
        <v>26</v>
      </c>
      <c r="B32" s="59" t="str">
        <f ca="1">IFERROR(IF('ZIPs &amp; FIPs'!$H$7&lt;&gt;"",IF(AND('ZIPs &amp; FIPs'!$F$7="County",ISNA(ROW(INDEX(INDIRECT("K"&amp;B31+1):$M$500,MATCH('ZIPs &amp; FIPs'!$H$7,INDIRECT("L"&amp;B31+1):$L$500,0),2)))=FALSE),ROW(INDEX(INDIRECT("K"&amp;B31+1):$M$500,MATCH('ZIPs &amp; FIPs'!$H$7,INDIRECT("L"&amp;B31+1):$L$500,0),2)),IF(AND('ZIPs &amp; FIPs'!$F$7="City",ISNA(ROW(INDEX(INDIRECT("K"&amp;B31+1):$M$500,MATCH('ZIPs &amp; FIPs'!$H$7,INDIRECT("K"&amp;B31+1):$K$500,0),1)))=FALSE),ROW(INDEX(INDIRECT("K"&amp;B31+1):$M$500,MATCH('ZIPs &amp; FIPs'!$H$7,INDIRECT("K"&amp;B31+1):$K$500,0),1)),"")),""),"")</f>
        <v/>
      </c>
      <c r="C32" s="59" t="str">
        <f ca="1">IF(B32&lt;&gt;"",IF('ZIPs &amp; FIPs'!$H$7&lt;&gt;"",IF(AND('ZIPs &amp; FIPs'!$F$7="County",ISNA(INDEX(INDIRECT("K"&amp;B32):$M$500,MATCH('ZIPs &amp; FIPs'!$H$7,INDIRECT("L"&amp;B32):$L$500,0),3))=FALSE),INDEX(INDIRECT("K"&amp;B32):$M$500,MATCH('ZIPs &amp; FIPs'!$H$7,INDIRECT("L"&amp;B32):$L$500,0),3),IF(AND('ZIPs &amp; FIPs'!$F$7="City",ISNA(INDEX(INDIRECT("K"&amp;B32):$M$500,MATCH('ZIPs &amp; FIPs'!$H$7,INDIRECT("K"&amp;B32):$K$500,0),3))=FALSE),INDEX(INDIRECT("K"&amp;B32):$M$500,MATCH('ZIPs &amp; FIPs'!$H$7,INDIRECT("K"&amp;B32):$K$500,0),3),""))),"")</f>
        <v/>
      </c>
      <c r="D32" s="59" t="str">
        <f ca="1">IF(B32&lt;&gt;"",IF('ZIPs &amp; FIPs'!$H$7&lt;&gt;"",IF(AND('ZIPs &amp; FIPs'!$F$7="County",ISNA(INDEX(INDIRECT("J"&amp;B32):$M$500,MATCH('ZIPs &amp; FIPs'!$H$7,INDIRECT("L"&amp;B32):$L$500,0),1))=FALSE),INDEX(INDIRECT("J"&amp;B32):$M$500,MATCH('ZIPs &amp; FIPs'!$H$7,INDIRECT("L"&amp;B32):$L$500,0),1),IF(AND('ZIPs &amp; FIPs'!$F$7="City",ISNA(INDEX(INDIRECT("J"&amp;B32):$M$500,MATCH('ZIPs &amp; FIPs'!$H$7,INDIRECT("K"&amp;B32):$K$500,0),1))=FALSE),INDEX(INDIRECT("J"&amp;B32):$M$500,MATCH('ZIPs &amp; FIPs'!$H$7,INDIRECT("K"&amp;B32):$K$500,0),1),""))),"")</f>
        <v/>
      </c>
      <c r="E32" s="59" t="str">
        <f ca="1">IF(B32&lt;&gt;"",IF('ZIPs &amp; FIPs'!$H$7&lt;&gt;"",IF(AND('ZIPs &amp; FIPs'!$F$7="County",ISNA(INDEX(INDIRECT("K"&amp;B32):$M$500,MATCH('ZIPs &amp; FIPs'!$H$7,INDIRECT("L"&amp;B32):$L$500,0),1))=FALSE),INDEX(INDIRECT("K"&amp;B32):$M$500,MATCH('ZIPs &amp; FIPs'!$H$7,INDIRECT("L"&amp;B32):$L$500,0),1),IF(AND('ZIPs &amp; FIPs'!$F$7="City",ISNA(INDEX(INDIRECT("K"&amp;B32):$M$500,MATCH('ZIPs &amp; FIPs'!$H$7,INDIRECT("K"&amp;B32):$K$500,0),1))=FALSE),INDEX(INDIRECT("K"&amp;B32):$M$500,MATCH('ZIPs &amp; FIPs'!$H$7,INDIRECT("K"&amp;B32):$K$500,0),1),""))),"")</f>
        <v/>
      </c>
      <c r="F32" s="59" t="str">
        <f ca="1">IF(B32&lt;&gt;"",IF('ZIPs &amp; FIPs'!$H$7&lt;&gt;"",IF(AND('ZIPs &amp; FIPs'!$F$7="County",ISNA(INDEX(INDIRECT("K"&amp;B32):$M$500,MATCH('ZIPs &amp; FIPs'!$H$7,INDIRECT("L"&amp;B32):$L$500,0),2))=FALSE),INDEX(INDIRECT("K"&amp;B32):$M$500,MATCH('ZIPs &amp; FIPs'!$H$7,INDIRECT("L"&amp;B32):$L$500,0),2),IF(AND('ZIPs &amp; FIPs'!$F$7="City",ISNA(INDEX(INDIRECT("K"&amp;B32):$M$500,MATCH('ZIPs &amp; FIPs'!$H$7,INDIRECT("K"&amp;B32):$K$500,0),2))=FALSE),INDEX(INDIRECT("K"&amp;B32):$M$500,MATCH('ZIPs &amp; FIPs'!$H$7,INDIRECT("K"&amp;B32):$K$500,0),2),""))),"")</f>
        <v/>
      </c>
      <c r="J32" s="46">
        <v>97009</v>
      </c>
      <c r="K32" s="50" t="s">
        <v>358</v>
      </c>
      <c r="L32" s="32" t="s">
        <v>264</v>
      </c>
      <c r="M32" s="26" t="s">
        <v>317</v>
      </c>
      <c r="N32" t="s">
        <v>1194</v>
      </c>
      <c r="Q32" s="60" t="s">
        <v>93</v>
      </c>
      <c r="R32" s="58" t="s">
        <v>274</v>
      </c>
      <c r="S32" s="25">
        <f t="shared" si="0"/>
        <v>14</v>
      </c>
      <c r="T32" s="25">
        <f t="shared" si="1"/>
        <v>10</v>
      </c>
      <c r="V32" s="25">
        <f t="shared" si="2"/>
        <v>1</v>
      </c>
      <c r="W32" s="46">
        <v>97031</v>
      </c>
      <c r="X32" s="50" t="s">
        <v>191</v>
      </c>
    </row>
    <row r="33" spans="1:24" x14ac:dyDescent="0.25">
      <c r="A33" s="25">
        <v>27</v>
      </c>
      <c r="B33" s="59" t="str">
        <f ca="1">IFERROR(IF('ZIPs &amp; FIPs'!$H$7&lt;&gt;"",IF(AND('ZIPs &amp; FIPs'!$F$7="County",ISNA(ROW(INDEX(INDIRECT("K"&amp;B32+1):$M$500,MATCH('ZIPs &amp; FIPs'!$H$7,INDIRECT("L"&amp;B32+1):$L$500,0),2)))=FALSE),ROW(INDEX(INDIRECT("K"&amp;B32+1):$M$500,MATCH('ZIPs &amp; FIPs'!$H$7,INDIRECT("L"&amp;B32+1):$L$500,0),2)),IF(AND('ZIPs &amp; FIPs'!$F$7="City",ISNA(ROW(INDEX(INDIRECT("K"&amp;B32+1):$M$500,MATCH('ZIPs &amp; FIPs'!$H$7,INDIRECT("K"&amp;B32+1):$K$500,0),1)))=FALSE),ROW(INDEX(INDIRECT("K"&amp;B32+1):$M$500,MATCH('ZIPs &amp; FIPs'!$H$7,INDIRECT("K"&amp;B32+1):$K$500,0),1)),"")),""),"")</f>
        <v/>
      </c>
      <c r="C33" s="59" t="str">
        <f ca="1">IF(B33&lt;&gt;"",IF('ZIPs &amp; FIPs'!$H$7&lt;&gt;"",IF(AND('ZIPs &amp; FIPs'!$F$7="County",ISNA(INDEX(INDIRECT("K"&amp;B33):$M$500,MATCH('ZIPs &amp; FIPs'!$H$7,INDIRECT("L"&amp;B33):$L$500,0),3))=FALSE),INDEX(INDIRECT("K"&amp;B33):$M$500,MATCH('ZIPs &amp; FIPs'!$H$7,INDIRECT("L"&amp;B33):$L$500,0),3),IF(AND('ZIPs &amp; FIPs'!$F$7="City",ISNA(INDEX(INDIRECT("K"&amp;B33):$M$500,MATCH('ZIPs &amp; FIPs'!$H$7,INDIRECT("K"&amp;B33):$K$500,0),3))=FALSE),INDEX(INDIRECT("K"&amp;B33):$M$500,MATCH('ZIPs &amp; FIPs'!$H$7,INDIRECT("K"&amp;B33):$K$500,0),3),""))),"")</f>
        <v/>
      </c>
      <c r="D33" s="59" t="str">
        <f ca="1">IF(B33&lt;&gt;"",IF('ZIPs &amp; FIPs'!$H$7&lt;&gt;"",IF(AND('ZIPs &amp; FIPs'!$F$7="County",ISNA(INDEX(INDIRECT("J"&amp;B33):$M$500,MATCH('ZIPs &amp; FIPs'!$H$7,INDIRECT("L"&amp;B33):$L$500,0),1))=FALSE),INDEX(INDIRECT("J"&amp;B33):$M$500,MATCH('ZIPs &amp; FIPs'!$H$7,INDIRECT("L"&amp;B33):$L$500,0),1),IF(AND('ZIPs &amp; FIPs'!$F$7="City",ISNA(INDEX(INDIRECT("J"&amp;B33):$M$500,MATCH('ZIPs &amp; FIPs'!$H$7,INDIRECT("K"&amp;B33):$K$500,0),1))=FALSE),INDEX(INDIRECT("J"&amp;B33):$M$500,MATCH('ZIPs &amp; FIPs'!$H$7,INDIRECT("K"&amp;B33):$K$500,0),1),""))),"")</f>
        <v/>
      </c>
      <c r="E33" s="59" t="str">
        <f ca="1">IF(B33&lt;&gt;"",IF('ZIPs &amp; FIPs'!$H$7&lt;&gt;"",IF(AND('ZIPs &amp; FIPs'!$F$7="County",ISNA(INDEX(INDIRECT("K"&amp;B33):$M$500,MATCH('ZIPs &amp; FIPs'!$H$7,INDIRECT("L"&amp;B33):$L$500,0),1))=FALSE),INDEX(INDIRECT("K"&amp;B33):$M$500,MATCH('ZIPs &amp; FIPs'!$H$7,INDIRECT("L"&amp;B33):$L$500,0),1),IF(AND('ZIPs &amp; FIPs'!$F$7="City",ISNA(INDEX(INDIRECT("K"&amp;B33):$M$500,MATCH('ZIPs &amp; FIPs'!$H$7,INDIRECT("K"&amp;B33):$K$500,0),1))=FALSE),INDEX(INDIRECT("K"&amp;B33):$M$500,MATCH('ZIPs &amp; FIPs'!$H$7,INDIRECT("K"&amp;B33):$K$500,0),1),""))),"")</f>
        <v/>
      </c>
      <c r="F33" s="59" t="str">
        <f ca="1">IF(B33&lt;&gt;"",IF('ZIPs &amp; FIPs'!$H$7&lt;&gt;"",IF(AND('ZIPs &amp; FIPs'!$F$7="County",ISNA(INDEX(INDIRECT("K"&amp;B33):$M$500,MATCH('ZIPs &amp; FIPs'!$H$7,INDIRECT("L"&amp;B33):$L$500,0),2))=FALSE),INDEX(INDIRECT("K"&amp;B33):$M$500,MATCH('ZIPs &amp; FIPs'!$H$7,INDIRECT("L"&amp;B33):$L$500,0),2),IF(AND('ZIPs &amp; FIPs'!$F$7="City",ISNA(INDEX(INDIRECT("K"&amp;B33):$M$500,MATCH('ZIPs &amp; FIPs'!$H$7,INDIRECT("K"&amp;B33):$K$500,0),2))=FALSE),INDEX(INDIRECT("K"&amp;B33):$M$500,MATCH('ZIPs &amp; FIPs'!$H$7,INDIRECT("K"&amp;B33):$K$500,0),2),""))),"")</f>
        <v/>
      </c>
      <c r="J33" s="46">
        <v>97011</v>
      </c>
      <c r="K33" s="50" t="s">
        <v>360</v>
      </c>
      <c r="L33" s="32" t="s">
        <v>264</v>
      </c>
      <c r="M33" s="26" t="s">
        <v>317</v>
      </c>
      <c r="N33" t="s">
        <v>1194</v>
      </c>
      <c r="Q33" s="60" t="s">
        <v>224</v>
      </c>
      <c r="R33" s="58" t="s">
        <v>196</v>
      </c>
      <c r="S33" s="25">
        <f t="shared" si="0"/>
        <v>13</v>
      </c>
      <c r="T33" s="25">
        <f t="shared" si="1"/>
        <v>5</v>
      </c>
      <c r="V33" s="25">
        <f t="shared" si="2"/>
        <v>1</v>
      </c>
      <c r="W33" s="46">
        <v>97032</v>
      </c>
      <c r="X33" s="50" t="s">
        <v>584</v>
      </c>
    </row>
    <row r="34" spans="1:24" x14ac:dyDescent="0.25">
      <c r="A34" s="25">
        <v>28</v>
      </c>
      <c r="B34" s="59" t="str">
        <f ca="1">IFERROR(IF('ZIPs &amp; FIPs'!$H$7&lt;&gt;"",IF(AND('ZIPs &amp; FIPs'!$F$7="County",ISNA(ROW(INDEX(INDIRECT("K"&amp;B33+1):$M$500,MATCH('ZIPs &amp; FIPs'!$H$7,INDIRECT("L"&amp;B33+1):$L$500,0),2)))=FALSE),ROW(INDEX(INDIRECT("K"&amp;B33+1):$M$500,MATCH('ZIPs &amp; FIPs'!$H$7,INDIRECT("L"&amp;B33+1):$L$500,0),2)),IF(AND('ZIPs &amp; FIPs'!$F$7="City",ISNA(ROW(INDEX(INDIRECT("K"&amp;B33+1):$M$500,MATCH('ZIPs &amp; FIPs'!$H$7,INDIRECT("K"&amp;B33+1):$K$500,0),1)))=FALSE),ROW(INDEX(INDIRECT("K"&amp;B33+1):$M$500,MATCH('ZIPs &amp; FIPs'!$H$7,INDIRECT("K"&amp;B33+1):$K$500,0),1)),"")),""),"")</f>
        <v/>
      </c>
      <c r="C34" s="59" t="str">
        <f ca="1">IF(B34&lt;&gt;"",IF('ZIPs &amp; FIPs'!$H$7&lt;&gt;"",IF(AND('ZIPs &amp; FIPs'!$F$7="County",ISNA(INDEX(INDIRECT("K"&amp;B34):$M$500,MATCH('ZIPs &amp; FIPs'!$H$7,INDIRECT("L"&amp;B34):$L$500,0),3))=FALSE),INDEX(INDIRECT("K"&amp;B34):$M$500,MATCH('ZIPs &amp; FIPs'!$H$7,INDIRECT("L"&amp;B34):$L$500,0),3),IF(AND('ZIPs &amp; FIPs'!$F$7="City",ISNA(INDEX(INDIRECT("K"&amp;B34):$M$500,MATCH('ZIPs &amp; FIPs'!$H$7,INDIRECT("K"&amp;B34):$K$500,0),3))=FALSE),INDEX(INDIRECT("K"&amp;B34):$M$500,MATCH('ZIPs &amp; FIPs'!$H$7,INDIRECT("K"&amp;B34):$K$500,0),3),""))),"")</f>
        <v/>
      </c>
      <c r="D34" s="59" t="str">
        <f ca="1">IF(B34&lt;&gt;"",IF('ZIPs &amp; FIPs'!$H$7&lt;&gt;"",IF(AND('ZIPs &amp; FIPs'!$F$7="County",ISNA(INDEX(INDIRECT("J"&amp;B34):$M$500,MATCH('ZIPs &amp; FIPs'!$H$7,INDIRECT("L"&amp;B34):$L$500,0),1))=FALSE),INDEX(INDIRECT("J"&amp;B34):$M$500,MATCH('ZIPs &amp; FIPs'!$H$7,INDIRECT("L"&amp;B34):$L$500,0),1),IF(AND('ZIPs &amp; FIPs'!$F$7="City",ISNA(INDEX(INDIRECT("J"&amp;B34):$M$500,MATCH('ZIPs &amp; FIPs'!$H$7,INDIRECT("K"&amp;B34):$K$500,0),1))=FALSE),INDEX(INDIRECT("J"&amp;B34):$M$500,MATCH('ZIPs &amp; FIPs'!$H$7,INDIRECT("K"&amp;B34):$K$500,0),1),""))),"")</f>
        <v/>
      </c>
      <c r="E34" s="59" t="str">
        <f ca="1">IF(B34&lt;&gt;"",IF('ZIPs &amp; FIPs'!$H$7&lt;&gt;"",IF(AND('ZIPs &amp; FIPs'!$F$7="County",ISNA(INDEX(INDIRECT("K"&amp;B34):$M$500,MATCH('ZIPs &amp; FIPs'!$H$7,INDIRECT("L"&amp;B34):$L$500,0),1))=FALSE),INDEX(INDIRECT("K"&amp;B34):$M$500,MATCH('ZIPs &amp; FIPs'!$H$7,INDIRECT("L"&amp;B34):$L$500,0),1),IF(AND('ZIPs &amp; FIPs'!$F$7="City",ISNA(INDEX(INDIRECT("K"&amp;B34):$M$500,MATCH('ZIPs &amp; FIPs'!$H$7,INDIRECT("K"&amp;B34):$K$500,0),1))=FALSE),INDEX(INDIRECT("K"&amp;B34):$M$500,MATCH('ZIPs &amp; FIPs'!$H$7,INDIRECT("K"&amp;B34):$K$500,0),1),""))),"")</f>
        <v/>
      </c>
      <c r="F34" s="59" t="str">
        <f ca="1">IF(B34&lt;&gt;"",IF('ZIPs &amp; FIPs'!$H$7&lt;&gt;"",IF(AND('ZIPs &amp; FIPs'!$F$7="County",ISNA(INDEX(INDIRECT("K"&amp;B34):$M$500,MATCH('ZIPs &amp; FIPs'!$H$7,INDIRECT("L"&amp;B34):$L$500,0),2))=FALSE),INDEX(INDIRECT("K"&amp;B34):$M$500,MATCH('ZIPs &amp; FIPs'!$H$7,INDIRECT("L"&amp;B34):$L$500,0),2),IF(AND('ZIPs &amp; FIPs'!$F$7="City",ISNA(INDEX(INDIRECT("K"&amp;B34):$M$500,MATCH('ZIPs &amp; FIPs'!$H$7,INDIRECT("K"&amp;B34):$K$500,0),2))=FALSE),INDEX(INDIRECT("K"&amp;B34):$M$500,MATCH('ZIPs &amp; FIPs'!$H$7,INDIRECT("K"&amp;B34):$K$500,0),2),""))),"")</f>
        <v/>
      </c>
      <c r="J34" s="46">
        <v>97013</v>
      </c>
      <c r="K34" s="50" t="s">
        <v>267</v>
      </c>
      <c r="L34" s="32" t="s">
        <v>264</v>
      </c>
      <c r="M34" s="26" t="s">
        <v>317</v>
      </c>
      <c r="N34" t="s">
        <v>1194</v>
      </c>
      <c r="Q34" s="60" t="s">
        <v>239</v>
      </c>
      <c r="R34" s="58" t="s">
        <v>514</v>
      </c>
      <c r="S34" s="25">
        <f t="shared" si="0"/>
        <v>7</v>
      </c>
      <c r="T34" s="25">
        <f t="shared" si="1"/>
        <v>1</v>
      </c>
      <c r="V34" s="25">
        <f t="shared" si="2"/>
        <v>1</v>
      </c>
      <c r="W34" s="46">
        <v>97033</v>
      </c>
      <c r="X34" s="50" t="s">
        <v>612</v>
      </c>
    </row>
    <row r="35" spans="1:24" x14ac:dyDescent="0.25">
      <c r="A35" s="25">
        <v>29</v>
      </c>
      <c r="B35" s="59" t="str">
        <f ca="1">IFERROR(IF('ZIPs &amp; FIPs'!$H$7&lt;&gt;"",IF(AND('ZIPs &amp; FIPs'!$F$7="County",ISNA(ROW(INDEX(INDIRECT("K"&amp;B34+1):$M$500,MATCH('ZIPs &amp; FIPs'!$H$7,INDIRECT("L"&amp;B34+1):$L$500,0),2)))=FALSE),ROW(INDEX(INDIRECT("K"&amp;B34+1):$M$500,MATCH('ZIPs &amp; FIPs'!$H$7,INDIRECT("L"&amp;B34+1):$L$500,0),2)),IF(AND('ZIPs &amp; FIPs'!$F$7="City",ISNA(ROW(INDEX(INDIRECT("K"&amp;B34+1):$M$500,MATCH('ZIPs &amp; FIPs'!$H$7,INDIRECT("K"&amp;B34+1):$K$500,0),1)))=FALSE),ROW(INDEX(INDIRECT("K"&amp;B34+1):$M$500,MATCH('ZIPs &amp; FIPs'!$H$7,INDIRECT("K"&amp;B34+1):$K$500,0),1)),"")),""),"")</f>
        <v/>
      </c>
      <c r="C35" s="59" t="str">
        <f ca="1">IF(B35&lt;&gt;"",IF('ZIPs &amp; FIPs'!$H$7&lt;&gt;"",IF(AND('ZIPs &amp; FIPs'!$F$7="County",ISNA(INDEX(INDIRECT("K"&amp;B35):$M$500,MATCH('ZIPs &amp; FIPs'!$H$7,INDIRECT("L"&amp;B35):$L$500,0),3))=FALSE),INDEX(INDIRECT("K"&amp;B35):$M$500,MATCH('ZIPs &amp; FIPs'!$H$7,INDIRECT("L"&amp;B35):$L$500,0),3),IF(AND('ZIPs &amp; FIPs'!$F$7="City",ISNA(INDEX(INDIRECT("K"&amp;B35):$M$500,MATCH('ZIPs &amp; FIPs'!$H$7,INDIRECT("K"&amp;B35):$K$500,0),3))=FALSE),INDEX(INDIRECT("K"&amp;B35):$M$500,MATCH('ZIPs &amp; FIPs'!$H$7,INDIRECT("K"&amp;B35):$K$500,0),3),""))),"")</f>
        <v/>
      </c>
      <c r="D35" s="59" t="str">
        <f ca="1">IF(B35&lt;&gt;"",IF('ZIPs &amp; FIPs'!$H$7&lt;&gt;"",IF(AND('ZIPs &amp; FIPs'!$F$7="County",ISNA(INDEX(INDIRECT("J"&amp;B35):$M$500,MATCH('ZIPs &amp; FIPs'!$H$7,INDIRECT("L"&amp;B35):$L$500,0),1))=FALSE),INDEX(INDIRECT("J"&amp;B35):$M$500,MATCH('ZIPs &amp; FIPs'!$H$7,INDIRECT("L"&amp;B35):$L$500,0),1),IF(AND('ZIPs &amp; FIPs'!$F$7="City",ISNA(INDEX(INDIRECT("J"&amp;B35):$M$500,MATCH('ZIPs &amp; FIPs'!$H$7,INDIRECT("K"&amp;B35):$K$500,0),1))=FALSE),INDEX(INDIRECT("J"&amp;B35):$M$500,MATCH('ZIPs &amp; FIPs'!$H$7,INDIRECT("K"&amp;B35):$K$500,0),1),""))),"")</f>
        <v/>
      </c>
      <c r="E35" s="59" t="str">
        <f ca="1">IF(B35&lt;&gt;"",IF('ZIPs &amp; FIPs'!$H$7&lt;&gt;"",IF(AND('ZIPs &amp; FIPs'!$F$7="County",ISNA(INDEX(INDIRECT("K"&amp;B35):$M$500,MATCH('ZIPs &amp; FIPs'!$H$7,INDIRECT("L"&amp;B35):$L$500,0),1))=FALSE),INDEX(INDIRECT("K"&amp;B35):$M$500,MATCH('ZIPs &amp; FIPs'!$H$7,INDIRECT("L"&amp;B35):$L$500,0),1),IF(AND('ZIPs &amp; FIPs'!$F$7="City",ISNA(INDEX(INDIRECT("K"&amp;B35):$M$500,MATCH('ZIPs &amp; FIPs'!$H$7,INDIRECT("K"&amp;B35):$K$500,0),1))=FALSE),INDEX(INDIRECT("K"&amp;B35):$M$500,MATCH('ZIPs &amp; FIPs'!$H$7,INDIRECT("K"&amp;B35):$K$500,0),1),""))),"")</f>
        <v/>
      </c>
      <c r="F35" s="59" t="str">
        <f ca="1">IF(B35&lt;&gt;"",IF('ZIPs &amp; FIPs'!$H$7&lt;&gt;"",IF(AND('ZIPs &amp; FIPs'!$F$7="County",ISNA(INDEX(INDIRECT("K"&amp;B35):$M$500,MATCH('ZIPs &amp; FIPs'!$H$7,INDIRECT("L"&amp;B35):$L$500,0),2))=FALSE),INDEX(INDIRECT("K"&amp;B35):$M$500,MATCH('ZIPs &amp; FIPs'!$H$7,INDIRECT("L"&amp;B35):$L$500,0),2),IF(AND('ZIPs &amp; FIPs'!$F$7="City",ISNA(INDEX(INDIRECT("K"&amp;B35):$M$500,MATCH('ZIPs &amp; FIPs'!$H$7,INDIRECT("K"&amp;B35):$K$500,0),2))=FALSE),INDEX(INDIRECT("K"&amp;B35):$M$500,MATCH('ZIPs &amp; FIPs'!$H$7,INDIRECT("K"&amp;B35):$K$500,0),2),""))),"")</f>
        <v/>
      </c>
      <c r="J35" s="46">
        <v>97015</v>
      </c>
      <c r="K35" s="50" t="s">
        <v>264</v>
      </c>
      <c r="L35" s="32" t="s">
        <v>264</v>
      </c>
      <c r="M35" s="26" t="s">
        <v>317</v>
      </c>
      <c r="N35" t="s">
        <v>1194</v>
      </c>
      <c r="Q35" s="60" t="s">
        <v>243</v>
      </c>
      <c r="R35" s="58" t="s">
        <v>345</v>
      </c>
      <c r="S35" s="25">
        <f t="shared" si="0"/>
        <v>5</v>
      </c>
      <c r="T35" s="25">
        <f t="shared" si="1"/>
        <v>1</v>
      </c>
      <c r="V35" s="25">
        <f t="shared" si="2"/>
        <v>1</v>
      </c>
      <c r="W35" s="46">
        <v>97034</v>
      </c>
      <c r="X35" s="50" t="s">
        <v>375</v>
      </c>
    </row>
    <row r="36" spans="1:24" x14ac:dyDescent="0.25">
      <c r="A36" s="25">
        <v>30</v>
      </c>
      <c r="B36" s="59" t="str">
        <f ca="1">IFERROR(IF('ZIPs &amp; FIPs'!$H$7&lt;&gt;"",IF(AND('ZIPs &amp; FIPs'!$F$7="County",ISNA(ROW(INDEX(INDIRECT("K"&amp;B35+1):$M$500,MATCH('ZIPs &amp; FIPs'!$H$7,INDIRECT("L"&amp;B35+1):$L$500,0),2)))=FALSE),ROW(INDEX(INDIRECT("K"&amp;B35+1):$M$500,MATCH('ZIPs &amp; FIPs'!$H$7,INDIRECT("L"&amp;B35+1):$L$500,0),2)),IF(AND('ZIPs &amp; FIPs'!$F$7="City",ISNA(ROW(INDEX(INDIRECT("K"&amp;B35+1):$M$500,MATCH('ZIPs &amp; FIPs'!$H$7,INDIRECT("K"&amp;B35+1):$K$500,0),1)))=FALSE),ROW(INDEX(INDIRECT("K"&amp;B35+1):$M$500,MATCH('ZIPs &amp; FIPs'!$H$7,INDIRECT("K"&amp;B35+1):$K$500,0),1)),"")),""),"")</f>
        <v/>
      </c>
      <c r="C36" s="59" t="str">
        <f ca="1">IF(B36&lt;&gt;"",IF('ZIPs &amp; FIPs'!$H$7&lt;&gt;"",IF(AND('ZIPs &amp; FIPs'!$F$7="County",ISNA(INDEX(INDIRECT("K"&amp;B36):$M$500,MATCH('ZIPs &amp; FIPs'!$H$7,INDIRECT("L"&amp;B36):$L$500,0),3))=FALSE),INDEX(INDIRECT("K"&amp;B36):$M$500,MATCH('ZIPs &amp; FIPs'!$H$7,INDIRECT("L"&amp;B36):$L$500,0),3),IF(AND('ZIPs &amp; FIPs'!$F$7="City",ISNA(INDEX(INDIRECT("K"&amp;B36):$M$500,MATCH('ZIPs &amp; FIPs'!$H$7,INDIRECT("K"&amp;B36):$K$500,0),3))=FALSE),INDEX(INDIRECT("K"&amp;B36):$M$500,MATCH('ZIPs &amp; FIPs'!$H$7,INDIRECT("K"&amp;B36):$K$500,0),3),""))),"")</f>
        <v/>
      </c>
      <c r="D36" s="59" t="str">
        <f ca="1">IF(B36&lt;&gt;"",IF('ZIPs &amp; FIPs'!$H$7&lt;&gt;"",IF(AND('ZIPs &amp; FIPs'!$F$7="County",ISNA(INDEX(INDIRECT("J"&amp;B36):$M$500,MATCH('ZIPs &amp; FIPs'!$H$7,INDIRECT("L"&amp;B36):$L$500,0),1))=FALSE),INDEX(INDIRECT("J"&amp;B36):$M$500,MATCH('ZIPs &amp; FIPs'!$H$7,INDIRECT("L"&amp;B36):$L$500,0),1),IF(AND('ZIPs &amp; FIPs'!$F$7="City",ISNA(INDEX(INDIRECT("J"&amp;B36):$M$500,MATCH('ZIPs &amp; FIPs'!$H$7,INDIRECT("K"&amp;B36):$K$500,0),1))=FALSE),INDEX(INDIRECT("J"&amp;B36):$M$500,MATCH('ZIPs &amp; FIPs'!$H$7,INDIRECT("K"&amp;B36):$K$500,0),1),""))),"")</f>
        <v/>
      </c>
      <c r="E36" s="59" t="str">
        <f ca="1">IF(B36&lt;&gt;"",IF('ZIPs &amp; FIPs'!$H$7&lt;&gt;"",IF(AND('ZIPs &amp; FIPs'!$F$7="County",ISNA(INDEX(INDIRECT("K"&amp;B36):$M$500,MATCH('ZIPs &amp; FIPs'!$H$7,INDIRECT("L"&amp;B36):$L$500,0),1))=FALSE),INDEX(INDIRECT("K"&amp;B36):$M$500,MATCH('ZIPs &amp; FIPs'!$H$7,INDIRECT("L"&amp;B36):$L$500,0),1),IF(AND('ZIPs &amp; FIPs'!$F$7="City",ISNA(INDEX(INDIRECT("K"&amp;B36):$M$500,MATCH('ZIPs &amp; FIPs'!$H$7,INDIRECT("K"&amp;B36):$K$500,0),1))=FALSE),INDEX(INDIRECT("K"&amp;B36):$M$500,MATCH('ZIPs &amp; FIPs'!$H$7,INDIRECT("K"&amp;B36):$K$500,0),1),""))),"")</f>
        <v/>
      </c>
      <c r="F36" s="59" t="str">
        <f ca="1">IF(B36&lt;&gt;"",IF('ZIPs &amp; FIPs'!$H$7&lt;&gt;"",IF(AND('ZIPs &amp; FIPs'!$F$7="County",ISNA(INDEX(INDIRECT("K"&amp;B36):$M$500,MATCH('ZIPs &amp; FIPs'!$H$7,INDIRECT("L"&amp;B36):$L$500,0),2))=FALSE),INDEX(INDIRECT("K"&amp;B36):$M$500,MATCH('ZIPs &amp; FIPs'!$H$7,INDIRECT("L"&amp;B36):$L$500,0),2),IF(AND('ZIPs &amp; FIPs'!$F$7="City",ISNA(INDEX(INDIRECT("K"&amp;B36):$M$500,MATCH('ZIPs &amp; FIPs'!$H$7,INDIRECT("K"&amp;B36):$K$500,0),2))=FALSE),INDEX(INDIRECT("K"&amp;B36):$M$500,MATCH('ZIPs &amp; FIPs'!$H$7,INDIRECT("K"&amp;B36):$K$500,0),2),""))),"")</f>
        <v/>
      </c>
      <c r="J36" s="46">
        <v>97017</v>
      </c>
      <c r="K36" s="50" t="s">
        <v>365</v>
      </c>
      <c r="L36" s="32" t="s">
        <v>264</v>
      </c>
      <c r="M36" s="26" t="s">
        <v>317</v>
      </c>
      <c r="N36" t="s">
        <v>1194</v>
      </c>
      <c r="Q36" s="60" t="s">
        <v>189</v>
      </c>
      <c r="R36" s="58" t="s">
        <v>515</v>
      </c>
      <c r="S36" s="25">
        <f t="shared" si="0"/>
        <v>7</v>
      </c>
      <c r="T36" s="25">
        <f t="shared" ref="T36:T67" si="3">COUNTIF($K$12:$K$499,R36)</f>
        <v>1</v>
      </c>
      <c r="V36" s="25">
        <f t="shared" si="2"/>
        <v>1</v>
      </c>
      <c r="W36" s="46">
        <v>97035</v>
      </c>
      <c r="X36" s="50" t="s">
        <v>375</v>
      </c>
    </row>
    <row r="37" spans="1:24" x14ac:dyDescent="0.25">
      <c r="A37" s="25">
        <v>31</v>
      </c>
      <c r="B37" s="59" t="str">
        <f ca="1">IFERROR(IF('ZIPs &amp; FIPs'!$H$7&lt;&gt;"",IF(AND('ZIPs &amp; FIPs'!$F$7="County",ISNA(ROW(INDEX(INDIRECT("K"&amp;B36+1):$M$500,MATCH('ZIPs &amp; FIPs'!$H$7,INDIRECT("L"&amp;B36+1):$L$500,0),2)))=FALSE),ROW(INDEX(INDIRECT("K"&amp;B36+1):$M$500,MATCH('ZIPs &amp; FIPs'!$H$7,INDIRECT("L"&amp;B36+1):$L$500,0),2)),IF(AND('ZIPs &amp; FIPs'!$F$7="City",ISNA(ROW(INDEX(INDIRECT("K"&amp;B36+1):$M$500,MATCH('ZIPs &amp; FIPs'!$H$7,INDIRECT("K"&amp;B36+1):$K$500,0),1)))=FALSE),ROW(INDEX(INDIRECT("K"&amp;B36+1):$M$500,MATCH('ZIPs &amp; FIPs'!$H$7,INDIRECT("K"&amp;B36+1):$K$500,0),1)),"")),""),"")</f>
        <v/>
      </c>
      <c r="C37" s="59" t="str">
        <f ca="1">IF(B37&lt;&gt;"",IF('ZIPs &amp; FIPs'!$H$7&lt;&gt;"",IF(AND('ZIPs &amp; FIPs'!$F$7="County",ISNA(INDEX(INDIRECT("K"&amp;B37):$M$500,MATCH('ZIPs &amp; FIPs'!$H$7,INDIRECT("L"&amp;B37):$L$500,0),3))=FALSE),INDEX(INDIRECT("K"&amp;B37):$M$500,MATCH('ZIPs &amp; FIPs'!$H$7,INDIRECT("L"&amp;B37):$L$500,0),3),IF(AND('ZIPs &amp; FIPs'!$F$7="City",ISNA(INDEX(INDIRECT("K"&amp;B37):$M$500,MATCH('ZIPs &amp; FIPs'!$H$7,INDIRECT("K"&amp;B37):$K$500,0),3))=FALSE),INDEX(INDIRECT("K"&amp;B37):$M$500,MATCH('ZIPs &amp; FIPs'!$H$7,INDIRECT("K"&amp;B37):$K$500,0),3),""))),"")</f>
        <v/>
      </c>
      <c r="D37" s="59" t="str">
        <f ca="1">IF(B37&lt;&gt;"",IF('ZIPs &amp; FIPs'!$H$7&lt;&gt;"",IF(AND('ZIPs &amp; FIPs'!$F$7="County",ISNA(INDEX(INDIRECT("J"&amp;B37):$M$500,MATCH('ZIPs &amp; FIPs'!$H$7,INDIRECT("L"&amp;B37):$L$500,0),1))=FALSE),INDEX(INDIRECT("J"&amp;B37):$M$500,MATCH('ZIPs &amp; FIPs'!$H$7,INDIRECT("L"&amp;B37):$L$500,0),1),IF(AND('ZIPs &amp; FIPs'!$F$7="City",ISNA(INDEX(INDIRECT("J"&amp;B37):$M$500,MATCH('ZIPs &amp; FIPs'!$H$7,INDIRECT("K"&amp;B37):$K$500,0),1))=FALSE),INDEX(INDIRECT("J"&amp;B37):$M$500,MATCH('ZIPs &amp; FIPs'!$H$7,INDIRECT("K"&amp;B37):$K$500,0),1),""))),"")</f>
        <v/>
      </c>
      <c r="E37" s="59" t="str">
        <f ca="1">IF(B37&lt;&gt;"",IF('ZIPs &amp; FIPs'!$H$7&lt;&gt;"",IF(AND('ZIPs &amp; FIPs'!$F$7="County",ISNA(INDEX(INDIRECT("K"&amp;B37):$M$500,MATCH('ZIPs &amp; FIPs'!$H$7,INDIRECT("L"&amp;B37):$L$500,0),1))=FALSE),INDEX(INDIRECT("K"&amp;B37):$M$500,MATCH('ZIPs &amp; FIPs'!$H$7,INDIRECT("L"&amp;B37):$L$500,0),1),IF(AND('ZIPs &amp; FIPs'!$F$7="City",ISNA(INDEX(INDIRECT("K"&amp;B37):$M$500,MATCH('ZIPs &amp; FIPs'!$H$7,INDIRECT("K"&amp;B37):$K$500,0),1))=FALSE),INDEX(INDIRECT("K"&amp;B37):$M$500,MATCH('ZIPs &amp; FIPs'!$H$7,INDIRECT("K"&amp;B37):$K$500,0),1),""))),"")</f>
        <v/>
      </c>
      <c r="F37" s="59" t="str">
        <f ca="1">IF(B37&lt;&gt;"",IF('ZIPs &amp; FIPs'!$H$7&lt;&gt;"",IF(AND('ZIPs &amp; FIPs'!$F$7="County",ISNA(INDEX(INDIRECT("K"&amp;B37):$M$500,MATCH('ZIPs &amp; FIPs'!$H$7,INDIRECT("L"&amp;B37):$L$500,0),2))=FALSE),INDEX(INDIRECT("K"&amp;B37):$M$500,MATCH('ZIPs &amp; FIPs'!$H$7,INDIRECT("L"&amp;B37):$L$500,0),2),IF(AND('ZIPs &amp; FIPs'!$F$7="City",ISNA(INDEX(INDIRECT("K"&amp;B37):$M$500,MATCH('ZIPs &amp; FIPs'!$H$7,INDIRECT("K"&amp;B37):$K$500,0),2))=FALSE),INDEX(INDIRECT("K"&amp;B37):$M$500,MATCH('ZIPs &amp; FIPs'!$H$7,INDIRECT("K"&amp;B37):$K$500,0),2),""))),"")</f>
        <v/>
      </c>
      <c r="J37" s="46">
        <v>97022</v>
      </c>
      <c r="K37" s="50" t="s">
        <v>367</v>
      </c>
      <c r="L37" s="32" t="s">
        <v>264</v>
      </c>
      <c r="M37" s="26" t="s">
        <v>317</v>
      </c>
      <c r="N37" t="s">
        <v>1194</v>
      </c>
      <c r="Q37" s="60" t="s">
        <v>275</v>
      </c>
      <c r="R37" s="58" t="s">
        <v>492</v>
      </c>
      <c r="S37" s="25">
        <f t="shared" si="0"/>
        <v>31</v>
      </c>
      <c r="T37" s="25">
        <f t="shared" si="3"/>
        <v>1</v>
      </c>
      <c r="V37" s="25">
        <f t="shared" si="2"/>
        <v>1</v>
      </c>
      <c r="W37" s="46">
        <v>97036</v>
      </c>
      <c r="X37" s="50" t="s">
        <v>377</v>
      </c>
    </row>
    <row r="38" spans="1:24" x14ac:dyDescent="0.25">
      <c r="A38" s="25">
        <v>32</v>
      </c>
      <c r="B38" s="59" t="str">
        <f ca="1">IFERROR(IF('ZIPs &amp; FIPs'!$H$7&lt;&gt;"",IF(AND('ZIPs &amp; FIPs'!$F$7="County",ISNA(ROW(INDEX(INDIRECT("K"&amp;B37+1):$M$500,MATCH('ZIPs &amp; FIPs'!$H$7,INDIRECT("L"&amp;B37+1):$L$500,0),2)))=FALSE),ROW(INDEX(INDIRECT("K"&amp;B37+1):$M$500,MATCH('ZIPs &amp; FIPs'!$H$7,INDIRECT("L"&amp;B37+1):$L$500,0),2)),IF(AND('ZIPs &amp; FIPs'!$F$7="City",ISNA(ROW(INDEX(INDIRECT("K"&amp;B37+1):$M$500,MATCH('ZIPs &amp; FIPs'!$H$7,INDIRECT("K"&amp;B37+1):$K$500,0),1)))=FALSE),ROW(INDEX(INDIRECT("K"&amp;B37+1):$M$500,MATCH('ZIPs &amp; FIPs'!$H$7,INDIRECT("K"&amp;B37+1):$K$500,0),1)),"")),""),"")</f>
        <v/>
      </c>
      <c r="C38" s="59" t="str">
        <f ca="1">IF(B38&lt;&gt;"",IF('ZIPs &amp; FIPs'!$H$7&lt;&gt;"",IF(AND('ZIPs &amp; FIPs'!$F$7="County",ISNA(INDEX(INDIRECT("K"&amp;B38):$M$500,MATCH('ZIPs &amp; FIPs'!$H$7,INDIRECT("L"&amp;B38):$L$500,0),3))=FALSE),INDEX(INDIRECT("K"&amp;B38):$M$500,MATCH('ZIPs &amp; FIPs'!$H$7,INDIRECT("L"&amp;B38):$L$500,0),3),IF(AND('ZIPs &amp; FIPs'!$F$7="City",ISNA(INDEX(INDIRECT("K"&amp;B38):$M$500,MATCH('ZIPs &amp; FIPs'!$H$7,INDIRECT("K"&amp;B38):$K$500,0),3))=FALSE),INDEX(INDIRECT("K"&amp;B38):$M$500,MATCH('ZIPs &amp; FIPs'!$H$7,INDIRECT("K"&amp;B38):$K$500,0),3),""))),"")</f>
        <v/>
      </c>
      <c r="D38" s="59" t="str">
        <f ca="1">IF(B38&lt;&gt;"",IF('ZIPs &amp; FIPs'!$H$7&lt;&gt;"",IF(AND('ZIPs &amp; FIPs'!$F$7="County",ISNA(INDEX(INDIRECT("J"&amp;B38):$M$500,MATCH('ZIPs &amp; FIPs'!$H$7,INDIRECT("L"&amp;B38):$L$500,0),1))=FALSE),INDEX(INDIRECT("J"&amp;B38):$M$500,MATCH('ZIPs &amp; FIPs'!$H$7,INDIRECT("L"&amp;B38):$L$500,0),1),IF(AND('ZIPs &amp; FIPs'!$F$7="City",ISNA(INDEX(INDIRECT("J"&amp;B38):$M$500,MATCH('ZIPs &amp; FIPs'!$H$7,INDIRECT("K"&amp;B38):$K$500,0),1))=FALSE),INDEX(INDIRECT("J"&amp;B38):$M$500,MATCH('ZIPs &amp; FIPs'!$H$7,INDIRECT("K"&amp;B38):$K$500,0),1),""))),"")</f>
        <v/>
      </c>
      <c r="E38" s="59" t="str">
        <f ca="1">IF(B38&lt;&gt;"",IF('ZIPs &amp; FIPs'!$H$7&lt;&gt;"",IF(AND('ZIPs &amp; FIPs'!$F$7="County",ISNA(INDEX(INDIRECT("K"&amp;B38):$M$500,MATCH('ZIPs &amp; FIPs'!$H$7,INDIRECT("L"&amp;B38):$L$500,0),1))=FALSE),INDEX(INDIRECT("K"&amp;B38):$M$500,MATCH('ZIPs &amp; FIPs'!$H$7,INDIRECT("L"&amp;B38):$L$500,0),1),IF(AND('ZIPs &amp; FIPs'!$F$7="City",ISNA(INDEX(INDIRECT("K"&amp;B38):$M$500,MATCH('ZIPs &amp; FIPs'!$H$7,INDIRECT("K"&amp;B38):$K$500,0),1))=FALSE),INDEX(INDIRECT("K"&amp;B38):$M$500,MATCH('ZIPs &amp; FIPs'!$H$7,INDIRECT("K"&amp;B38):$K$500,0),1),""))),"")</f>
        <v/>
      </c>
      <c r="F38" s="59" t="str">
        <f ca="1">IF(B38&lt;&gt;"",IF('ZIPs &amp; FIPs'!$H$7&lt;&gt;"",IF(AND('ZIPs &amp; FIPs'!$F$7="County",ISNA(INDEX(INDIRECT("K"&amp;B38):$M$500,MATCH('ZIPs &amp; FIPs'!$H$7,INDIRECT("L"&amp;B38):$L$500,0),2))=FALSE),INDEX(INDIRECT("K"&amp;B38):$M$500,MATCH('ZIPs &amp; FIPs'!$H$7,INDIRECT("L"&amp;B38):$L$500,0),2),IF(AND('ZIPs &amp; FIPs'!$F$7="City",ISNA(INDEX(INDIRECT("K"&amp;B38):$M$500,MATCH('ZIPs &amp; FIPs'!$H$7,INDIRECT("K"&amp;B38):$K$500,0),2))=FALSE),INDEX(INDIRECT("K"&amp;B38):$M$500,MATCH('ZIPs &amp; FIPs'!$H$7,INDIRECT("K"&amp;B38):$K$500,0),2),""))),"")</f>
        <v/>
      </c>
      <c r="J38" s="46">
        <v>97023</v>
      </c>
      <c r="K38" s="50" t="s">
        <v>272</v>
      </c>
      <c r="L38" s="32" t="s">
        <v>264</v>
      </c>
      <c r="M38" s="26" t="s">
        <v>317</v>
      </c>
      <c r="N38" t="s">
        <v>1194</v>
      </c>
      <c r="Q38" s="60" t="s">
        <v>373</v>
      </c>
      <c r="R38" s="58" t="s">
        <v>307</v>
      </c>
      <c r="S38" s="25">
        <f t="shared" si="0"/>
        <v>3</v>
      </c>
      <c r="T38" s="25">
        <f t="shared" si="3"/>
        <v>1</v>
      </c>
      <c r="U38" s="71"/>
      <c r="V38" s="25">
        <f t="shared" si="2"/>
        <v>1</v>
      </c>
      <c r="W38" s="46">
        <v>97037</v>
      </c>
      <c r="X38" s="50" t="s">
        <v>647</v>
      </c>
    </row>
    <row r="39" spans="1:24" x14ac:dyDescent="0.25">
      <c r="A39" s="25">
        <v>33</v>
      </c>
      <c r="B39" s="59" t="str">
        <f ca="1">IFERROR(IF('ZIPs &amp; FIPs'!$H$7&lt;&gt;"",IF(AND('ZIPs &amp; FIPs'!$F$7="County",ISNA(ROW(INDEX(INDIRECT("K"&amp;B38+1):$M$500,MATCH('ZIPs &amp; FIPs'!$H$7,INDIRECT("L"&amp;B38+1):$L$500,0),2)))=FALSE),ROW(INDEX(INDIRECT("K"&amp;B38+1):$M$500,MATCH('ZIPs &amp; FIPs'!$H$7,INDIRECT("L"&amp;B38+1):$L$500,0),2)),IF(AND('ZIPs &amp; FIPs'!$F$7="City",ISNA(ROW(INDEX(INDIRECT("K"&amp;B38+1):$M$500,MATCH('ZIPs &amp; FIPs'!$H$7,INDIRECT("K"&amp;B38+1):$K$500,0),1)))=FALSE),ROW(INDEX(INDIRECT("K"&amp;B38+1):$M$500,MATCH('ZIPs &amp; FIPs'!$H$7,INDIRECT("K"&amp;B38+1):$K$500,0),1)),"")),""),"")</f>
        <v/>
      </c>
      <c r="C39" s="59" t="str">
        <f ca="1">IF(B39&lt;&gt;"",IF('ZIPs &amp; FIPs'!$H$7&lt;&gt;"",IF(AND('ZIPs &amp; FIPs'!$F$7="County",ISNA(INDEX(INDIRECT("K"&amp;B39):$M$500,MATCH('ZIPs &amp; FIPs'!$H$7,INDIRECT("L"&amp;B39):$L$500,0),3))=FALSE),INDEX(INDIRECT("K"&amp;B39):$M$500,MATCH('ZIPs &amp; FIPs'!$H$7,INDIRECT("L"&amp;B39):$L$500,0),3),IF(AND('ZIPs &amp; FIPs'!$F$7="City",ISNA(INDEX(INDIRECT("K"&amp;B39):$M$500,MATCH('ZIPs &amp; FIPs'!$H$7,INDIRECT("K"&amp;B39):$K$500,0),3))=FALSE),INDEX(INDIRECT("K"&amp;B39):$M$500,MATCH('ZIPs &amp; FIPs'!$H$7,INDIRECT("K"&amp;B39):$K$500,0),3),""))),"")</f>
        <v/>
      </c>
      <c r="D39" s="59" t="str">
        <f ca="1">IF(B39&lt;&gt;"",IF('ZIPs &amp; FIPs'!$H$7&lt;&gt;"",IF(AND('ZIPs &amp; FIPs'!$F$7="County",ISNA(INDEX(INDIRECT("J"&amp;B39):$M$500,MATCH('ZIPs &amp; FIPs'!$H$7,INDIRECT("L"&amp;B39):$L$500,0),1))=FALSE),INDEX(INDIRECT("J"&amp;B39):$M$500,MATCH('ZIPs &amp; FIPs'!$H$7,INDIRECT("L"&amp;B39):$L$500,0),1),IF(AND('ZIPs &amp; FIPs'!$F$7="City",ISNA(INDEX(INDIRECT("J"&amp;B39):$M$500,MATCH('ZIPs &amp; FIPs'!$H$7,INDIRECT("K"&amp;B39):$K$500,0),1))=FALSE),INDEX(INDIRECT("J"&amp;B39):$M$500,MATCH('ZIPs &amp; FIPs'!$H$7,INDIRECT("K"&amp;B39):$K$500,0),1),""))),"")</f>
        <v/>
      </c>
      <c r="E39" s="59" t="str">
        <f ca="1">IF(B39&lt;&gt;"",IF('ZIPs &amp; FIPs'!$H$7&lt;&gt;"",IF(AND('ZIPs &amp; FIPs'!$F$7="County",ISNA(INDEX(INDIRECT("K"&amp;B39):$M$500,MATCH('ZIPs &amp; FIPs'!$H$7,INDIRECT("L"&amp;B39):$L$500,0),1))=FALSE),INDEX(INDIRECT("K"&amp;B39):$M$500,MATCH('ZIPs &amp; FIPs'!$H$7,INDIRECT("L"&amp;B39):$L$500,0),1),IF(AND('ZIPs &amp; FIPs'!$F$7="City",ISNA(INDEX(INDIRECT("K"&amp;B39):$M$500,MATCH('ZIPs &amp; FIPs'!$H$7,INDIRECT("K"&amp;B39):$K$500,0),1))=FALSE),INDEX(INDIRECT("K"&amp;B39):$M$500,MATCH('ZIPs &amp; FIPs'!$H$7,INDIRECT("K"&amp;B39):$K$500,0),1),""))),"")</f>
        <v/>
      </c>
      <c r="F39" s="59" t="str">
        <f ca="1">IF(B39&lt;&gt;"",IF('ZIPs &amp; FIPs'!$H$7&lt;&gt;"",IF(AND('ZIPs &amp; FIPs'!$F$7="County",ISNA(INDEX(INDIRECT("K"&amp;B39):$M$500,MATCH('ZIPs &amp; FIPs'!$H$7,INDIRECT("L"&amp;B39):$L$500,0),2))=FALSE),INDEX(INDIRECT("K"&amp;B39):$M$500,MATCH('ZIPs &amp; FIPs'!$H$7,INDIRECT("L"&amp;B39):$L$500,0),2),IF(AND('ZIPs &amp; FIPs'!$F$7="City",ISNA(INDEX(INDIRECT("K"&amp;B39):$M$500,MATCH('ZIPs &amp; FIPs'!$H$7,INDIRECT("K"&amp;B39):$K$500,0),2))=FALSE),INDEX(INDIRECT("K"&amp;B39):$M$500,MATCH('ZIPs &amp; FIPs'!$H$7,INDIRECT("K"&amp;B39):$K$500,0),2),""))),"")</f>
        <v/>
      </c>
      <c r="J39" s="46">
        <v>97027</v>
      </c>
      <c r="K39" s="50" t="s">
        <v>370</v>
      </c>
      <c r="L39" s="32" t="s">
        <v>264</v>
      </c>
      <c r="M39" s="26" t="s">
        <v>317</v>
      </c>
      <c r="N39" t="s">
        <v>1194</v>
      </c>
      <c r="Q39" s="60" t="s">
        <v>127</v>
      </c>
      <c r="R39" s="58" t="s">
        <v>493</v>
      </c>
      <c r="S39" s="25">
        <f t="shared" si="0"/>
        <v>10</v>
      </c>
      <c r="T39" s="25">
        <f t="shared" si="3"/>
        <v>1</v>
      </c>
      <c r="U39" s="71"/>
      <c r="V39" s="25">
        <f t="shared" si="2"/>
        <v>1</v>
      </c>
      <c r="W39" s="46">
        <v>97038</v>
      </c>
      <c r="X39" s="50" t="s">
        <v>378</v>
      </c>
    </row>
    <row r="40" spans="1:24" x14ac:dyDescent="0.25">
      <c r="A40" s="25">
        <v>34</v>
      </c>
      <c r="B40" s="59" t="str">
        <f ca="1">IFERROR(IF('ZIPs &amp; FIPs'!$H$7&lt;&gt;"",IF(AND('ZIPs &amp; FIPs'!$F$7="County",ISNA(ROW(INDEX(INDIRECT("K"&amp;B39+1):$M$500,MATCH('ZIPs &amp; FIPs'!$H$7,INDIRECT("L"&amp;B39+1):$L$500,0),2)))=FALSE),ROW(INDEX(INDIRECT("K"&amp;B39+1):$M$500,MATCH('ZIPs &amp; FIPs'!$H$7,INDIRECT("L"&amp;B39+1):$L$500,0),2)),IF(AND('ZIPs &amp; FIPs'!$F$7="City",ISNA(ROW(INDEX(INDIRECT("K"&amp;B39+1):$M$500,MATCH('ZIPs &amp; FIPs'!$H$7,INDIRECT("K"&amp;B39+1):$K$500,0),1)))=FALSE),ROW(INDEX(INDIRECT("K"&amp;B39+1):$M$500,MATCH('ZIPs &amp; FIPs'!$H$7,INDIRECT("K"&amp;B39+1):$K$500,0),1)),"")),""),"")</f>
        <v/>
      </c>
      <c r="C40" s="59" t="str">
        <f ca="1">IF(B40&lt;&gt;"",IF('ZIPs &amp; FIPs'!$H$7&lt;&gt;"",IF(AND('ZIPs &amp; FIPs'!$F$7="County",ISNA(INDEX(INDIRECT("K"&amp;B40):$M$500,MATCH('ZIPs &amp; FIPs'!$H$7,INDIRECT("L"&amp;B40):$L$500,0),3))=FALSE),INDEX(INDIRECT("K"&amp;B40):$M$500,MATCH('ZIPs &amp; FIPs'!$H$7,INDIRECT("L"&amp;B40):$L$500,0),3),IF(AND('ZIPs &amp; FIPs'!$F$7="City",ISNA(INDEX(INDIRECT("K"&amp;B40):$M$500,MATCH('ZIPs &amp; FIPs'!$H$7,INDIRECT("K"&amp;B40):$K$500,0),3))=FALSE),INDEX(INDIRECT("K"&amp;B40):$M$500,MATCH('ZIPs &amp; FIPs'!$H$7,INDIRECT("K"&amp;B40):$K$500,0),3),""))),"")</f>
        <v/>
      </c>
      <c r="D40" s="59" t="str">
        <f ca="1">IF(B40&lt;&gt;"",IF('ZIPs &amp; FIPs'!$H$7&lt;&gt;"",IF(AND('ZIPs &amp; FIPs'!$F$7="County",ISNA(INDEX(INDIRECT("J"&amp;B40):$M$500,MATCH('ZIPs &amp; FIPs'!$H$7,INDIRECT("L"&amp;B40):$L$500,0),1))=FALSE),INDEX(INDIRECT("J"&amp;B40):$M$500,MATCH('ZIPs &amp; FIPs'!$H$7,INDIRECT("L"&amp;B40):$L$500,0),1),IF(AND('ZIPs &amp; FIPs'!$F$7="City",ISNA(INDEX(INDIRECT("J"&amp;B40):$M$500,MATCH('ZIPs &amp; FIPs'!$H$7,INDIRECT("K"&amp;B40):$K$500,0),1))=FALSE),INDEX(INDIRECT("J"&amp;B40):$M$500,MATCH('ZIPs &amp; FIPs'!$H$7,INDIRECT("K"&amp;B40):$K$500,0),1),""))),"")</f>
        <v/>
      </c>
      <c r="E40" s="59" t="str">
        <f ca="1">IF(B40&lt;&gt;"",IF('ZIPs &amp; FIPs'!$H$7&lt;&gt;"",IF(AND('ZIPs &amp; FIPs'!$F$7="County",ISNA(INDEX(INDIRECT("K"&amp;B40):$M$500,MATCH('ZIPs &amp; FIPs'!$H$7,INDIRECT("L"&amp;B40):$L$500,0),1))=FALSE),INDEX(INDIRECT("K"&amp;B40):$M$500,MATCH('ZIPs &amp; FIPs'!$H$7,INDIRECT("L"&amp;B40):$L$500,0),1),IF(AND('ZIPs &amp; FIPs'!$F$7="City",ISNA(INDEX(INDIRECT("K"&amp;B40):$M$500,MATCH('ZIPs &amp; FIPs'!$H$7,INDIRECT("K"&amp;B40):$K$500,0),1))=FALSE),INDEX(INDIRECT("K"&amp;B40):$M$500,MATCH('ZIPs &amp; FIPs'!$H$7,INDIRECT("K"&amp;B40):$K$500,0),1),""))),"")</f>
        <v/>
      </c>
      <c r="F40" s="59" t="str">
        <f ca="1">IF(B40&lt;&gt;"",IF('ZIPs &amp; FIPs'!$H$7&lt;&gt;"",IF(AND('ZIPs &amp; FIPs'!$F$7="County",ISNA(INDEX(INDIRECT("K"&amp;B40):$M$500,MATCH('ZIPs &amp; FIPs'!$H$7,INDIRECT("L"&amp;B40):$L$500,0),2))=FALSE),INDEX(INDIRECT("K"&amp;B40):$M$500,MATCH('ZIPs &amp; FIPs'!$H$7,INDIRECT("L"&amp;B40):$L$500,0),2),IF(AND('ZIPs &amp; FIPs'!$F$7="City",ISNA(INDEX(INDIRECT("K"&amp;B40):$M$500,MATCH('ZIPs &amp; FIPs'!$H$7,INDIRECT("K"&amp;B40):$K$500,0),2))=FALSE),INDEX(INDIRECT("K"&amp;B40):$M$500,MATCH('ZIPs &amp; FIPs'!$H$7,INDIRECT("K"&amp;B40):$K$500,0),2),""))),"")</f>
        <v/>
      </c>
      <c r="J40" s="46">
        <v>97028</v>
      </c>
      <c r="K40" s="50" t="s">
        <v>372</v>
      </c>
      <c r="L40" s="32" t="s">
        <v>264</v>
      </c>
      <c r="M40" s="26" t="s">
        <v>317</v>
      </c>
      <c r="N40" t="s">
        <v>1194</v>
      </c>
      <c r="Q40" s="32"/>
      <c r="R40" s="58" t="s">
        <v>358</v>
      </c>
      <c r="S40" s="25">
        <f t="shared" si="0"/>
        <v>0</v>
      </c>
      <c r="T40" s="25">
        <f t="shared" si="3"/>
        <v>1</v>
      </c>
      <c r="U40" s="71"/>
      <c r="V40" s="25">
        <f t="shared" si="2"/>
        <v>1</v>
      </c>
      <c r="W40" s="46">
        <v>97039</v>
      </c>
      <c r="X40" s="50" t="s">
        <v>613</v>
      </c>
    </row>
    <row r="41" spans="1:24" x14ac:dyDescent="0.25">
      <c r="A41" s="25">
        <v>35</v>
      </c>
      <c r="B41" s="59" t="str">
        <f ca="1">IFERROR(IF('ZIPs &amp; FIPs'!$H$7&lt;&gt;"",IF(AND('ZIPs &amp; FIPs'!$F$7="County",ISNA(ROW(INDEX(INDIRECT("K"&amp;B40+1):$M$500,MATCH('ZIPs &amp; FIPs'!$H$7,INDIRECT("L"&amp;B40+1):$L$500,0),2)))=FALSE),ROW(INDEX(INDIRECT("K"&amp;B40+1):$M$500,MATCH('ZIPs &amp; FIPs'!$H$7,INDIRECT("L"&amp;B40+1):$L$500,0),2)),IF(AND('ZIPs &amp; FIPs'!$F$7="City",ISNA(ROW(INDEX(INDIRECT("K"&amp;B40+1):$M$500,MATCH('ZIPs &amp; FIPs'!$H$7,INDIRECT("K"&amp;B40+1):$K$500,0),1)))=FALSE),ROW(INDEX(INDIRECT("K"&amp;B40+1):$M$500,MATCH('ZIPs &amp; FIPs'!$H$7,INDIRECT("K"&amp;B40+1):$K$500,0),1)),"")),""),"")</f>
        <v/>
      </c>
      <c r="C41" s="59" t="str">
        <f ca="1">IF(B41&lt;&gt;"",IF('ZIPs &amp; FIPs'!$H$7&lt;&gt;"",IF(AND('ZIPs &amp; FIPs'!$F$7="County",ISNA(INDEX(INDIRECT("K"&amp;B41):$M$500,MATCH('ZIPs &amp; FIPs'!$H$7,INDIRECT("L"&amp;B41):$L$500,0),3))=FALSE),INDEX(INDIRECT("K"&amp;B41):$M$500,MATCH('ZIPs &amp; FIPs'!$H$7,INDIRECT("L"&amp;B41):$L$500,0),3),IF(AND('ZIPs &amp; FIPs'!$F$7="City",ISNA(INDEX(INDIRECT("K"&amp;B41):$M$500,MATCH('ZIPs &amp; FIPs'!$H$7,INDIRECT("K"&amp;B41):$K$500,0),3))=FALSE),INDEX(INDIRECT("K"&amp;B41):$M$500,MATCH('ZIPs &amp; FIPs'!$H$7,INDIRECT("K"&amp;B41):$K$500,0),3),""))),"")</f>
        <v/>
      </c>
      <c r="D41" s="59" t="str">
        <f ca="1">IF(B41&lt;&gt;"",IF('ZIPs &amp; FIPs'!$H$7&lt;&gt;"",IF(AND('ZIPs &amp; FIPs'!$F$7="County",ISNA(INDEX(INDIRECT("J"&amp;B41):$M$500,MATCH('ZIPs &amp; FIPs'!$H$7,INDIRECT("L"&amp;B41):$L$500,0),1))=FALSE),INDEX(INDIRECT("J"&amp;B41):$M$500,MATCH('ZIPs &amp; FIPs'!$H$7,INDIRECT("L"&amp;B41):$L$500,0),1),IF(AND('ZIPs &amp; FIPs'!$F$7="City",ISNA(INDEX(INDIRECT("J"&amp;B41):$M$500,MATCH('ZIPs &amp; FIPs'!$H$7,INDIRECT("K"&amp;B41):$K$500,0),1))=FALSE),INDEX(INDIRECT("J"&amp;B41):$M$500,MATCH('ZIPs &amp; FIPs'!$H$7,INDIRECT("K"&amp;B41):$K$500,0),1),""))),"")</f>
        <v/>
      </c>
      <c r="E41" s="59" t="str">
        <f ca="1">IF(B41&lt;&gt;"",IF('ZIPs &amp; FIPs'!$H$7&lt;&gt;"",IF(AND('ZIPs &amp; FIPs'!$F$7="County",ISNA(INDEX(INDIRECT("K"&amp;B41):$M$500,MATCH('ZIPs &amp; FIPs'!$H$7,INDIRECT("L"&amp;B41):$L$500,0),1))=FALSE),INDEX(INDIRECT("K"&amp;B41):$M$500,MATCH('ZIPs &amp; FIPs'!$H$7,INDIRECT("L"&amp;B41):$L$500,0),1),IF(AND('ZIPs &amp; FIPs'!$F$7="City",ISNA(INDEX(INDIRECT("K"&amp;B41):$M$500,MATCH('ZIPs &amp; FIPs'!$H$7,INDIRECT("K"&amp;B41):$K$500,0),1))=FALSE),INDEX(INDIRECT("K"&amp;B41):$M$500,MATCH('ZIPs &amp; FIPs'!$H$7,INDIRECT("K"&amp;B41):$K$500,0),1),""))),"")</f>
        <v/>
      </c>
      <c r="F41" s="59" t="str">
        <f ca="1">IF(B41&lt;&gt;"",IF('ZIPs &amp; FIPs'!$H$7&lt;&gt;"",IF(AND('ZIPs &amp; FIPs'!$F$7="County",ISNA(INDEX(INDIRECT("K"&amp;B41):$M$500,MATCH('ZIPs &amp; FIPs'!$H$7,INDIRECT("L"&amp;B41):$L$500,0),2))=FALSE),INDEX(INDIRECT("K"&amp;B41):$M$500,MATCH('ZIPs &amp; FIPs'!$H$7,INDIRECT("L"&amp;B41):$L$500,0),2),IF(AND('ZIPs &amp; FIPs'!$F$7="City",ISNA(INDEX(INDIRECT("K"&amp;B41):$M$500,MATCH('ZIPs &amp; FIPs'!$H$7,INDIRECT("K"&amp;B41):$K$500,0),2))=FALSE),INDEX(INDIRECT("K"&amp;B41):$M$500,MATCH('ZIPs &amp; FIPs'!$H$7,INDIRECT("K"&amp;B41):$K$500,0),2),""))),"")</f>
        <v/>
      </c>
      <c r="J41" s="46">
        <v>97034</v>
      </c>
      <c r="K41" s="50" t="s">
        <v>375</v>
      </c>
      <c r="L41" s="32" t="s">
        <v>264</v>
      </c>
      <c r="M41" s="26" t="s">
        <v>317</v>
      </c>
      <c r="N41" t="s">
        <v>1194</v>
      </c>
      <c r="R41" s="58" t="s">
        <v>602</v>
      </c>
      <c r="S41" s="25">
        <f t="shared" si="0"/>
        <v>0</v>
      </c>
      <c r="T41" s="25">
        <f t="shared" si="3"/>
        <v>1</v>
      </c>
      <c r="V41" s="25">
        <f t="shared" si="2"/>
        <v>1</v>
      </c>
      <c r="W41" s="46">
        <v>97040</v>
      </c>
      <c r="X41" s="50" t="s">
        <v>648</v>
      </c>
    </row>
    <row r="42" spans="1:24" x14ac:dyDescent="0.25">
      <c r="A42" s="25">
        <v>36</v>
      </c>
      <c r="B42" s="59" t="str">
        <f ca="1">IFERROR(IF('ZIPs &amp; FIPs'!$H$7&lt;&gt;"",IF(AND('ZIPs &amp; FIPs'!$F$7="County",ISNA(ROW(INDEX(INDIRECT("K"&amp;B41+1):$M$500,MATCH('ZIPs &amp; FIPs'!$H$7,INDIRECT("L"&amp;B41+1):$L$500,0),2)))=FALSE),ROW(INDEX(INDIRECT("K"&amp;B41+1):$M$500,MATCH('ZIPs &amp; FIPs'!$H$7,INDIRECT("L"&amp;B41+1):$L$500,0),2)),IF(AND('ZIPs &amp; FIPs'!$F$7="City",ISNA(ROW(INDEX(INDIRECT("K"&amp;B41+1):$M$500,MATCH('ZIPs &amp; FIPs'!$H$7,INDIRECT("K"&amp;B41+1):$K$500,0),1)))=FALSE),ROW(INDEX(INDIRECT("K"&amp;B41+1):$M$500,MATCH('ZIPs &amp; FIPs'!$H$7,INDIRECT("K"&amp;B41+1):$K$500,0),1)),"")),""),"")</f>
        <v/>
      </c>
      <c r="C42" s="59" t="str">
        <f ca="1">IF(B42&lt;&gt;"",IF('ZIPs &amp; FIPs'!$H$7&lt;&gt;"",IF(AND('ZIPs &amp; FIPs'!$F$7="County",ISNA(INDEX(INDIRECT("K"&amp;B42):$M$500,MATCH('ZIPs &amp; FIPs'!$H$7,INDIRECT("L"&amp;B42):$L$500,0),3))=FALSE),INDEX(INDIRECT("K"&amp;B42):$M$500,MATCH('ZIPs &amp; FIPs'!$H$7,INDIRECT("L"&amp;B42):$L$500,0),3),IF(AND('ZIPs &amp; FIPs'!$F$7="City",ISNA(INDEX(INDIRECT("K"&amp;B42):$M$500,MATCH('ZIPs &amp; FIPs'!$H$7,INDIRECT("K"&amp;B42):$K$500,0),3))=FALSE),INDEX(INDIRECT("K"&amp;B42):$M$500,MATCH('ZIPs &amp; FIPs'!$H$7,INDIRECT("K"&amp;B42):$K$500,0),3),""))),"")</f>
        <v/>
      </c>
      <c r="D42" s="59" t="str">
        <f ca="1">IF(B42&lt;&gt;"",IF('ZIPs &amp; FIPs'!$H$7&lt;&gt;"",IF(AND('ZIPs &amp; FIPs'!$F$7="County",ISNA(INDEX(INDIRECT("J"&amp;B42):$M$500,MATCH('ZIPs &amp; FIPs'!$H$7,INDIRECT("L"&amp;B42):$L$500,0),1))=FALSE),INDEX(INDIRECT("J"&amp;B42):$M$500,MATCH('ZIPs &amp; FIPs'!$H$7,INDIRECT("L"&amp;B42):$L$500,0),1),IF(AND('ZIPs &amp; FIPs'!$F$7="City",ISNA(INDEX(INDIRECT("J"&amp;B42):$M$500,MATCH('ZIPs &amp; FIPs'!$H$7,INDIRECT("K"&amp;B42):$K$500,0),1))=FALSE),INDEX(INDIRECT("J"&amp;B42):$M$500,MATCH('ZIPs &amp; FIPs'!$H$7,INDIRECT("K"&amp;B42):$K$500,0),1),""))),"")</f>
        <v/>
      </c>
      <c r="E42" s="59" t="str">
        <f ca="1">IF(B42&lt;&gt;"",IF('ZIPs &amp; FIPs'!$H$7&lt;&gt;"",IF(AND('ZIPs &amp; FIPs'!$F$7="County",ISNA(INDEX(INDIRECT("K"&amp;B42):$M$500,MATCH('ZIPs &amp; FIPs'!$H$7,INDIRECT("L"&amp;B42):$L$500,0),1))=FALSE),INDEX(INDIRECT("K"&amp;B42):$M$500,MATCH('ZIPs &amp; FIPs'!$H$7,INDIRECT("L"&amp;B42):$L$500,0),1),IF(AND('ZIPs &amp; FIPs'!$F$7="City",ISNA(INDEX(INDIRECT("K"&amp;B42):$M$500,MATCH('ZIPs &amp; FIPs'!$H$7,INDIRECT("K"&amp;B42):$K$500,0),1))=FALSE),INDEX(INDIRECT("K"&amp;B42):$M$500,MATCH('ZIPs &amp; FIPs'!$H$7,INDIRECT("K"&amp;B42):$K$500,0),1),""))),"")</f>
        <v/>
      </c>
      <c r="F42" s="59" t="str">
        <f ca="1">IF(B42&lt;&gt;"",IF('ZIPs &amp; FIPs'!$H$7&lt;&gt;"",IF(AND('ZIPs &amp; FIPs'!$F$7="County",ISNA(INDEX(INDIRECT("K"&amp;B42):$M$500,MATCH('ZIPs &amp; FIPs'!$H$7,INDIRECT("L"&amp;B42):$L$500,0),2))=FALSE),INDEX(INDIRECT("K"&amp;B42):$M$500,MATCH('ZIPs &amp; FIPs'!$H$7,INDIRECT("L"&amp;B42):$L$500,0),2),IF(AND('ZIPs &amp; FIPs'!$F$7="City",ISNA(INDEX(INDIRECT("K"&amp;B42):$M$500,MATCH('ZIPs &amp; FIPs'!$H$7,INDIRECT("K"&amp;B42):$K$500,0),2))=FALSE),INDEX(INDIRECT("K"&amp;B42):$M$500,MATCH('ZIPs &amp; FIPs'!$H$7,INDIRECT("K"&amp;B42):$K$500,0),2),""))),"")</f>
        <v/>
      </c>
      <c r="J42" s="46">
        <v>97035</v>
      </c>
      <c r="K42" s="50" t="s">
        <v>375</v>
      </c>
      <c r="L42" s="32" t="s">
        <v>264</v>
      </c>
      <c r="M42" s="26" t="s">
        <v>317</v>
      </c>
      <c r="N42" t="s">
        <v>1194</v>
      </c>
      <c r="R42" s="58" t="s">
        <v>322</v>
      </c>
      <c r="S42" s="25">
        <f t="shared" si="0"/>
        <v>0</v>
      </c>
      <c r="T42" s="25">
        <f t="shared" si="3"/>
        <v>1</v>
      </c>
      <c r="V42" s="25">
        <f t="shared" si="2"/>
        <v>1</v>
      </c>
      <c r="W42" s="46">
        <v>97041</v>
      </c>
      <c r="X42" s="50" t="s">
        <v>464</v>
      </c>
    </row>
    <row r="43" spans="1:24" x14ac:dyDescent="0.25">
      <c r="A43" s="25">
        <v>37</v>
      </c>
      <c r="B43" s="59" t="str">
        <f ca="1">IFERROR(IF('ZIPs &amp; FIPs'!$H$7&lt;&gt;"",IF(AND('ZIPs &amp; FIPs'!$F$7="County",ISNA(ROW(INDEX(INDIRECT("K"&amp;B42+1):$M$500,MATCH('ZIPs &amp; FIPs'!$H$7,INDIRECT("L"&amp;B42+1):$L$500,0),2)))=FALSE),ROW(INDEX(INDIRECT("K"&amp;B42+1):$M$500,MATCH('ZIPs &amp; FIPs'!$H$7,INDIRECT("L"&amp;B42+1):$L$500,0),2)),IF(AND('ZIPs &amp; FIPs'!$F$7="City",ISNA(ROW(INDEX(INDIRECT("K"&amp;B42+1):$M$500,MATCH('ZIPs &amp; FIPs'!$H$7,INDIRECT("K"&amp;B42+1):$K$500,0),1)))=FALSE),ROW(INDEX(INDIRECT("K"&amp;B42+1):$M$500,MATCH('ZIPs &amp; FIPs'!$H$7,INDIRECT("K"&amp;B42+1):$K$500,0),1)),"")),""),"")</f>
        <v/>
      </c>
      <c r="C43" s="59" t="str">
        <f ca="1">IF(B43&lt;&gt;"",IF('ZIPs &amp; FIPs'!$H$7&lt;&gt;"",IF(AND('ZIPs &amp; FIPs'!$F$7="County",ISNA(INDEX(INDIRECT("K"&amp;B43):$M$500,MATCH('ZIPs &amp; FIPs'!$H$7,INDIRECT("L"&amp;B43):$L$500,0),3))=FALSE),INDEX(INDIRECT("K"&amp;B43):$M$500,MATCH('ZIPs &amp; FIPs'!$H$7,INDIRECT("L"&amp;B43):$L$500,0),3),IF(AND('ZIPs &amp; FIPs'!$F$7="City",ISNA(INDEX(INDIRECT("K"&amp;B43):$M$500,MATCH('ZIPs &amp; FIPs'!$H$7,INDIRECT("K"&amp;B43):$K$500,0),3))=FALSE),INDEX(INDIRECT("K"&amp;B43):$M$500,MATCH('ZIPs &amp; FIPs'!$H$7,INDIRECT("K"&amp;B43):$K$500,0),3),""))),"")</f>
        <v/>
      </c>
      <c r="D43" s="59" t="str">
        <f ca="1">IF(B43&lt;&gt;"",IF('ZIPs &amp; FIPs'!$H$7&lt;&gt;"",IF(AND('ZIPs &amp; FIPs'!$F$7="County",ISNA(INDEX(INDIRECT("J"&amp;B43):$M$500,MATCH('ZIPs &amp; FIPs'!$H$7,INDIRECT("L"&amp;B43):$L$500,0),1))=FALSE),INDEX(INDIRECT("J"&amp;B43):$M$500,MATCH('ZIPs &amp; FIPs'!$H$7,INDIRECT("L"&amp;B43):$L$500,0),1),IF(AND('ZIPs &amp; FIPs'!$F$7="City",ISNA(INDEX(INDIRECT("J"&amp;B43):$M$500,MATCH('ZIPs &amp; FIPs'!$H$7,INDIRECT("K"&amp;B43):$K$500,0),1))=FALSE),INDEX(INDIRECT("J"&amp;B43):$M$500,MATCH('ZIPs &amp; FIPs'!$H$7,INDIRECT("K"&amp;B43):$K$500,0),1),""))),"")</f>
        <v/>
      </c>
      <c r="E43" s="59" t="str">
        <f ca="1">IF(B43&lt;&gt;"",IF('ZIPs &amp; FIPs'!$H$7&lt;&gt;"",IF(AND('ZIPs &amp; FIPs'!$F$7="County",ISNA(INDEX(INDIRECT("K"&amp;B43):$M$500,MATCH('ZIPs &amp; FIPs'!$H$7,INDIRECT("L"&amp;B43):$L$500,0),1))=FALSE),INDEX(INDIRECT("K"&amp;B43):$M$500,MATCH('ZIPs &amp; FIPs'!$H$7,INDIRECT("L"&amp;B43):$L$500,0),1),IF(AND('ZIPs &amp; FIPs'!$F$7="City",ISNA(INDEX(INDIRECT("K"&amp;B43):$M$500,MATCH('ZIPs &amp; FIPs'!$H$7,INDIRECT("K"&amp;B43):$K$500,0),1))=FALSE),INDEX(INDIRECT("K"&amp;B43):$M$500,MATCH('ZIPs &amp; FIPs'!$H$7,INDIRECT("K"&amp;B43):$K$500,0),1),""))),"")</f>
        <v/>
      </c>
      <c r="F43" s="59" t="str">
        <f ca="1">IF(B43&lt;&gt;"",IF('ZIPs &amp; FIPs'!$H$7&lt;&gt;"",IF(AND('ZIPs &amp; FIPs'!$F$7="County",ISNA(INDEX(INDIRECT("K"&amp;B43):$M$500,MATCH('ZIPs &amp; FIPs'!$H$7,INDIRECT("L"&amp;B43):$L$500,0),2))=FALSE),INDEX(INDIRECT("K"&amp;B43):$M$500,MATCH('ZIPs &amp; FIPs'!$H$7,INDIRECT("L"&amp;B43):$L$500,0),2),IF(AND('ZIPs &amp; FIPs'!$F$7="City",ISNA(INDEX(INDIRECT("K"&amp;B43):$M$500,MATCH('ZIPs &amp; FIPs'!$H$7,INDIRECT("K"&amp;B43):$K$500,0),2))=FALSE),INDEX(INDIRECT("K"&amp;B43):$M$500,MATCH('ZIPs &amp; FIPs'!$H$7,INDIRECT("K"&amp;B43):$K$500,0),2),""))),"")</f>
        <v/>
      </c>
      <c r="J43" s="46">
        <v>97036</v>
      </c>
      <c r="K43" s="50" t="s">
        <v>377</v>
      </c>
      <c r="L43" s="32" t="s">
        <v>264</v>
      </c>
      <c r="M43" s="26" t="s">
        <v>317</v>
      </c>
      <c r="N43" t="s">
        <v>1194</v>
      </c>
      <c r="R43" s="58" t="s">
        <v>360</v>
      </c>
      <c r="S43" s="25">
        <f t="shared" si="0"/>
        <v>0</v>
      </c>
      <c r="T43" s="25">
        <f t="shared" si="3"/>
        <v>1</v>
      </c>
      <c r="V43" s="25">
        <f t="shared" si="2"/>
        <v>1</v>
      </c>
      <c r="W43" s="46">
        <v>97042</v>
      </c>
      <c r="X43" s="50" t="s">
        <v>379</v>
      </c>
    </row>
    <row r="44" spans="1:24" x14ac:dyDescent="0.25">
      <c r="A44" s="25">
        <v>38</v>
      </c>
      <c r="B44" s="59" t="str">
        <f ca="1">IFERROR(IF('ZIPs &amp; FIPs'!$H$7&lt;&gt;"",IF(AND('ZIPs &amp; FIPs'!$F$7="County",ISNA(ROW(INDEX(INDIRECT("K"&amp;B43+1):$M$500,MATCH('ZIPs &amp; FIPs'!$H$7,INDIRECT("L"&amp;B43+1):$L$500,0),2)))=FALSE),ROW(INDEX(INDIRECT("K"&amp;B43+1):$M$500,MATCH('ZIPs &amp; FIPs'!$H$7,INDIRECT("L"&amp;B43+1):$L$500,0),2)),IF(AND('ZIPs &amp; FIPs'!$F$7="City",ISNA(ROW(INDEX(INDIRECT("K"&amp;B43+1):$M$500,MATCH('ZIPs &amp; FIPs'!$H$7,INDIRECT("K"&amp;B43+1):$K$500,0),1)))=FALSE),ROW(INDEX(INDIRECT("K"&amp;B43+1):$M$500,MATCH('ZIPs &amp; FIPs'!$H$7,INDIRECT("K"&amp;B43+1):$K$500,0),1)),"")),""),"")</f>
        <v/>
      </c>
      <c r="C44" s="59" t="str">
        <f ca="1">IF(B44&lt;&gt;"",IF('ZIPs &amp; FIPs'!$H$7&lt;&gt;"",IF(AND('ZIPs &amp; FIPs'!$F$7="County",ISNA(INDEX(INDIRECT("K"&amp;B44):$M$500,MATCH('ZIPs &amp; FIPs'!$H$7,INDIRECT("L"&amp;B44):$L$500,0),3))=FALSE),INDEX(INDIRECT("K"&amp;B44):$M$500,MATCH('ZIPs &amp; FIPs'!$H$7,INDIRECT("L"&amp;B44):$L$500,0),3),IF(AND('ZIPs &amp; FIPs'!$F$7="City",ISNA(INDEX(INDIRECT("K"&amp;B44):$M$500,MATCH('ZIPs &amp; FIPs'!$H$7,INDIRECT("K"&amp;B44):$K$500,0),3))=FALSE),INDEX(INDIRECT("K"&amp;B44):$M$500,MATCH('ZIPs &amp; FIPs'!$H$7,INDIRECT("K"&amp;B44):$K$500,0),3),""))),"")</f>
        <v/>
      </c>
      <c r="D44" s="59" t="str">
        <f ca="1">IF(B44&lt;&gt;"",IF('ZIPs &amp; FIPs'!$H$7&lt;&gt;"",IF(AND('ZIPs &amp; FIPs'!$F$7="County",ISNA(INDEX(INDIRECT("J"&amp;B44):$M$500,MATCH('ZIPs &amp; FIPs'!$H$7,INDIRECT("L"&amp;B44):$L$500,0),1))=FALSE),INDEX(INDIRECT("J"&amp;B44):$M$500,MATCH('ZIPs &amp; FIPs'!$H$7,INDIRECT("L"&amp;B44):$L$500,0),1),IF(AND('ZIPs &amp; FIPs'!$F$7="City",ISNA(INDEX(INDIRECT("J"&amp;B44):$M$500,MATCH('ZIPs &amp; FIPs'!$H$7,INDIRECT("K"&amp;B44):$K$500,0),1))=FALSE),INDEX(INDIRECT("J"&amp;B44):$M$500,MATCH('ZIPs &amp; FIPs'!$H$7,INDIRECT("K"&amp;B44):$K$500,0),1),""))),"")</f>
        <v/>
      </c>
      <c r="E44" s="59" t="str">
        <f ca="1">IF(B44&lt;&gt;"",IF('ZIPs &amp; FIPs'!$H$7&lt;&gt;"",IF(AND('ZIPs &amp; FIPs'!$F$7="County",ISNA(INDEX(INDIRECT("K"&amp;B44):$M$500,MATCH('ZIPs &amp; FIPs'!$H$7,INDIRECT("L"&amp;B44):$L$500,0),1))=FALSE),INDEX(INDIRECT("K"&amp;B44):$M$500,MATCH('ZIPs &amp; FIPs'!$H$7,INDIRECT("L"&amp;B44):$L$500,0),1),IF(AND('ZIPs &amp; FIPs'!$F$7="City",ISNA(INDEX(INDIRECT("K"&amp;B44):$M$500,MATCH('ZIPs &amp; FIPs'!$H$7,INDIRECT("K"&amp;B44):$K$500,0),1))=FALSE),INDEX(INDIRECT("K"&amp;B44):$M$500,MATCH('ZIPs &amp; FIPs'!$H$7,INDIRECT("K"&amp;B44):$K$500,0),1),""))),"")</f>
        <v/>
      </c>
      <c r="F44" s="59" t="str">
        <f ca="1">IF(B44&lt;&gt;"",IF('ZIPs &amp; FIPs'!$H$7&lt;&gt;"",IF(AND('ZIPs &amp; FIPs'!$F$7="County",ISNA(INDEX(INDIRECT("K"&amp;B44):$M$500,MATCH('ZIPs &amp; FIPs'!$H$7,INDIRECT("L"&amp;B44):$L$500,0),2))=FALSE),INDEX(INDIRECT("K"&amp;B44):$M$500,MATCH('ZIPs &amp; FIPs'!$H$7,INDIRECT("L"&amp;B44):$L$500,0),2),IF(AND('ZIPs &amp; FIPs'!$F$7="City",ISNA(INDEX(INDIRECT("K"&amp;B44):$M$500,MATCH('ZIPs &amp; FIPs'!$H$7,INDIRECT("K"&amp;B44):$K$500,0),2))=FALSE),INDEX(INDIRECT("K"&amp;B44):$M$500,MATCH('ZIPs &amp; FIPs'!$H$7,INDIRECT("K"&amp;B44):$K$500,0),2),""))),"")</f>
        <v/>
      </c>
      <c r="J44" s="46">
        <v>97038</v>
      </c>
      <c r="K44" s="50" t="s">
        <v>378</v>
      </c>
      <c r="L44" s="32" t="s">
        <v>264</v>
      </c>
      <c r="M44" s="26" t="s">
        <v>317</v>
      </c>
      <c r="N44" t="s">
        <v>1194</v>
      </c>
      <c r="R44" s="58" t="s">
        <v>400</v>
      </c>
      <c r="S44" s="25">
        <f t="shared" si="0"/>
        <v>0</v>
      </c>
      <c r="T44" s="25">
        <f t="shared" si="3"/>
        <v>1</v>
      </c>
      <c r="V44" s="25">
        <f t="shared" si="2"/>
        <v>1</v>
      </c>
      <c r="W44" s="46">
        <v>97044</v>
      </c>
      <c r="X44" s="50" t="s">
        <v>465</v>
      </c>
    </row>
    <row r="45" spans="1:24" x14ac:dyDescent="0.25">
      <c r="A45" s="25">
        <v>39</v>
      </c>
      <c r="B45" s="59" t="str">
        <f ca="1">IFERROR(IF('ZIPs &amp; FIPs'!$H$7&lt;&gt;"",IF(AND('ZIPs &amp; FIPs'!$F$7="County",ISNA(ROW(INDEX(INDIRECT("K"&amp;B44+1):$M$500,MATCH('ZIPs &amp; FIPs'!$H$7,INDIRECT("L"&amp;B44+1):$L$500,0),2)))=FALSE),ROW(INDEX(INDIRECT("K"&amp;B44+1):$M$500,MATCH('ZIPs &amp; FIPs'!$H$7,INDIRECT("L"&amp;B44+1):$L$500,0),2)),IF(AND('ZIPs &amp; FIPs'!$F$7="City",ISNA(ROW(INDEX(INDIRECT("K"&amp;B44+1):$M$500,MATCH('ZIPs &amp; FIPs'!$H$7,INDIRECT("K"&amp;B44+1):$K$500,0),1)))=FALSE),ROW(INDEX(INDIRECT("K"&amp;B44+1):$M$500,MATCH('ZIPs &amp; FIPs'!$H$7,INDIRECT("K"&amp;B44+1):$K$500,0),1)),"")),""),"")</f>
        <v/>
      </c>
      <c r="C45" s="59" t="str">
        <f ca="1">IF(B45&lt;&gt;"",IF('ZIPs &amp; FIPs'!$H$7&lt;&gt;"",IF(AND('ZIPs &amp; FIPs'!$F$7="County",ISNA(INDEX(INDIRECT("K"&amp;B45):$M$500,MATCH('ZIPs &amp; FIPs'!$H$7,INDIRECT("L"&amp;B45):$L$500,0),3))=FALSE),INDEX(INDIRECT("K"&amp;B45):$M$500,MATCH('ZIPs &amp; FIPs'!$H$7,INDIRECT("L"&amp;B45):$L$500,0),3),IF(AND('ZIPs &amp; FIPs'!$F$7="City",ISNA(INDEX(INDIRECT("K"&amp;B45):$M$500,MATCH('ZIPs &amp; FIPs'!$H$7,INDIRECT("K"&amp;B45):$K$500,0),3))=FALSE),INDEX(INDIRECT("K"&amp;B45):$M$500,MATCH('ZIPs &amp; FIPs'!$H$7,INDIRECT("K"&amp;B45):$K$500,0),3),""))),"")</f>
        <v/>
      </c>
      <c r="D45" s="59" t="str">
        <f ca="1">IF(B45&lt;&gt;"",IF('ZIPs &amp; FIPs'!$H$7&lt;&gt;"",IF(AND('ZIPs &amp; FIPs'!$F$7="County",ISNA(INDEX(INDIRECT("J"&amp;B45):$M$500,MATCH('ZIPs &amp; FIPs'!$H$7,INDIRECT("L"&amp;B45):$L$500,0),1))=FALSE),INDEX(INDIRECT("J"&amp;B45):$M$500,MATCH('ZIPs &amp; FIPs'!$H$7,INDIRECT("L"&amp;B45):$L$500,0),1),IF(AND('ZIPs &amp; FIPs'!$F$7="City",ISNA(INDEX(INDIRECT("J"&amp;B45):$M$500,MATCH('ZIPs &amp; FIPs'!$H$7,INDIRECT("K"&amp;B45):$K$500,0),1))=FALSE),INDEX(INDIRECT("J"&amp;B45):$M$500,MATCH('ZIPs &amp; FIPs'!$H$7,INDIRECT("K"&amp;B45):$K$500,0),1),""))),"")</f>
        <v/>
      </c>
      <c r="E45" s="59" t="str">
        <f ca="1">IF(B45&lt;&gt;"",IF('ZIPs &amp; FIPs'!$H$7&lt;&gt;"",IF(AND('ZIPs &amp; FIPs'!$F$7="County",ISNA(INDEX(INDIRECT("K"&amp;B45):$M$500,MATCH('ZIPs &amp; FIPs'!$H$7,INDIRECT("L"&amp;B45):$L$500,0),1))=FALSE),INDEX(INDIRECT("K"&amp;B45):$M$500,MATCH('ZIPs &amp; FIPs'!$H$7,INDIRECT("L"&amp;B45):$L$500,0),1),IF(AND('ZIPs &amp; FIPs'!$F$7="City",ISNA(INDEX(INDIRECT("K"&amp;B45):$M$500,MATCH('ZIPs &amp; FIPs'!$H$7,INDIRECT("K"&amp;B45):$K$500,0),1))=FALSE),INDEX(INDIRECT("K"&amp;B45):$M$500,MATCH('ZIPs &amp; FIPs'!$H$7,INDIRECT("K"&amp;B45):$K$500,0),1),""))),"")</f>
        <v/>
      </c>
      <c r="F45" s="59" t="str">
        <f ca="1">IF(B45&lt;&gt;"",IF('ZIPs &amp; FIPs'!$H$7&lt;&gt;"",IF(AND('ZIPs &amp; FIPs'!$F$7="County",ISNA(INDEX(INDIRECT("K"&amp;B45):$M$500,MATCH('ZIPs &amp; FIPs'!$H$7,INDIRECT("L"&amp;B45):$L$500,0),2))=FALSE),INDEX(INDIRECT("K"&amp;B45):$M$500,MATCH('ZIPs &amp; FIPs'!$H$7,INDIRECT("L"&amp;B45):$L$500,0),2),IF(AND('ZIPs &amp; FIPs'!$F$7="City",ISNA(INDEX(INDIRECT("K"&amp;B45):$M$500,MATCH('ZIPs &amp; FIPs'!$H$7,INDIRECT("K"&amp;B45):$K$500,0),2))=FALSE),INDEX(INDIRECT("K"&amp;B45):$M$500,MATCH('ZIPs &amp; FIPs'!$H$7,INDIRECT("K"&amp;B45):$K$500,0),2),""))),"")</f>
        <v/>
      </c>
      <c r="J45" s="46">
        <v>97042</v>
      </c>
      <c r="K45" s="50" t="s">
        <v>379</v>
      </c>
      <c r="L45" s="32" t="s">
        <v>264</v>
      </c>
      <c r="M45" s="26" t="s">
        <v>317</v>
      </c>
      <c r="N45" t="s">
        <v>1194</v>
      </c>
      <c r="R45" s="58" t="s">
        <v>571</v>
      </c>
      <c r="S45" s="25">
        <f t="shared" si="0"/>
        <v>0</v>
      </c>
      <c r="T45" s="25">
        <f t="shared" si="3"/>
        <v>1</v>
      </c>
      <c r="V45" s="25">
        <f t="shared" si="2"/>
        <v>1</v>
      </c>
      <c r="W45" s="46">
        <v>97045</v>
      </c>
      <c r="X45" s="50" t="s">
        <v>263</v>
      </c>
    </row>
    <row r="46" spans="1:24" x14ac:dyDescent="0.25">
      <c r="A46" s="25">
        <v>40</v>
      </c>
      <c r="B46" s="59" t="str">
        <f ca="1">IFERROR(IF('ZIPs &amp; FIPs'!$H$7&lt;&gt;"",IF(AND('ZIPs &amp; FIPs'!$F$7="County",ISNA(ROW(INDEX(INDIRECT("K"&amp;B45+1):$M$500,MATCH('ZIPs &amp; FIPs'!$H$7,INDIRECT("L"&amp;B45+1):$L$500,0),2)))=FALSE),ROW(INDEX(INDIRECT("K"&amp;B45+1):$M$500,MATCH('ZIPs &amp; FIPs'!$H$7,INDIRECT("L"&amp;B45+1):$L$500,0),2)),IF(AND('ZIPs &amp; FIPs'!$F$7="City",ISNA(ROW(INDEX(INDIRECT("K"&amp;B45+1):$M$500,MATCH('ZIPs &amp; FIPs'!$H$7,INDIRECT("K"&amp;B45+1):$K$500,0),1)))=FALSE),ROW(INDEX(INDIRECT("K"&amp;B45+1):$M$500,MATCH('ZIPs &amp; FIPs'!$H$7,INDIRECT("K"&amp;B45+1):$K$500,0),1)),"")),""),"")</f>
        <v/>
      </c>
      <c r="C46" s="59" t="str">
        <f ca="1">IF(B46&lt;&gt;"",IF('ZIPs &amp; FIPs'!$H$7&lt;&gt;"",IF(AND('ZIPs &amp; FIPs'!$F$7="County",ISNA(INDEX(INDIRECT("K"&amp;B46):$M$500,MATCH('ZIPs &amp; FIPs'!$H$7,INDIRECT("L"&amp;B46):$L$500,0),3))=FALSE),INDEX(INDIRECT("K"&amp;B46):$M$500,MATCH('ZIPs &amp; FIPs'!$H$7,INDIRECT("L"&amp;B46):$L$500,0),3),IF(AND('ZIPs &amp; FIPs'!$F$7="City",ISNA(INDEX(INDIRECT("K"&amp;B46):$M$500,MATCH('ZIPs &amp; FIPs'!$H$7,INDIRECT("K"&amp;B46):$K$500,0),3))=FALSE),INDEX(INDIRECT("K"&amp;B46):$M$500,MATCH('ZIPs &amp; FIPs'!$H$7,INDIRECT("K"&amp;B46):$K$500,0),3),""))),"")</f>
        <v/>
      </c>
      <c r="D46" s="59" t="str">
        <f ca="1">IF(B46&lt;&gt;"",IF('ZIPs &amp; FIPs'!$H$7&lt;&gt;"",IF(AND('ZIPs &amp; FIPs'!$F$7="County",ISNA(INDEX(INDIRECT("J"&amp;B46):$M$500,MATCH('ZIPs &amp; FIPs'!$H$7,INDIRECT("L"&amp;B46):$L$500,0),1))=FALSE),INDEX(INDIRECT("J"&amp;B46):$M$500,MATCH('ZIPs &amp; FIPs'!$H$7,INDIRECT("L"&amp;B46):$L$500,0),1),IF(AND('ZIPs &amp; FIPs'!$F$7="City",ISNA(INDEX(INDIRECT("J"&amp;B46):$M$500,MATCH('ZIPs &amp; FIPs'!$H$7,INDIRECT("K"&amp;B46):$K$500,0),1))=FALSE),INDEX(INDIRECT("J"&amp;B46):$M$500,MATCH('ZIPs &amp; FIPs'!$H$7,INDIRECT("K"&amp;B46):$K$500,0),1),""))),"")</f>
        <v/>
      </c>
      <c r="E46" s="59" t="str">
        <f ca="1">IF(B46&lt;&gt;"",IF('ZIPs &amp; FIPs'!$H$7&lt;&gt;"",IF(AND('ZIPs &amp; FIPs'!$F$7="County",ISNA(INDEX(INDIRECT("K"&amp;B46):$M$500,MATCH('ZIPs &amp; FIPs'!$H$7,INDIRECT("L"&amp;B46):$L$500,0),1))=FALSE),INDEX(INDIRECT("K"&amp;B46):$M$500,MATCH('ZIPs &amp; FIPs'!$H$7,INDIRECT("L"&amp;B46):$L$500,0),1),IF(AND('ZIPs &amp; FIPs'!$F$7="City",ISNA(INDEX(INDIRECT("K"&amp;B46):$M$500,MATCH('ZIPs &amp; FIPs'!$H$7,INDIRECT("K"&amp;B46):$K$500,0),1))=FALSE),INDEX(INDIRECT("K"&amp;B46):$M$500,MATCH('ZIPs &amp; FIPs'!$H$7,INDIRECT("K"&amp;B46):$K$500,0),1),""))),"")</f>
        <v/>
      </c>
      <c r="F46" s="59" t="str">
        <f ca="1">IF(B46&lt;&gt;"",IF('ZIPs &amp; FIPs'!$H$7&lt;&gt;"",IF(AND('ZIPs &amp; FIPs'!$F$7="County",ISNA(INDEX(INDIRECT("K"&amp;B46):$M$500,MATCH('ZIPs &amp; FIPs'!$H$7,INDIRECT("L"&amp;B46):$L$500,0),2))=FALSE),INDEX(INDIRECT("K"&amp;B46):$M$500,MATCH('ZIPs &amp; FIPs'!$H$7,INDIRECT("L"&amp;B46):$L$500,0),2),IF(AND('ZIPs &amp; FIPs'!$F$7="City",ISNA(INDEX(INDIRECT("K"&amp;B46):$M$500,MATCH('ZIPs &amp; FIPs'!$H$7,INDIRECT("K"&amp;B46):$K$500,0),2))=FALSE),INDEX(INDIRECT("K"&amp;B46):$M$500,MATCH('ZIPs &amp; FIPs'!$H$7,INDIRECT("K"&amp;B46):$K$500,0),2),""))),"")</f>
        <v/>
      </c>
      <c r="J46" s="46">
        <v>97045</v>
      </c>
      <c r="K46" s="50" t="s">
        <v>263</v>
      </c>
      <c r="L46" s="32" t="s">
        <v>264</v>
      </c>
      <c r="M46" s="26" t="s">
        <v>317</v>
      </c>
      <c r="N46" t="s">
        <v>1194</v>
      </c>
      <c r="R46" s="58" t="s">
        <v>410</v>
      </c>
      <c r="S46" s="25">
        <f t="shared" si="0"/>
        <v>0</v>
      </c>
      <c r="T46" s="25">
        <f t="shared" si="3"/>
        <v>1</v>
      </c>
      <c r="V46" s="25">
        <f t="shared" si="2"/>
        <v>1</v>
      </c>
      <c r="W46" s="46">
        <v>97048</v>
      </c>
      <c r="X46" s="50" t="s">
        <v>392</v>
      </c>
    </row>
    <row r="47" spans="1:24" x14ac:dyDescent="0.25">
      <c r="A47" s="25">
        <v>41</v>
      </c>
      <c r="B47" s="59" t="str">
        <f ca="1">IFERROR(IF('ZIPs &amp; FIPs'!$H$7&lt;&gt;"",IF(AND('ZIPs &amp; FIPs'!$F$7="County",ISNA(ROW(INDEX(INDIRECT("K"&amp;B46+1):$M$500,MATCH('ZIPs &amp; FIPs'!$H$7,INDIRECT("L"&amp;B46+1):$L$500,0),2)))=FALSE),ROW(INDEX(INDIRECT("K"&amp;B46+1):$M$500,MATCH('ZIPs &amp; FIPs'!$H$7,INDIRECT("L"&amp;B46+1):$L$500,0),2)),IF(AND('ZIPs &amp; FIPs'!$F$7="City",ISNA(ROW(INDEX(INDIRECT("K"&amp;B46+1):$M$500,MATCH('ZIPs &amp; FIPs'!$H$7,INDIRECT("K"&amp;B46+1):$K$500,0),1)))=FALSE),ROW(INDEX(INDIRECT("K"&amp;B46+1):$M$500,MATCH('ZIPs &amp; FIPs'!$H$7,INDIRECT("K"&amp;B46+1):$K$500,0),1)),"")),""),"")</f>
        <v/>
      </c>
      <c r="C47" s="59" t="str">
        <f ca="1">IF(B47&lt;&gt;"",IF('ZIPs &amp; FIPs'!$H$7&lt;&gt;"",IF(AND('ZIPs &amp; FIPs'!$F$7="County",ISNA(INDEX(INDIRECT("K"&amp;B47):$M$500,MATCH('ZIPs &amp; FIPs'!$H$7,INDIRECT("L"&amp;B47):$L$500,0),3))=FALSE),INDEX(INDIRECT("K"&amp;B47):$M$500,MATCH('ZIPs &amp; FIPs'!$H$7,INDIRECT("L"&amp;B47):$L$500,0),3),IF(AND('ZIPs &amp; FIPs'!$F$7="City",ISNA(INDEX(INDIRECT("K"&amp;B47):$M$500,MATCH('ZIPs &amp; FIPs'!$H$7,INDIRECT("K"&amp;B47):$K$500,0),3))=FALSE),INDEX(INDIRECT("K"&amp;B47):$M$500,MATCH('ZIPs &amp; FIPs'!$H$7,INDIRECT("K"&amp;B47):$K$500,0),3),""))),"")</f>
        <v/>
      </c>
      <c r="D47" s="59" t="str">
        <f ca="1">IF(B47&lt;&gt;"",IF('ZIPs &amp; FIPs'!$H$7&lt;&gt;"",IF(AND('ZIPs &amp; FIPs'!$F$7="County",ISNA(INDEX(INDIRECT("J"&amp;B47):$M$500,MATCH('ZIPs &amp; FIPs'!$H$7,INDIRECT("L"&amp;B47):$L$500,0),1))=FALSE),INDEX(INDIRECT("J"&amp;B47):$M$500,MATCH('ZIPs &amp; FIPs'!$H$7,INDIRECT("L"&amp;B47):$L$500,0),1),IF(AND('ZIPs &amp; FIPs'!$F$7="City",ISNA(INDEX(INDIRECT("J"&amp;B47):$M$500,MATCH('ZIPs &amp; FIPs'!$H$7,INDIRECT("K"&amp;B47):$K$500,0),1))=FALSE),INDEX(INDIRECT("J"&amp;B47):$M$500,MATCH('ZIPs &amp; FIPs'!$H$7,INDIRECT("K"&amp;B47):$K$500,0),1),""))),"")</f>
        <v/>
      </c>
      <c r="E47" s="59" t="str">
        <f ca="1">IF(B47&lt;&gt;"",IF('ZIPs &amp; FIPs'!$H$7&lt;&gt;"",IF(AND('ZIPs &amp; FIPs'!$F$7="County",ISNA(INDEX(INDIRECT("K"&amp;B47):$M$500,MATCH('ZIPs &amp; FIPs'!$H$7,INDIRECT("L"&amp;B47):$L$500,0),1))=FALSE),INDEX(INDIRECT("K"&amp;B47):$M$500,MATCH('ZIPs &amp; FIPs'!$H$7,INDIRECT("L"&amp;B47):$L$500,0),1),IF(AND('ZIPs &amp; FIPs'!$F$7="City",ISNA(INDEX(INDIRECT("K"&amp;B47):$M$500,MATCH('ZIPs &amp; FIPs'!$H$7,INDIRECT("K"&amp;B47):$K$500,0),1))=FALSE),INDEX(INDIRECT("K"&amp;B47):$M$500,MATCH('ZIPs &amp; FIPs'!$H$7,INDIRECT("K"&amp;B47):$K$500,0),1),""))),"")</f>
        <v/>
      </c>
      <c r="F47" s="59" t="str">
        <f ca="1">IF(B47&lt;&gt;"",IF('ZIPs &amp; FIPs'!$H$7&lt;&gt;"",IF(AND('ZIPs &amp; FIPs'!$F$7="County",ISNA(INDEX(INDIRECT("K"&amp;B47):$M$500,MATCH('ZIPs &amp; FIPs'!$H$7,INDIRECT("L"&amp;B47):$L$500,0),2))=FALSE),INDEX(INDIRECT("K"&amp;B47):$M$500,MATCH('ZIPs &amp; FIPs'!$H$7,INDIRECT("L"&amp;B47):$L$500,0),2),IF(AND('ZIPs &amp; FIPs'!$F$7="City",ISNA(INDEX(INDIRECT("K"&amp;B47):$M$500,MATCH('ZIPs &amp; FIPs'!$H$7,INDIRECT("K"&amp;B47):$K$500,0),2))=FALSE),INDEX(INDIRECT("K"&amp;B47):$M$500,MATCH('ZIPs &amp; FIPs'!$H$7,INDIRECT("K"&amp;B47):$K$500,0),2),""))),"")</f>
        <v/>
      </c>
      <c r="J47" s="46">
        <v>97049</v>
      </c>
      <c r="K47" s="50" t="s">
        <v>380</v>
      </c>
      <c r="L47" s="32" t="s">
        <v>264</v>
      </c>
      <c r="M47" s="26" t="s">
        <v>317</v>
      </c>
      <c r="N47" t="s">
        <v>1194</v>
      </c>
      <c r="R47" s="58" t="s">
        <v>416</v>
      </c>
      <c r="S47" s="25">
        <f t="shared" si="0"/>
        <v>0</v>
      </c>
      <c r="T47" s="25">
        <f t="shared" si="3"/>
        <v>1</v>
      </c>
      <c r="V47" s="25">
        <f t="shared" si="2"/>
        <v>1</v>
      </c>
      <c r="W47" s="46">
        <v>97049</v>
      </c>
      <c r="X47" s="50" t="s">
        <v>380</v>
      </c>
    </row>
    <row r="48" spans="1:24" x14ac:dyDescent="0.25">
      <c r="A48" s="25">
        <v>42</v>
      </c>
      <c r="B48" s="59" t="str">
        <f ca="1">IFERROR(IF('ZIPs &amp; FIPs'!$H$7&lt;&gt;"",IF(AND('ZIPs &amp; FIPs'!$F$7="County",ISNA(ROW(INDEX(INDIRECT("K"&amp;B47+1):$M$500,MATCH('ZIPs &amp; FIPs'!$H$7,INDIRECT("L"&amp;B47+1):$L$500,0),2)))=FALSE),ROW(INDEX(INDIRECT("K"&amp;B47+1):$M$500,MATCH('ZIPs &amp; FIPs'!$H$7,INDIRECT("L"&amp;B47+1):$L$500,0),2)),IF(AND('ZIPs &amp; FIPs'!$F$7="City",ISNA(ROW(INDEX(INDIRECT("K"&amp;B47+1):$M$500,MATCH('ZIPs &amp; FIPs'!$H$7,INDIRECT("K"&amp;B47+1):$K$500,0),1)))=FALSE),ROW(INDEX(INDIRECT("K"&amp;B47+1):$M$500,MATCH('ZIPs &amp; FIPs'!$H$7,INDIRECT("K"&amp;B47+1):$K$500,0),1)),"")),""),"")</f>
        <v/>
      </c>
      <c r="C48" s="59" t="str">
        <f ca="1">IF(B48&lt;&gt;"",IF('ZIPs &amp; FIPs'!$H$7&lt;&gt;"",IF(AND('ZIPs &amp; FIPs'!$F$7="County",ISNA(INDEX(INDIRECT("K"&amp;B48):$M$500,MATCH('ZIPs &amp; FIPs'!$H$7,INDIRECT("L"&amp;B48):$L$500,0),3))=FALSE),INDEX(INDIRECT("K"&amp;B48):$M$500,MATCH('ZIPs &amp; FIPs'!$H$7,INDIRECT("L"&amp;B48):$L$500,0),3),IF(AND('ZIPs &amp; FIPs'!$F$7="City",ISNA(INDEX(INDIRECT("K"&amp;B48):$M$500,MATCH('ZIPs &amp; FIPs'!$H$7,INDIRECT("K"&amp;B48):$K$500,0),3))=FALSE),INDEX(INDIRECT("K"&amp;B48):$M$500,MATCH('ZIPs &amp; FIPs'!$H$7,INDIRECT("K"&amp;B48):$K$500,0),3),""))),"")</f>
        <v/>
      </c>
      <c r="D48" s="59" t="str">
        <f ca="1">IF(B48&lt;&gt;"",IF('ZIPs &amp; FIPs'!$H$7&lt;&gt;"",IF(AND('ZIPs &amp; FIPs'!$F$7="County",ISNA(INDEX(INDIRECT("J"&amp;B48):$M$500,MATCH('ZIPs &amp; FIPs'!$H$7,INDIRECT("L"&amp;B48):$L$500,0),1))=FALSE),INDEX(INDIRECT("J"&amp;B48):$M$500,MATCH('ZIPs &amp; FIPs'!$H$7,INDIRECT("L"&amp;B48):$L$500,0),1),IF(AND('ZIPs &amp; FIPs'!$F$7="City",ISNA(INDEX(INDIRECT("J"&amp;B48):$M$500,MATCH('ZIPs &amp; FIPs'!$H$7,INDIRECT("K"&amp;B48):$K$500,0),1))=FALSE),INDEX(INDIRECT("J"&amp;B48):$M$500,MATCH('ZIPs &amp; FIPs'!$H$7,INDIRECT("K"&amp;B48):$K$500,0),1),""))),"")</f>
        <v/>
      </c>
      <c r="E48" s="59" t="str">
        <f ca="1">IF(B48&lt;&gt;"",IF('ZIPs &amp; FIPs'!$H$7&lt;&gt;"",IF(AND('ZIPs &amp; FIPs'!$F$7="County",ISNA(INDEX(INDIRECT("K"&amp;B48):$M$500,MATCH('ZIPs &amp; FIPs'!$H$7,INDIRECT("L"&amp;B48):$L$500,0),1))=FALSE),INDEX(INDIRECT("K"&amp;B48):$M$500,MATCH('ZIPs &amp; FIPs'!$H$7,INDIRECT("L"&amp;B48):$L$500,0),1),IF(AND('ZIPs &amp; FIPs'!$F$7="City",ISNA(INDEX(INDIRECT("K"&amp;B48):$M$500,MATCH('ZIPs &amp; FIPs'!$H$7,INDIRECT("K"&amp;B48):$K$500,0),1))=FALSE),INDEX(INDIRECT("K"&amp;B48):$M$500,MATCH('ZIPs &amp; FIPs'!$H$7,INDIRECT("K"&amp;B48):$K$500,0),1),""))),"")</f>
        <v/>
      </c>
      <c r="F48" s="59" t="str">
        <f ca="1">IF(B48&lt;&gt;"",IF('ZIPs &amp; FIPs'!$H$7&lt;&gt;"",IF(AND('ZIPs &amp; FIPs'!$F$7="County",ISNA(INDEX(INDIRECT("K"&amp;B48):$M$500,MATCH('ZIPs &amp; FIPs'!$H$7,INDIRECT("L"&amp;B48):$L$500,0),2))=FALSE),INDEX(INDIRECT("K"&amp;B48):$M$500,MATCH('ZIPs &amp; FIPs'!$H$7,INDIRECT("L"&amp;B48):$L$500,0),2),IF(AND('ZIPs &amp; FIPs'!$F$7="City",ISNA(INDEX(INDIRECT("K"&amp;B48):$M$500,MATCH('ZIPs &amp; FIPs'!$H$7,INDIRECT("K"&amp;B48):$K$500,0),2))=FALSE),INDEX(INDIRECT("K"&amp;B48):$M$500,MATCH('ZIPs &amp; FIPs'!$H$7,INDIRECT("K"&amp;B48):$K$500,0),2),""))),"")</f>
        <v/>
      </c>
      <c r="J48" s="46">
        <v>97055</v>
      </c>
      <c r="K48" s="50" t="s">
        <v>381</v>
      </c>
      <c r="L48" s="32" t="s">
        <v>264</v>
      </c>
      <c r="M48" s="26" t="s">
        <v>317</v>
      </c>
      <c r="N48" t="s">
        <v>1194</v>
      </c>
      <c r="R48" s="58" t="s">
        <v>556</v>
      </c>
      <c r="S48" s="25">
        <f t="shared" si="0"/>
        <v>0</v>
      </c>
      <c r="T48" s="25">
        <f t="shared" si="3"/>
        <v>1</v>
      </c>
      <c r="V48" s="25">
        <f t="shared" si="2"/>
        <v>1</v>
      </c>
      <c r="W48" s="46">
        <v>97050</v>
      </c>
      <c r="X48" s="50" t="s">
        <v>614</v>
      </c>
    </row>
    <row r="49" spans="1:24" x14ac:dyDescent="0.25">
      <c r="A49" s="25">
        <v>43</v>
      </c>
      <c r="B49" s="59" t="str">
        <f ca="1">IFERROR(IF('ZIPs &amp; FIPs'!$H$7&lt;&gt;"",IF(AND('ZIPs &amp; FIPs'!$F$7="County",ISNA(ROW(INDEX(INDIRECT("K"&amp;B48+1):$M$500,MATCH('ZIPs &amp; FIPs'!$H$7,INDIRECT("L"&amp;B48+1):$L$500,0),2)))=FALSE),ROW(INDEX(INDIRECT("K"&amp;B48+1):$M$500,MATCH('ZIPs &amp; FIPs'!$H$7,INDIRECT("L"&amp;B48+1):$L$500,0),2)),IF(AND('ZIPs &amp; FIPs'!$F$7="City",ISNA(ROW(INDEX(INDIRECT("K"&amp;B48+1):$M$500,MATCH('ZIPs &amp; FIPs'!$H$7,INDIRECT("K"&amp;B48+1):$K$500,0),1)))=FALSE),ROW(INDEX(INDIRECT("K"&amp;B48+1):$M$500,MATCH('ZIPs &amp; FIPs'!$H$7,INDIRECT("K"&amp;B48+1):$K$500,0),1)),"")),""),"")</f>
        <v/>
      </c>
      <c r="C49" s="59" t="str">
        <f ca="1">IF(B49&lt;&gt;"",IF('ZIPs &amp; FIPs'!$H$7&lt;&gt;"",IF(AND('ZIPs &amp; FIPs'!$F$7="County",ISNA(INDEX(INDIRECT("K"&amp;B49):$M$500,MATCH('ZIPs &amp; FIPs'!$H$7,INDIRECT("L"&amp;B49):$L$500,0),3))=FALSE),INDEX(INDIRECT("K"&amp;B49):$M$500,MATCH('ZIPs &amp; FIPs'!$H$7,INDIRECT("L"&amp;B49):$L$500,0),3),IF(AND('ZIPs &amp; FIPs'!$F$7="City",ISNA(INDEX(INDIRECT("K"&amp;B49):$M$500,MATCH('ZIPs &amp; FIPs'!$H$7,INDIRECT("K"&amp;B49):$K$500,0),3))=FALSE),INDEX(INDIRECT("K"&amp;B49):$M$500,MATCH('ZIPs &amp; FIPs'!$H$7,INDIRECT("K"&amp;B49):$K$500,0),3),""))),"")</f>
        <v/>
      </c>
      <c r="D49" s="59" t="str">
        <f ca="1">IF(B49&lt;&gt;"",IF('ZIPs &amp; FIPs'!$H$7&lt;&gt;"",IF(AND('ZIPs &amp; FIPs'!$F$7="County",ISNA(INDEX(INDIRECT("J"&amp;B49):$M$500,MATCH('ZIPs &amp; FIPs'!$H$7,INDIRECT("L"&amp;B49):$L$500,0),1))=FALSE),INDEX(INDIRECT("J"&amp;B49):$M$500,MATCH('ZIPs &amp; FIPs'!$H$7,INDIRECT("L"&amp;B49):$L$500,0),1),IF(AND('ZIPs &amp; FIPs'!$F$7="City",ISNA(INDEX(INDIRECT("J"&amp;B49):$M$500,MATCH('ZIPs &amp; FIPs'!$H$7,INDIRECT("K"&amp;B49):$K$500,0),1))=FALSE),INDEX(INDIRECT("J"&amp;B49):$M$500,MATCH('ZIPs &amp; FIPs'!$H$7,INDIRECT("K"&amp;B49):$K$500,0),1),""))),"")</f>
        <v/>
      </c>
      <c r="E49" s="59" t="str">
        <f ca="1">IF(B49&lt;&gt;"",IF('ZIPs &amp; FIPs'!$H$7&lt;&gt;"",IF(AND('ZIPs &amp; FIPs'!$F$7="County",ISNA(INDEX(INDIRECT("K"&amp;B49):$M$500,MATCH('ZIPs &amp; FIPs'!$H$7,INDIRECT("L"&amp;B49):$L$500,0),1))=FALSE),INDEX(INDIRECT("K"&amp;B49):$M$500,MATCH('ZIPs &amp; FIPs'!$H$7,INDIRECT("L"&amp;B49):$L$500,0),1),IF(AND('ZIPs &amp; FIPs'!$F$7="City",ISNA(INDEX(INDIRECT("K"&amp;B49):$M$500,MATCH('ZIPs &amp; FIPs'!$H$7,INDIRECT("K"&amp;B49):$K$500,0),1))=FALSE),INDEX(INDIRECT("K"&amp;B49):$M$500,MATCH('ZIPs &amp; FIPs'!$H$7,INDIRECT("K"&amp;B49):$K$500,0),1),""))),"")</f>
        <v/>
      </c>
      <c r="F49" s="59" t="str">
        <f ca="1">IF(B49&lt;&gt;"",IF('ZIPs &amp; FIPs'!$H$7&lt;&gt;"",IF(AND('ZIPs &amp; FIPs'!$F$7="County",ISNA(INDEX(INDIRECT("K"&amp;B49):$M$500,MATCH('ZIPs &amp; FIPs'!$H$7,INDIRECT("L"&amp;B49):$L$500,0),2))=FALSE),INDEX(INDIRECT("K"&amp;B49):$M$500,MATCH('ZIPs &amp; FIPs'!$H$7,INDIRECT("L"&amp;B49):$L$500,0),2),IF(AND('ZIPs &amp; FIPs'!$F$7="City",ISNA(INDEX(INDIRECT("K"&amp;B49):$M$500,MATCH('ZIPs &amp; FIPs'!$H$7,INDIRECT("K"&amp;B49):$K$500,0),2))=FALSE),INDEX(INDIRECT("K"&amp;B49):$M$500,MATCH('ZIPs &amp; FIPs'!$H$7,INDIRECT("K"&amp;B49):$K$500,0),2),""))),"")</f>
        <v/>
      </c>
      <c r="J49" s="46">
        <v>97067</v>
      </c>
      <c r="K49" s="50" t="s">
        <v>382</v>
      </c>
      <c r="L49" s="32" t="s">
        <v>264</v>
      </c>
      <c r="M49" s="26" t="s">
        <v>317</v>
      </c>
      <c r="N49" t="s">
        <v>1194</v>
      </c>
      <c r="R49" s="58" t="s">
        <v>251</v>
      </c>
      <c r="S49" s="25">
        <f t="shared" si="0"/>
        <v>0</v>
      </c>
      <c r="T49" s="25">
        <f t="shared" si="3"/>
        <v>1</v>
      </c>
      <c r="V49" s="25">
        <f t="shared" si="2"/>
        <v>1</v>
      </c>
      <c r="W49" s="46">
        <v>97051</v>
      </c>
      <c r="X49" s="50" t="s">
        <v>393</v>
      </c>
    </row>
    <row r="50" spans="1:24" x14ac:dyDescent="0.25">
      <c r="A50" s="25">
        <v>44</v>
      </c>
      <c r="B50" s="59" t="str">
        <f ca="1">IFERROR(IF('ZIPs &amp; FIPs'!$H$7&lt;&gt;"",IF(AND('ZIPs &amp; FIPs'!$F$7="County",ISNA(ROW(INDEX(INDIRECT("K"&amp;B49+1):$M$500,MATCH('ZIPs &amp; FIPs'!$H$7,INDIRECT("L"&amp;B49+1):$L$500,0),2)))=FALSE),ROW(INDEX(INDIRECT("K"&amp;B49+1):$M$500,MATCH('ZIPs &amp; FIPs'!$H$7,INDIRECT("L"&amp;B49+1):$L$500,0),2)),IF(AND('ZIPs &amp; FIPs'!$F$7="City",ISNA(ROW(INDEX(INDIRECT("K"&amp;B49+1):$M$500,MATCH('ZIPs &amp; FIPs'!$H$7,INDIRECT("K"&amp;B49+1):$K$500,0),1)))=FALSE),ROW(INDEX(INDIRECT("K"&amp;B49+1):$M$500,MATCH('ZIPs &amp; FIPs'!$H$7,INDIRECT("K"&amp;B49+1):$K$500,0),1)),"")),""),"")</f>
        <v/>
      </c>
      <c r="C50" s="59" t="str">
        <f ca="1">IF(B50&lt;&gt;"",IF('ZIPs &amp; FIPs'!$H$7&lt;&gt;"",IF(AND('ZIPs &amp; FIPs'!$F$7="County",ISNA(INDEX(INDIRECT("K"&amp;B50):$M$500,MATCH('ZIPs &amp; FIPs'!$H$7,INDIRECT("L"&amp;B50):$L$500,0),3))=FALSE),INDEX(INDIRECT("K"&amp;B50):$M$500,MATCH('ZIPs &amp; FIPs'!$H$7,INDIRECT("L"&amp;B50):$L$500,0),3),IF(AND('ZIPs &amp; FIPs'!$F$7="City",ISNA(INDEX(INDIRECT("K"&amp;B50):$M$500,MATCH('ZIPs &amp; FIPs'!$H$7,INDIRECT("K"&amp;B50):$K$500,0),3))=FALSE),INDEX(INDIRECT("K"&amp;B50):$M$500,MATCH('ZIPs &amp; FIPs'!$H$7,INDIRECT("K"&amp;B50):$K$500,0),3),""))),"")</f>
        <v/>
      </c>
      <c r="D50" s="59" t="str">
        <f ca="1">IF(B50&lt;&gt;"",IF('ZIPs &amp; FIPs'!$H$7&lt;&gt;"",IF(AND('ZIPs &amp; FIPs'!$F$7="County",ISNA(INDEX(INDIRECT("J"&amp;B50):$M$500,MATCH('ZIPs &amp; FIPs'!$H$7,INDIRECT("L"&amp;B50):$L$500,0),1))=FALSE),INDEX(INDIRECT("J"&amp;B50):$M$500,MATCH('ZIPs &amp; FIPs'!$H$7,INDIRECT("L"&amp;B50):$L$500,0),1),IF(AND('ZIPs &amp; FIPs'!$F$7="City",ISNA(INDEX(INDIRECT("J"&amp;B50):$M$500,MATCH('ZIPs &amp; FIPs'!$H$7,INDIRECT("K"&amp;B50):$K$500,0),1))=FALSE),INDEX(INDIRECT("J"&amp;B50):$M$500,MATCH('ZIPs &amp; FIPs'!$H$7,INDIRECT("K"&amp;B50):$K$500,0),1),""))),"")</f>
        <v/>
      </c>
      <c r="E50" s="59" t="str">
        <f ca="1">IF(B50&lt;&gt;"",IF('ZIPs &amp; FIPs'!$H$7&lt;&gt;"",IF(AND('ZIPs &amp; FIPs'!$F$7="County",ISNA(INDEX(INDIRECT("K"&amp;B50):$M$500,MATCH('ZIPs &amp; FIPs'!$H$7,INDIRECT("L"&amp;B50):$L$500,0),1))=FALSE),INDEX(INDIRECT("K"&amp;B50):$M$500,MATCH('ZIPs &amp; FIPs'!$H$7,INDIRECT("L"&amp;B50):$L$500,0),1),IF(AND('ZIPs &amp; FIPs'!$F$7="City",ISNA(INDEX(INDIRECT("K"&amp;B50):$M$500,MATCH('ZIPs &amp; FIPs'!$H$7,INDIRECT("K"&amp;B50):$K$500,0),1))=FALSE),INDEX(INDIRECT("K"&amp;B50):$M$500,MATCH('ZIPs &amp; FIPs'!$H$7,INDIRECT("K"&amp;B50):$K$500,0),1),""))),"")</f>
        <v/>
      </c>
      <c r="F50" s="59" t="str">
        <f ca="1">IF(B50&lt;&gt;"",IF('ZIPs &amp; FIPs'!$H$7&lt;&gt;"",IF(AND('ZIPs &amp; FIPs'!$F$7="County",ISNA(INDEX(INDIRECT("K"&amp;B50):$M$500,MATCH('ZIPs &amp; FIPs'!$H$7,INDIRECT("L"&amp;B50):$L$500,0),2))=FALSE),INDEX(INDIRECT("K"&amp;B50):$M$500,MATCH('ZIPs &amp; FIPs'!$H$7,INDIRECT("L"&amp;B50):$L$500,0),2),IF(AND('ZIPs &amp; FIPs'!$F$7="City",ISNA(INDEX(INDIRECT("K"&amp;B50):$M$500,MATCH('ZIPs &amp; FIPs'!$H$7,INDIRECT("K"&amp;B50):$K$500,0),2))=FALSE),INDEX(INDIRECT("K"&amp;B50):$M$500,MATCH('ZIPs &amp; FIPs'!$H$7,INDIRECT("K"&amp;B50):$K$500,0),2),""))),"")</f>
        <v/>
      </c>
      <c r="J50" s="46">
        <v>97068</v>
      </c>
      <c r="K50" s="50" t="s">
        <v>383</v>
      </c>
      <c r="L50" s="32" t="s">
        <v>264</v>
      </c>
      <c r="M50" s="26" t="s">
        <v>317</v>
      </c>
      <c r="N50" t="s">
        <v>1194</v>
      </c>
      <c r="R50" s="58" t="s">
        <v>467</v>
      </c>
      <c r="S50" s="25">
        <f t="shared" si="0"/>
        <v>0</v>
      </c>
      <c r="T50" s="25">
        <f t="shared" si="3"/>
        <v>1</v>
      </c>
      <c r="V50" s="25">
        <f t="shared" si="2"/>
        <v>1</v>
      </c>
      <c r="W50" s="46">
        <v>97053</v>
      </c>
      <c r="X50" s="50" t="s">
        <v>394</v>
      </c>
    </row>
    <row r="51" spans="1:24" x14ac:dyDescent="0.25">
      <c r="A51" s="25">
        <v>45</v>
      </c>
      <c r="B51" s="59" t="str">
        <f ca="1">IFERROR(IF('ZIPs &amp; FIPs'!$H$7&lt;&gt;"",IF(AND('ZIPs &amp; FIPs'!$F$7="County",ISNA(ROW(INDEX(INDIRECT("K"&amp;B50+1):$M$500,MATCH('ZIPs &amp; FIPs'!$H$7,INDIRECT("L"&amp;B50+1):$L$500,0),2)))=FALSE),ROW(INDEX(INDIRECT("K"&amp;B50+1):$M$500,MATCH('ZIPs &amp; FIPs'!$H$7,INDIRECT("L"&amp;B50+1):$L$500,0),2)),IF(AND('ZIPs &amp; FIPs'!$F$7="City",ISNA(ROW(INDEX(INDIRECT("K"&amp;B50+1):$M$500,MATCH('ZIPs &amp; FIPs'!$H$7,INDIRECT("K"&amp;B50+1):$K$500,0),1)))=FALSE),ROW(INDEX(INDIRECT("K"&amp;B50+1):$M$500,MATCH('ZIPs &amp; FIPs'!$H$7,INDIRECT("K"&amp;B50+1):$K$500,0),1)),"")),""),"")</f>
        <v/>
      </c>
      <c r="C51" s="59" t="str">
        <f ca="1">IF(B51&lt;&gt;"",IF('ZIPs &amp; FIPs'!$H$7&lt;&gt;"",IF(AND('ZIPs &amp; FIPs'!$F$7="County",ISNA(INDEX(INDIRECT("K"&amp;B51):$M$500,MATCH('ZIPs &amp; FIPs'!$H$7,INDIRECT("L"&amp;B51):$L$500,0),3))=FALSE),INDEX(INDIRECT("K"&amp;B51):$M$500,MATCH('ZIPs &amp; FIPs'!$H$7,INDIRECT("L"&amp;B51):$L$500,0),3),IF(AND('ZIPs &amp; FIPs'!$F$7="City",ISNA(INDEX(INDIRECT("K"&amp;B51):$M$500,MATCH('ZIPs &amp; FIPs'!$H$7,INDIRECT("K"&amp;B51):$K$500,0),3))=FALSE),INDEX(INDIRECT("K"&amp;B51):$M$500,MATCH('ZIPs &amp; FIPs'!$H$7,INDIRECT("K"&amp;B51):$K$500,0),3),""))),"")</f>
        <v/>
      </c>
      <c r="D51" s="59" t="str">
        <f ca="1">IF(B51&lt;&gt;"",IF('ZIPs &amp; FIPs'!$H$7&lt;&gt;"",IF(AND('ZIPs &amp; FIPs'!$F$7="County",ISNA(INDEX(INDIRECT("J"&amp;B51):$M$500,MATCH('ZIPs &amp; FIPs'!$H$7,INDIRECT("L"&amp;B51):$L$500,0),1))=FALSE),INDEX(INDIRECT("J"&amp;B51):$M$500,MATCH('ZIPs &amp; FIPs'!$H$7,INDIRECT("L"&amp;B51):$L$500,0),1),IF(AND('ZIPs &amp; FIPs'!$F$7="City",ISNA(INDEX(INDIRECT("J"&amp;B51):$M$500,MATCH('ZIPs &amp; FIPs'!$H$7,INDIRECT("K"&amp;B51):$K$500,0),1))=FALSE),INDEX(INDIRECT("J"&amp;B51):$M$500,MATCH('ZIPs &amp; FIPs'!$H$7,INDIRECT("K"&amp;B51):$K$500,0),1),""))),"")</f>
        <v/>
      </c>
      <c r="E51" s="59" t="str">
        <f ca="1">IF(B51&lt;&gt;"",IF('ZIPs &amp; FIPs'!$H$7&lt;&gt;"",IF(AND('ZIPs &amp; FIPs'!$F$7="County",ISNA(INDEX(INDIRECT("K"&amp;B51):$M$500,MATCH('ZIPs &amp; FIPs'!$H$7,INDIRECT("L"&amp;B51):$L$500,0),1))=FALSE),INDEX(INDIRECT("K"&amp;B51):$M$500,MATCH('ZIPs &amp; FIPs'!$H$7,INDIRECT("L"&amp;B51):$L$500,0),1),IF(AND('ZIPs &amp; FIPs'!$F$7="City",ISNA(INDEX(INDIRECT("K"&amp;B51):$M$500,MATCH('ZIPs &amp; FIPs'!$H$7,INDIRECT("K"&amp;B51):$K$500,0),1))=FALSE),INDEX(INDIRECT("K"&amp;B51):$M$500,MATCH('ZIPs &amp; FIPs'!$H$7,INDIRECT("K"&amp;B51):$K$500,0),1),""))),"")</f>
        <v/>
      </c>
      <c r="F51" s="59" t="str">
        <f ca="1">IF(B51&lt;&gt;"",IF('ZIPs &amp; FIPs'!$H$7&lt;&gt;"",IF(AND('ZIPs &amp; FIPs'!$F$7="County",ISNA(INDEX(INDIRECT("K"&amp;B51):$M$500,MATCH('ZIPs &amp; FIPs'!$H$7,INDIRECT("L"&amp;B51):$L$500,0),2))=FALSE),INDEX(INDIRECT("K"&amp;B51):$M$500,MATCH('ZIPs &amp; FIPs'!$H$7,INDIRECT("L"&amp;B51):$L$500,0),2),IF(AND('ZIPs &amp; FIPs'!$F$7="City",ISNA(INDEX(INDIRECT("K"&amp;B51):$M$500,MATCH('ZIPs &amp; FIPs'!$H$7,INDIRECT("K"&amp;B51):$K$500,0),2))=FALSE),INDEX(INDIRECT("K"&amp;B51):$M$500,MATCH('ZIPs &amp; FIPs'!$H$7,INDIRECT("K"&amp;B51):$K$500,0),2),""))),"")</f>
        <v/>
      </c>
      <c r="J51" s="46">
        <v>97070</v>
      </c>
      <c r="K51" s="50" t="s">
        <v>384</v>
      </c>
      <c r="L51" s="32" t="s">
        <v>264</v>
      </c>
      <c r="M51" s="26" t="s">
        <v>317</v>
      </c>
      <c r="N51" t="s">
        <v>1194</v>
      </c>
      <c r="R51" s="58" t="s">
        <v>652</v>
      </c>
      <c r="S51" s="25">
        <f t="shared" si="0"/>
        <v>0</v>
      </c>
      <c r="T51" s="25">
        <f t="shared" si="3"/>
        <v>1</v>
      </c>
      <c r="V51" s="25">
        <f t="shared" si="2"/>
        <v>1</v>
      </c>
      <c r="W51" s="46">
        <v>97054</v>
      </c>
      <c r="X51" s="50" t="s">
        <v>395</v>
      </c>
    </row>
    <row r="52" spans="1:24" x14ac:dyDescent="0.25">
      <c r="A52" s="25">
        <v>46</v>
      </c>
      <c r="B52" s="59" t="str">
        <f ca="1">IFERROR(IF('ZIPs &amp; FIPs'!$H$7&lt;&gt;"",IF(AND('ZIPs &amp; FIPs'!$F$7="County",ISNA(ROW(INDEX(INDIRECT("K"&amp;B51+1):$M$500,MATCH('ZIPs &amp; FIPs'!$H$7,INDIRECT("L"&amp;B51+1):$L$500,0),2)))=FALSE),ROW(INDEX(INDIRECT("K"&amp;B51+1):$M$500,MATCH('ZIPs &amp; FIPs'!$H$7,INDIRECT("L"&amp;B51+1):$L$500,0),2)),IF(AND('ZIPs &amp; FIPs'!$F$7="City",ISNA(ROW(INDEX(INDIRECT("K"&amp;B51+1):$M$500,MATCH('ZIPs &amp; FIPs'!$H$7,INDIRECT("K"&amp;B51+1):$K$500,0),1)))=FALSE),ROW(INDEX(INDIRECT("K"&amp;B51+1):$M$500,MATCH('ZIPs &amp; FIPs'!$H$7,INDIRECT("K"&amp;B51+1):$K$500,0),1)),"")),""),"")</f>
        <v/>
      </c>
      <c r="C52" s="59" t="str">
        <f ca="1">IF(B52&lt;&gt;"",IF('ZIPs &amp; FIPs'!$H$7&lt;&gt;"",IF(AND('ZIPs &amp; FIPs'!$F$7="County",ISNA(INDEX(INDIRECT("K"&amp;B52):$M$500,MATCH('ZIPs &amp; FIPs'!$H$7,INDIRECT("L"&amp;B52):$L$500,0),3))=FALSE),INDEX(INDIRECT("K"&amp;B52):$M$500,MATCH('ZIPs &amp; FIPs'!$H$7,INDIRECT("L"&amp;B52):$L$500,0),3),IF(AND('ZIPs &amp; FIPs'!$F$7="City",ISNA(INDEX(INDIRECT("K"&amp;B52):$M$500,MATCH('ZIPs &amp; FIPs'!$H$7,INDIRECT("K"&amp;B52):$K$500,0),3))=FALSE),INDEX(INDIRECT("K"&amp;B52):$M$500,MATCH('ZIPs &amp; FIPs'!$H$7,INDIRECT("K"&amp;B52):$K$500,0),3),""))),"")</f>
        <v/>
      </c>
      <c r="D52" s="59" t="str">
        <f ca="1">IF(B52&lt;&gt;"",IF('ZIPs &amp; FIPs'!$H$7&lt;&gt;"",IF(AND('ZIPs &amp; FIPs'!$F$7="County",ISNA(INDEX(INDIRECT("J"&amp;B52):$M$500,MATCH('ZIPs &amp; FIPs'!$H$7,INDIRECT("L"&amp;B52):$L$500,0),1))=FALSE),INDEX(INDIRECT("J"&amp;B52):$M$500,MATCH('ZIPs &amp; FIPs'!$H$7,INDIRECT("L"&amp;B52):$L$500,0),1),IF(AND('ZIPs &amp; FIPs'!$F$7="City",ISNA(INDEX(INDIRECT("J"&amp;B52):$M$500,MATCH('ZIPs &amp; FIPs'!$H$7,INDIRECT("K"&amp;B52):$K$500,0),1))=FALSE),INDEX(INDIRECT("J"&amp;B52):$M$500,MATCH('ZIPs &amp; FIPs'!$H$7,INDIRECT("K"&amp;B52):$K$500,0),1),""))),"")</f>
        <v/>
      </c>
      <c r="E52" s="59" t="str">
        <f ca="1">IF(B52&lt;&gt;"",IF('ZIPs &amp; FIPs'!$H$7&lt;&gt;"",IF(AND('ZIPs &amp; FIPs'!$F$7="County",ISNA(INDEX(INDIRECT("K"&amp;B52):$M$500,MATCH('ZIPs &amp; FIPs'!$H$7,INDIRECT("L"&amp;B52):$L$500,0),1))=FALSE),INDEX(INDIRECT("K"&amp;B52):$M$500,MATCH('ZIPs &amp; FIPs'!$H$7,INDIRECT("L"&amp;B52):$L$500,0),1),IF(AND('ZIPs &amp; FIPs'!$F$7="City",ISNA(INDEX(INDIRECT("K"&amp;B52):$M$500,MATCH('ZIPs &amp; FIPs'!$H$7,INDIRECT("K"&amp;B52):$K$500,0),1))=FALSE),INDEX(INDIRECT("K"&amp;B52):$M$500,MATCH('ZIPs &amp; FIPs'!$H$7,INDIRECT("K"&amp;B52):$K$500,0),1),""))),"")</f>
        <v/>
      </c>
      <c r="F52" s="59" t="str">
        <f ca="1">IF(B52&lt;&gt;"",IF('ZIPs &amp; FIPs'!$H$7&lt;&gt;"",IF(AND('ZIPs &amp; FIPs'!$F$7="County",ISNA(INDEX(INDIRECT("K"&amp;B52):$M$500,MATCH('ZIPs &amp; FIPs'!$H$7,INDIRECT("L"&amp;B52):$L$500,0),2))=FALSE),INDEX(INDIRECT("K"&amp;B52):$M$500,MATCH('ZIPs &amp; FIPs'!$H$7,INDIRECT("L"&amp;B52):$L$500,0),2),IF(AND('ZIPs &amp; FIPs'!$F$7="City",ISNA(INDEX(INDIRECT("K"&amp;B52):$M$500,MATCH('ZIPs &amp; FIPs'!$H$7,INDIRECT("K"&amp;B52):$K$500,0),2))=FALSE),INDEX(INDIRECT("K"&amp;B52):$M$500,MATCH('ZIPs &amp; FIPs'!$H$7,INDIRECT("K"&amp;B52):$K$500,0),2),""))),"")</f>
        <v/>
      </c>
      <c r="J52" s="46">
        <v>97086</v>
      </c>
      <c r="K52" s="50" t="s">
        <v>722</v>
      </c>
      <c r="L52" s="32" t="s">
        <v>264</v>
      </c>
      <c r="M52" s="26" t="s">
        <v>317</v>
      </c>
      <c r="N52" t="s">
        <v>1194</v>
      </c>
      <c r="R52" s="58" t="s">
        <v>420</v>
      </c>
      <c r="S52" s="25">
        <f t="shared" si="0"/>
        <v>0</v>
      </c>
      <c r="T52" s="25">
        <f t="shared" si="3"/>
        <v>1</v>
      </c>
      <c r="V52" s="25">
        <f t="shared" si="2"/>
        <v>1</v>
      </c>
      <c r="W52" s="46">
        <v>97055</v>
      </c>
      <c r="X52" s="50" t="s">
        <v>381</v>
      </c>
    </row>
    <row r="53" spans="1:24" x14ac:dyDescent="0.25">
      <c r="A53" s="25">
        <v>47</v>
      </c>
      <c r="B53" s="59" t="str">
        <f ca="1">IFERROR(IF('ZIPs &amp; FIPs'!$H$7&lt;&gt;"",IF(AND('ZIPs &amp; FIPs'!$F$7="County",ISNA(ROW(INDEX(INDIRECT("K"&amp;B52+1):$M$500,MATCH('ZIPs &amp; FIPs'!$H$7,INDIRECT("L"&amp;B52+1):$L$500,0),2)))=FALSE),ROW(INDEX(INDIRECT("K"&amp;B52+1):$M$500,MATCH('ZIPs &amp; FIPs'!$H$7,INDIRECT("L"&amp;B52+1):$L$500,0),2)),IF(AND('ZIPs &amp; FIPs'!$F$7="City",ISNA(ROW(INDEX(INDIRECT("K"&amp;B52+1):$M$500,MATCH('ZIPs &amp; FIPs'!$H$7,INDIRECT("K"&amp;B52+1):$K$500,0),1)))=FALSE),ROW(INDEX(INDIRECT("K"&amp;B52+1):$M$500,MATCH('ZIPs &amp; FIPs'!$H$7,INDIRECT("K"&amp;B52+1):$K$500,0),1)),"")),""),"")</f>
        <v/>
      </c>
      <c r="C53" s="59" t="str">
        <f ca="1">IF(B53&lt;&gt;"",IF('ZIPs &amp; FIPs'!$H$7&lt;&gt;"",IF(AND('ZIPs &amp; FIPs'!$F$7="County",ISNA(INDEX(INDIRECT("K"&amp;B53):$M$500,MATCH('ZIPs &amp; FIPs'!$H$7,INDIRECT("L"&amp;B53):$L$500,0),3))=FALSE),INDEX(INDIRECT("K"&amp;B53):$M$500,MATCH('ZIPs &amp; FIPs'!$H$7,INDIRECT("L"&amp;B53):$L$500,0),3),IF(AND('ZIPs &amp; FIPs'!$F$7="City",ISNA(INDEX(INDIRECT("K"&amp;B53):$M$500,MATCH('ZIPs &amp; FIPs'!$H$7,INDIRECT("K"&amp;B53):$K$500,0),3))=FALSE),INDEX(INDIRECT("K"&amp;B53):$M$500,MATCH('ZIPs &amp; FIPs'!$H$7,INDIRECT("K"&amp;B53):$K$500,0),3),""))),"")</f>
        <v/>
      </c>
      <c r="D53" s="59" t="str">
        <f ca="1">IF(B53&lt;&gt;"",IF('ZIPs &amp; FIPs'!$H$7&lt;&gt;"",IF(AND('ZIPs &amp; FIPs'!$F$7="County",ISNA(INDEX(INDIRECT("J"&amp;B53):$M$500,MATCH('ZIPs &amp; FIPs'!$H$7,INDIRECT("L"&amp;B53):$L$500,0),1))=FALSE),INDEX(INDIRECT("J"&amp;B53):$M$500,MATCH('ZIPs &amp; FIPs'!$H$7,INDIRECT("L"&amp;B53):$L$500,0),1),IF(AND('ZIPs &amp; FIPs'!$F$7="City",ISNA(INDEX(INDIRECT("J"&amp;B53):$M$500,MATCH('ZIPs &amp; FIPs'!$H$7,INDIRECT("K"&amp;B53):$K$500,0),1))=FALSE),INDEX(INDIRECT("J"&amp;B53):$M$500,MATCH('ZIPs &amp; FIPs'!$H$7,INDIRECT("K"&amp;B53):$K$500,0),1),""))),"")</f>
        <v/>
      </c>
      <c r="E53" s="59" t="str">
        <f ca="1">IF(B53&lt;&gt;"",IF('ZIPs &amp; FIPs'!$H$7&lt;&gt;"",IF(AND('ZIPs &amp; FIPs'!$F$7="County",ISNA(INDEX(INDIRECT("K"&amp;B53):$M$500,MATCH('ZIPs &amp; FIPs'!$H$7,INDIRECT("L"&amp;B53):$L$500,0),1))=FALSE),INDEX(INDIRECT("K"&amp;B53):$M$500,MATCH('ZIPs &amp; FIPs'!$H$7,INDIRECT("L"&amp;B53):$L$500,0),1),IF(AND('ZIPs &amp; FIPs'!$F$7="City",ISNA(INDEX(INDIRECT("K"&amp;B53):$M$500,MATCH('ZIPs &amp; FIPs'!$H$7,INDIRECT("K"&amp;B53):$K$500,0),1))=FALSE),INDEX(INDIRECT("K"&amp;B53):$M$500,MATCH('ZIPs &amp; FIPs'!$H$7,INDIRECT("K"&amp;B53):$K$500,0),1),""))),"")</f>
        <v/>
      </c>
      <c r="F53" s="59" t="str">
        <f ca="1">IF(B53&lt;&gt;"",IF('ZIPs &amp; FIPs'!$H$7&lt;&gt;"",IF(AND('ZIPs &amp; FIPs'!$F$7="County",ISNA(INDEX(INDIRECT("K"&amp;B53):$M$500,MATCH('ZIPs &amp; FIPs'!$H$7,INDIRECT("L"&amp;B53):$L$500,0),2))=FALSE),INDEX(INDIRECT("K"&amp;B53):$M$500,MATCH('ZIPs &amp; FIPs'!$H$7,INDIRECT("L"&amp;B53):$L$500,0),2),IF(AND('ZIPs &amp; FIPs'!$F$7="City",ISNA(INDEX(INDIRECT("K"&amp;B53):$M$500,MATCH('ZIPs &amp; FIPs'!$H$7,INDIRECT("K"&amp;B53):$K$500,0),2))=FALSE),INDEX(INDIRECT("K"&amp;B53):$M$500,MATCH('ZIPs &amp; FIPs'!$H$7,INDIRECT("K"&amp;B53):$K$500,0),2),""))),"")</f>
        <v/>
      </c>
      <c r="J53" s="46">
        <v>97222</v>
      </c>
      <c r="K53" s="50" t="s">
        <v>270</v>
      </c>
      <c r="L53" s="32" t="s">
        <v>264</v>
      </c>
      <c r="M53" s="26" t="s">
        <v>317</v>
      </c>
      <c r="N53" t="s">
        <v>1194</v>
      </c>
      <c r="R53" s="58" t="s">
        <v>478</v>
      </c>
      <c r="S53" s="25">
        <f t="shared" si="0"/>
        <v>0</v>
      </c>
      <c r="T53" s="25">
        <f t="shared" si="3"/>
        <v>1</v>
      </c>
      <c r="V53" s="25">
        <f t="shared" si="2"/>
        <v>1</v>
      </c>
      <c r="W53" s="46">
        <v>97056</v>
      </c>
      <c r="X53" s="50" t="s">
        <v>396</v>
      </c>
    </row>
    <row r="54" spans="1:24" x14ac:dyDescent="0.25">
      <c r="A54" s="25">
        <v>48</v>
      </c>
      <c r="B54" s="59" t="str">
        <f ca="1">IFERROR(IF('ZIPs &amp; FIPs'!$H$7&lt;&gt;"",IF(AND('ZIPs &amp; FIPs'!$F$7="County",ISNA(ROW(INDEX(INDIRECT("K"&amp;B53+1):$M$500,MATCH('ZIPs &amp; FIPs'!$H$7,INDIRECT("L"&amp;B53+1):$L$500,0),2)))=FALSE),ROW(INDEX(INDIRECT("K"&amp;B53+1):$M$500,MATCH('ZIPs &amp; FIPs'!$H$7,INDIRECT("L"&amp;B53+1):$L$500,0),2)),IF(AND('ZIPs &amp; FIPs'!$F$7="City",ISNA(ROW(INDEX(INDIRECT("K"&amp;B53+1):$M$500,MATCH('ZIPs &amp; FIPs'!$H$7,INDIRECT("K"&amp;B53+1):$K$500,0),1)))=FALSE),ROW(INDEX(INDIRECT("K"&amp;B53+1):$M$500,MATCH('ZIPs &amp; FIPs'!$H$7,INDIRECT("K"&amp;B53+1):$K$500,0),1)),"")),""),"")</f>
        <v/>
      </c>
      <c r="C54" s="59" t="str">
        <f ca="1">IF(B54&lt;&gt;"",IF('ZIPs &amp; FIPs'!$H$7&lt;&gt;"",IF(AND('ZIPs &amp; FIPs'!$F$7="County",ISNA(INDEX(INDIRECT("K"&amp;B54):$M$500,MATCH('ZIPs &amp; FIPs'!$H$7,INDIRECT("L"&amp;B54):$L$500,0),3))=FALSE),INDEX(INDIRECT("K"&amp;B54):$M$500,MATCH('ZIPs &amp; FIPs'!$H$7,INDIRECT("L"&amp;B54):$L$500,0),3),IF(AND('ZIPs &amp; FIPs'!$F$7="City",ISNA(INDEX(INDIRECT("K"&amp;B54):$M$500,MATCH('ZIPs &amp; FIPs'!$H$7,INDIRECT("K"&amp;B54):$K$500,0),3))=FALSE),INDEX(INDIRECT("K"&amp;B54):$M$500,MATCH('ZIPs &amp; FIPs'!$H$7,INDIRECT("K"&amp;B54):$K$500,0),3),""))),"")</f>
        <v/>
      </c>
      <c r="D54" s="59" t="str">
        <f ca="1">IF(B54&lt;&gt;"",IF('ZIPs &amp; FIPs'!$H$7&lt;&gt;"",IF(AND('ZIPs &amp; FIPs'!$F$7="County",ISNA(INDEX(INDIRECT("J"&amp;B54):$M$500,MATCH('ZIPs &amp; FIPs'!$H$7,INDIRECT("L"&amp;B54):$L$500,0),1))=FALSE),INDEX(INDIRECT("J"&amp;B54):$M$500,MATCH('ZIPs &amp; FIPs'!$H$7,INDIRECT("L"&amp;B54):$L$500,0),1),IF(AND('ZIPs &amp; FIPs'!$F$7="City",ISNA(INDEX(INDIRECT("J"&amp;B54):$M$500,MATCH('ZIPs &amp; FIPs'!$H$7,INDIRECT("K"&amp;B54):$K$500,0),1))=FALSE),INDEX(INDIRECT("J"&amp;B54):$M$500,MATCH('ZIPs &amp; FIPs'!$H$7,INDIRECT("K"&amp;B54):$K$500,0),1),""))),"")</f>
        <v/>
      </c>
      <c r="E54" s="59" t="str">
        <f ca="1">IF(B54&lt;&gt;"",IF('ZIPs &amp; FIPs'!$H$7&lt;&gt;"",IF(AND('ZIPs &amp; FIPs'!$F$7="County",ISNA(INDEX(INDIRECT("K"&amp;B54):$M$500,MATCH('ZIPs &amp; FIPs'!$H$7,INDIRECT("L"&amp;B54):$L$500,0),1))=FALSE),INDEX(INDIRECT("K"&amp;B54):$M$500,MATCH('ZIPs &amp; FIPs'!$H$7,INDIRECT("L"&amp;B54):$L$500,0),1),IF(AND('ZIPs &amp; FIPs'!$F$7="City",ISNA(INDEX(INDIRECT("K"&amp;B54):$M$500,MATCH('ZIPs &amp; FIPs'!$H$7,INDIRECT("K"&amp;B54):$K$500,0),1))=FALSE),INDEX(INDIRECT("K"&amp;B54):$M$500,MATCH('ZIPs &amp; FIPs'!$H$7,INDIRECT("K"&amp;B54):$K$500,0),1),""))),"")</f>
        <v/>
      </c>
      <c r="F54" s="59" t="str">
        <f ca="1">IF(B54&lt;&gt;"",IF('ZIPs &amp; FIPs'!$H$7&lt;&gt;"",IF(AND('ZIPs &amp; FIPs'!$F$7="County",ISNA(INDEX(INDIRECT("K"&amp;B54):$M$500,MATCH('ZIPs &amp; FIPs'!$H$7,INDIRECT("L"&amp;B54):$L$500,0),2))=FALSE),INDEX(INDIRECT("K"&amp;B54):$M$500,MATCH('ZIPs &amp; FIPs'!$H$7,INDIRECT("L"&amp;B54):$L$500,0),2),IF(AND('ZIPs &amp; FIPs'!$F$7="City",ISNA(INDEX(INDIRECT("K"&amp;B54):$M$500,MATCH('ZIPs &amp; FIPs'!$H$7,INDIRECT("K"&amp;B54):$K$500,0),2))=FALSE),INDEX(INDIRECT("K"&amp;B54):$M$500,MATCH('ZIPs &amp; FIPs'!$H$7,INDIRECT("K"&amp;B54):$K$500,0),2),""))),"")</f>
        <v/>
      </c>
      <c r="J54" s="46">
        <v>97267</v>
      </c>
      <c r="K54" s="50" t="s">
        <v>270</v>
      </c>
      <c r="L54" s="32" t="s">
        <v>264</v>
      </c>
      <c r="M54" s="26" t="s">
        <v>317</v>
      </c>
      <c r="N54" t="s">
        <v>1194</v>
      </c>
      <c r="R54" s="58" t="s">
        <v>267</v>
      </c>
      <c r="S54" s="25">
        <f t="shared" si="0"/>
        <v>0</v>
      </c>
      <c r="T54" s="25">
        <f t="shared" si="3"/>
        <v>1</v>
      </c>
      <c r="V54" s="25">
        <f t="shared" si="2"/>
        <v>1</v>
      </c>
      <c r="W54" s="46">
        <v>97057</v>
      </c>
      <c r="X54" s="50" t="s">
        <v>314</v>
      </c>
    </row>
    <row r="55" spans="1:24" x14ac:dyDescent="0.25">
      <c r="A55" s="25">
        <v>49</v>
      </c>
      <c r="B55" s="59" t="str">
        <f ca="1">IFERROR(IF('ZIPs &amp; FIPs'!$H$7&lt;&gt;"",IF(AND('ZIPs &amp; FIPs'!$F$7="County",ISNA(ROW(INDEX(INDIRECT("K"&amp;B54+1):$M$500,MATCH('ZIPs &amp; FIPs'!$H$7,INDIRECT("L"&amp;B54+1):$L$500,0),2)))=FALSE),ROW(INDEX(INDIRECT("K"&amp;B54+1):$M$500,MATCH('ZIPs &amp; FIPs'!$H$7,INDIRECT("L"&amp;B54+1):$L$500,0),2)),IF(AND('ZIPs &amp; FIPs'!$F$7="City",ISNA(ROW(INDEX(INDIRECT("K"&amp;B54+1):$M$500,MATCH('ZIPs &amp; FIPs'!$H$7,INDIRECT("K"&amp;B54+1):$K$500,0),1)))=FALSE),ROW(INDEX(INDIRECT("K"&amp;B54+1):$M$500,MATCH('ZIPs &amp; FIPs'!$H$7,INDIRECT("K"&amp;B54+1):$K$500,0),1)),"")),""),"")</f>
        <v/>
      </c>
      <c r="C55" s="59" t="str">
        <f ca="1">IF(B55&lt;&gt;"",IF('ZIPs &amp; FIPs'!$H$7&lt;&gt;"",IF(AND('ZIPs &amp; FIPs'!$F$7="County",ISNA(INDEX(INDIRECT("K"&amp;B55):$M$500,MATCH('ZIPs &amp; FIPs'!$H$7,INDIRECT("L"&amp;B55):$L$500,0),3))=FALSE),INDEX(INDIRECT("K"&amp;B55):$M$500,MATCH('ZIPs &amp; FIPs'!$H$7,INDIRECT("L"&amp;B55):$L$500,0),3),IF(AND('ZIPs &amp; FIPs'!$F$7="City",ISNA(INDEX(INDIRECT("K"&amp;B55):$M$500,MATCH('ZIPs &amp; FIPs'!$H$7,INDIRECT("K"&amp;B55):$K$500,0),3))=FALSE),INDEX(INDIRECT("K"&amp;B55):$M$500,MATCH('ZIPs &amp; FIPs'!$H$7,INDIRECT("K"&amp;B55):$K$500,0),3),""))),"")</f>
        <v/>
      </c>
      <c r="D55" s="59" t="str">
        <f ca="1">IF(B55&lt;&gt;"",IF('ZIPs &amp; FIPs'!$H$7&lt;&gt;"",IF(AND('ZIPs &amp; FIPs'!$F$7="County",ISNA(INDEX(INDIRECT("J"&amp;B55):$M$500,MATCH('ZIPs &amp; FIPs'!$H$7,INDIRECT("L"&amp;B55):$L$500,0),1))=FALSE),INDEX(INDIRECT("J"&amp;B55):$M$500,MATCH('ZIPs &amp; FIPs'!$H$7,INDIRECT("L"&amp;B55):$L$500,0),1),IF(AND('ZIPs &amp; FIPs'!$F$7="City",ISNA(INDEX(INDIRECT("J"&amp;B55):$M$500,MATCH('ZIPs &amp; FIPs'!$H$7,INDIRECT("K"&amp;B55):$K$500,0),1))=FALSE),INDEX(INDIRECT("J"&amp;B55):$M$500,MATCH('ZIPs &amp; FIPs'!$H$7,INDIRECT("K"&amp;B55):$K$500,0),1),""))),"")</f>
        <v/>
      </c>
      <c r="E55" s="59" t="str">
        <f ca="1">IF(B55&lt;&gt;"",IF('ZIPs &amp; FIPs'!$H$7&lt;&gt;"",IF(AND('ZIPs &amp; FIPs'!$F$7="County",ISNA(INDEX(INDIRECT("K"&amp;B55):$M$500,MATCH('ZIPs &amp; FIPs'!$H$7,INDIRECT("L"&amp;B55):$L$500,0),1))=FALSE),INDEX(INDIRECT("K"&amp;B55):$M$500,MATCH('ZIPs &amp; FIPs'!$H$7,INDIRECT("L"&amp;B55):$L$500,0),1),IF(AND('ZIPs &amp; FIPs'!$F$7="City",ISNA(INDEX(INDIRECT("K"&amp;B55):$M$500,MATCH('ZIPs &amp; FIPs'!$H$7,INDIRECT("K"&amp;B55):$K$500,0),1))=FALSE),INDEX(INDIRECT("K"&amp;B55):$M$500,MATCH('ZIPs &amp; FIPs'!$H$7,INDIRECT("K"&amp;B55):$K$500,0),1),""))),"")</f>
        <v/>
      </c>
      <c r="F55" s="59" t="str">
        <f ca="1">IF(B55&lt;&gt;"",IF('ZIPs &amp; FIPs'!$H$7&lt;&gt;"",IF(AND('ZIPs &amp; FIPs'!$F$7="County",ISNA(INDEX(INDIRECT("K"&amp;B55):$M$500,MATCH('ZIPs &amp; FIPs'!$H$7,INDIRECT("L"&amp;B55):$L$500,0),2))=FALSE),INDEX(INDIRECT("K"&amp;B55):$M$500,MATCH('ZIPs &amp; FIPs'!$H$7,INDIRECT("L"&amp;B55):$L$500,0),2),IF(AND('ZIPs &amp; FIPs'!$F$7="City",ISNA(INDEX(INDIRECT("K"&amp;B55):$M$500,MATCH('ZIPs &amp; FIPs'!$H$7,INDIRECT("K"&amp;B55):$K$500,0),2))=FALSE),INDEX(INDIRECT("K"&amp;B55):$M$500,MATCH('ZIPs &amp; FIPs'!$H$7,INDIRECT("K"&amp;B55):$K$500,0),2),""))),"")</f>
        <v/>
      </c>
      <c r="J55" s="46">
        <v>97268</v>
      </c>
      <c r="K55" s="50" t="s">
        <v>97</v>
      </c>
      <c r="L55" s="32" t="s">
        <v>264</v>
      </c>
      <c r="M55" s="26" t="s">
        <v>317</v>
      </c>
      <c r="N55" t="s">
        <v>1194</v>
      </c>
      <c r="R55" s="58" t="s">
        <v>386</v>
      </c>
      <c r="S55" s="25">
        <f t="shared" si="0"/>
        <v>0</v>
      </c>
      <c r="T55" s="25">
        <f t="shared" si="3"/>
        <v>1</v>
      </c>
      <c r="V55" s="25">
        <f t="shared" si="2"/>
        <v>1</v>
      </c>
      <c r="W55" s="46">
        <v>97058</v>
      </c>
      <c r="X55" s="50" t="s">
        <v>188</v>
      </c>
    </row>
    <row r="56" spans="1:24" x14ac:dyDescent="0.25">
      <c r="A56" s="25">
        <v>50</v>
      </c>
      <c r="B56" s="59" t="str">
        <f ca="1">IFERROR(IF('ZIPs &amp; FIPs'!$H$7&lt;&gt;"",IF(AND('ZIPs &amp; FIPs'!$F$7="County",ISNA(ROW(INDEX(INDIRECT("K"&amp;B55+1):$M$500,MATCH('ZIPs &amp; FIPs'!$H$7,INDIRECT("L"&amp;B55+1):$L$500,0),2)))=FALSE),ROW(INDEX(INDIRECT("K"&amp;B55+1):$M$500,MATCH('ZIPs &amp; FIPs'!$H$7,INDIRECT("L"&amp;B55+1):$L$500,0),2)),IF(AND('ZIPs &amp; FIPs'!$F$7="City",ISNA(ROW(INDEX(INDIRECT("K"&amp;B55+1):$M$500,MATCH('ZIPs &amp; FIPs'!$H$7,INDIRECT("K"&amp;B55+1):$K$500,0),1)))=FALSE),ROW(INDEX(INDIRECT("K"&amp;B55+1):$M$500,MATCH('ZIPs &amp; FIPs'!$H$7,INDIRECT("K"&amp;B55+1):$K$500,0),1)),"")),""),"")</f>
        <v/>
      </c>
      <c r="C56" s="59" t="str">
        <f ca="1">IF(B56&lt;&gt;"",IF('ZIPs &amp; FIPs'!$H$7&lt;&gt;"",IF(AND('ZIPs &amp; FIPs'!$F$7="County",ISNA(INDEX(INDIRECT("K"&amp;B56):$M$500,MATCH('ZIPs &amp; FIPs'!$H$7,INDIRECT("L"&amp;B56):$L$500,0),3))=FALSE),INDEX(INDIRECT("K"&amp;B56):$M$500,MATCH('ZIPs &amp; FIPs'!$H$7,INDIRECT("L"&amp;B56):$L$500,0),3),IF(AND('ZIPs &amp; FIPs'!$F$7="City",ISNA(INDEX(INDIRECT("K"&amp;B56):$M$500,MATCH('ZIPs &amp; FIPs'!$H$7,INDIRECT("K"&amp;B56):$K$500,0),3))=FALSE),INDEX(INDIRECT("K"&amp;B56):$M$500,MATCH('ZIPs &amp; FIPs'!$H$7,INDIRECT("K"&amp;B56):$K$500,0),3),""))),"")</f>
        <v/>
      </c>
      <c r="D56" s="59" t="str">
        <f ca="1">IF(B56&lt;&gt;"",IF('ZIPs &amp; FIPs'!$H$7&lt;&gt;"",IF(AND('ZIPs &amp; FIPs'!$F$7="County",ISNA(INDEX(INDIRECT("J"&amp;B56):$M$500,MATCH('ZIPs &amp; FIPs'!$H$7,INDIRECT("L"&amp;B56):$L$500,0),1))=FALSE),INDEX(INDIRECT("J"&amp;B56):$M$500,MATCH('ZIPs &amp; FIPs'!$H$7,INDIRECT("L"&amp;B56):$L$500,0),1),IF(AND('ZIPs &amp; FIPs'!$F$7="City",ISNA(INDEX(INDIRECT("J"&amp;B56):$M$500,MATCH('ZIPs &amp; FIPs'!$H$7,INDIRECT("K"&amp;B56):$K$500,0),1))=FALSE),INDEX(INDIRECT("J"&amp;B56):$M$500,MATCH('ZIPs &amp; FIPs'!$H$7,INDIRECT("K"&amp;B56):$K$500,0),1),""))),"")</f>
        <v/>
      </c>
      <c r="E56" s="59" t="str">
        <f ca="1">IF(B56&lt;&gt;"",IF('ZIPs &amp; FIPs'!$H$7&lt;&gt;"",IF(AND('ZIPs &amp; FIPs'!$F$7="County",ISNA(INDEX(INDIRECT("K"&amp;B56):$M$500,MATCH('ZIPs &amp; FIPs'!$H$7,INDIRECT("L"&amp;B56):$L$500,0),1))=FALSE),INDEX(INDIRECT("K"&amp;B56):$M$500,MATCH('ZIPs &amp; FIPs'!$H$7,INDIRECT("L"&amp;B56):$L$500,0),1),IF(AND('ZIPs &amp; FIPs'!$F$7="City",ISNA(INDEX(INDIRECT("K"&amp;B56):$M$500,MATCH('ZIPs &amp; FIPs'!$H$7,INDIRECT("K"&amp;B56):$K$500,0),1))=FALSE),INDEX(INDIRECT("K"&amp;B56):$M$500,MATCH('ZIPs &amp; FIPs'!$H$7,INDIRECT("K"&amp;B56):$K$500,0),1),""))),"")</f>
        <v/>
      </c>
      <c r="F56" s="59" t="str">
        <f ca="1">IF(B56&lt;&gt;"",IF('ZIPs &amp; FIPs'!$H$7&lt;&gt;"",IF(AND('ZIPs &amp; FIPs'!$F$7="County",ISNA(INDEX(INDIRECT("K"&amp;B56):$M$500,MATCH('ZIPs &amp; FIPs'!$H$7,INDIRECT("L"&amp;B56):$L$500,0),2))=FALSE),INDEX(INDIRECT("K"&amp;B56):$M$500,MATCH('ZIPs &amp; FIPs'!$H$7,INDIRECT("L"&amp;B56):$L$500,0),2),IF(AND('ZIPs &amp; FIPs'!$F$7="City",ISNA(INDEX(INDIRECT("K"&amp;B56):$M$500,MATCH('ZIPs &amp; FIPs'!$H$7,INDIRECT("K"&amp;B56):$K$500,0),2))=FALSE),INDEX(INDIRECT("K"&amp;B56):$M$500,MATCH('ZIPs &amp; FIPs'!$H$7,INDIRECT("K"&amp;B56):$K$500,0),2),""))),"")</f>
        <v/>
      </c>
      <c r="J56" s="46">
        <v>97269</v>
      </c>
      <c r="K56" s="50" t="s">
        <v>270</v>
      </c>
      <c r="L56" s="32" t="s">
        <v>264</v>
      </c>
      <c r="M56" s="26" t="s">
        <v>317</v>
      </c>
      <c r="N56" t="s">
        <v>1194</v>
      </c>
      <c r="R56" s="58" t="s">
        <v>447</v>
      </c>
      <c r="S56" s="25">
        <f t="shared" si="0"/>
        <v>0</v>
      </c>
      <c r="T56" s="25">
        <f t="shared" si="3"/>
        <v>1</v>
      </c>
      <c r="V56" s="25">
        <f t="shared" si="2"/>
        <v>1</v>
      </c>
      <c r="W56" s="46">
        <v>97060</v>
      </c>
      <c r="X56" s="50" t="s">
        <v>605</v>
      </c>
    </row>
    <row r="57" spans="1:24" x14ac:dyDescent="0.25">
      <c r="A57" s="25">
        <v>51</v>
      </c>
      <c r="B57" s="59" t="str">
        <f ca="1">IFERROR(IF('ZIPs &amp; FIPs'!$H$7&lt;&gt;"",IF(AND('ZIPs &amp; FIPs'!$F$7="County",ISNA(ROW(INDEX(INDIRECT("K"&amp;B56+1):$M$500,MATCH('ZIPs &amp; FIPs'!$H$7,INDIRECT("L"&amp;B56+1):$L$500,0),2)))=FALSE),ROW(INDEX(INDIRECT("K"&amp;B56+1):$M$500,MATCH('ZIPs &amp; FIPs'!$H$7,INDIRECT("L"&amp;B56+1):$L$500,0),2)),IF(AND('ZIPs &amp; FIPs'!$F$7="City",ISNA(ROW(INDEX(INDIRECT("K"&amp;B56+1):$M$500,MATCH('ZIPs &amp; FIPs'!$H$7,INDIRECT("K"&amp;B56+1):$K$500,0),1)))=FALSE),ROW(INDEX(INDIRECT("K"&amp;B56+1):$M$500,MATCH('ZIPs &amp; FIPs'!$H$7,INDIRECT("K"&amp;B56+1):$K$500,0),1)),"")),""),"")</f>
        <v/>
      </c>
      <c r="C57" s="59" t="str">
        <f ca="1">IF(B57&lt;&gt;"",IF('ZIPs &amp; FIPs'!$H$7&lt;&gt;"",IF(AND('ZIPs &amp; FIPs'!$F$7="County",ISNA(INDEX(INDIRECT("K"&amp;B57):$M$500,MATCH('ZIPs &amp; FIPs'!$H$7,INDIRECT("L"&amp;B57):$L$500,0),3))=FALSE),INDEX(INDIRECT("K"&amp;B57):$M$500,MATCH('ZIPs &amp; FIPs'!$H$7,INDIRECT("L"&amp;B57):$L$500,0),3),IF(AND('ZIPs &amp; FIPs'!$F$7="City",ISNA(INDEX(INDIRECT("K"&amp;B57):$M$500,MATCH('ZIPs &amp; FIPs'!$H$7,INDIRECT("K"&amp;B57):$K$500,0),3))=FALSE),INDEX(INDIRECT("K"&amp;B57):$M$500,MATCH('ZIPs &amp; FIPs'!$H$7,INDIRECT("K"&amp;B57):$K$500,0),3),""))),"")</f>
        <v/>
      </c>
      <c r="D57" s="59" t="str">
        <f ca="1">IF(B57&lt;&gt;"",IF('ZIPs &amp; FIPs'!$H$7&lt;&gt;"",IF(AND('ZIPs &amp; FIPs'!$F$7="County",ISNA(INDEX(INDIRECT("J"&amp;B57):$M$500,MATCH('ZIPs &amp; FIPs'!$H$7,INDIRECT("L"&amp;B57):$L$500,0),1))=FALSE),INDEX(INDIRECT("J"&amp;B57):$M$500,MATCH('ZIPs &amp; FIPs'!$H$7,INDIRECT("L"&amp;B57):$L$500,0),1),IF(AND('ZIPs &amp; FIPs'!$F$7="City",ISNA(INDEX(INDIRECT("J"&amp;B57):$M$500,MATCH('ZIPs &amp; FIPs'!$H$7,INDIRECT("K"&amp;B57):$K$500,0),1))=FALSE),INDEX(INDIRECT("J"&amp;B57):$M$500,MATCH('ZIPs &amp; FIPs'!$H$7,INDIRECT("K"&amp;B57):$K$500,0),1),""))),"")</f>
        <v/>
      </c>
      <c r="E57" s="59" t="str">
        <f ca="1">IF(B57&lt;&gt;"",IF('ZIPs &amp; FIPs'!$H$7&lt;&gt;"",IF(AND('ZIPs &amp; FIPs'!$F$7="County",ISNA(INDEX(INDIRECT("K"&amp;B57):$M$500,MATCH('ZIPs &amp; FIPs'!$H$7,INDIRECT("L"&amp;B57):$L$500,0),1))=FALSE),INDEX(INDIRECT("K"&amp;B57):$M$500,MATCH('ZIPs &amp; FIPs'!$H$7,INDIRECT("L"&amp;B57):$L$500,0),1),IF(AND('ZIPs &amp; FIPs'!$F$7="City",ISNA(INDEX(INDIRECT("K"&amp;B57):$M$500,MATCH('ZIPs &amp; FIPs'!$H$7,INDIRECT("K"&amp;B57):$K$500,0),1))=FALSE),INDEX(INDIRECT("K"&amp;B57):$M$500,MATCH('ZIPs &amp; FIPs'!$H$7,INDIRECT("K"&amp;B57):$K$500,0),1),""))),"")</f>
        <v/>
      </c>
      <c r="F57" s="59" t="str">
        <f ca="1">IF(B57&lt;&gt;"",IF('ZIPs &amp; FIPs'!$H$7&lt;&gt;"",IF(AND('ZIPs &amp; FIPs'!$F$7="County",ISNA(INDEX(INDIRECT("K"&amp;B57):$M$500,MATCH('ZIPs &amp; FIPs'!$H$7,INDIRECT("L"&amp;B57):$L$500,0),2))=FALSE),INDEX(INDIRECT("K"&amp;B57):$M$500,MATCH('ZIPs &amp; FIPs'!$H$7,INDIRECT("L"&amp;B57):$L$500,0),2),IF(AND('ZIPs &amp; FIPs'!$F$7="City",ISNA(INDEX(INDIRECT("K"&amp;B57):$M$500,MATCH('ZIPs &amp; FIPs'!$H$7,INDIRECT("K"&amp;B57):$K$500,0),2))=FALSE),INDEX(INDIRECT("K"&amp;B57):$M$500,MATCH('ZIPs &amp; FIPs'!$H$7,INDIRECT("K"&amp;B57):$K$500,0),2),""))),"")</f>
        <v/>
      </c>
      <c r="J57" s="46">
        <v>97102</v>
      </c>
      <c r="K57" s="50" t="s">
        <v>385</v>
      </c>
      <c r="L57" s="32" t="s">
        <v>75</v>
      </c>
      <c r="M57" s="26" t="s">
        <v>318</v>
      </c>
      <c r="N57" t="s">
        <v>1192</v>
      </c>
      <c r="R57" s="58" t="s">
        <v>421</v>
      </c>
      <c r="S57" s="25">
        <f t="shared" si="0"/>
        <v>0</v>
      </c>
      <c r="T57" s="25">
        <f t="shared" si="3"/>
        <v>1</v>
      </c>
      <c r="V57" s="25">
        <f t="shared" si="2"/>
        <v>1</v>
      </c>
      <c r="W57" s="46">
        <v>97062</v>
      </c>
      <c r="X57" s="50" t="s">
        <v>650</v>
      </c>
    </row>
    <row r="58" spans="1:24" x14ac:dyDescent="0.25">
      <c r="A58" s="25">
        <v>52</v>
      </c>
      <c r="B58" s="59" t="str">
        <f ca="1">IFERROR(IF('ZIPs &amp; FIPs'!$H$7&lt;&gt;"",IF(AND('ZIPs &amp; FIPs'!$F$7="County",ISNA(ROW(INDEX(INDIRECT("K"&amp;B57+1):$M$500,MATCH('ZIPs &amp; FIPs'!$H$7,INDIRECT("L"&amp;B57+1):$L$500,0),2)))=FALSE),ROW(INDEX(INDIRECT("K"&amp;B57+1):$M$500,MATCH('ZIPs &amp; FIPs'!$H$7,INDIRECT("L"&amp;B57+1):$L$500,0),2)),IF(AND('ZIPs &amp; FIPs'!$F$7="City",ISNA(ROW(INDEX(INDIRECT("K"&amp;B57+1):$M$500,MATCH('ZIPs &amp; FIPs'!$H$7,INDIRECT("K"&amp;B57+1):$K$500,0),1)))=FALSE),ROW(INDEX(INDIRECT("K"&amp;B57+1):$M$500,MATCH('ZIPs &amp; FIPs'!$H$7,INDIRECT("K"&amp;B57+1):$K$500,0),1)),"")),""),"")</f>
        <v/>
      </c>
      <c r="C58" s="59" t="str">
        <f ca="1">IF(B58&lt;&gt;"",IF('ZIPs &amp; FIPs'!$H$7&lt;&gt;"",IF(AND('ZIPs &amp; FIPs'!$F$7="County",ISNA(INDEX(INDIRECT("K"&amp;B58):$M$500,MATCH('ZIPs &amp; FIPs'!$H$7,INDIRECT("L"&amp;B58):$L$500,0),3))=FALSE),INDEX(INDIRECT("K"&amp;B58):$M$500,MATCH('ZIPs &amp; FIPs'!$H$7,INDIRECT("L"&amp;B58):$L$500,0),3),IF(AND('ZIPs &amp; FIPs'!$F$7="City",ISNA(INDEX(INDIRECT("K"&amp;B58):$M$500,MATCH('ZIPs &amp; FIPs'!$H$7,INDIRECT("K"&amp;B58):$K$500,0),3))=FALSE),INDEX(INDIRECT("K"&amp;B58):$M$500,MATCH('ZIPs &amp; FIPs'!$H$7,INDIRECT("K"&amp;B58):$K$500,0),3),""))),"")</f>
        <v/>
      </c>
      <c r="D58" s="59" t="str">
        <f ca="1">IF(B58&lt;&gt;"",IF('ZIPs &amp; FIPs'!$H$7&lt;&gt;"",IF(AND('ZIPs &amp; FIPs'!$F$7="County",ISNA(INDEX(INDIRECT("J"&amp;B58):$M$500,MATCH('ZIPs &amp; FIPs'!$H$7,INDIRECT("L"&amp;B58):$L$500,0),1))=FALSE),INDEX(INDIRECT("J"&amp;B58):$M$500,MATCH('ZIPs &amp; FIPs'!$H$7,INDIRECT("L"&amp;B58):$L$500,0),1),IF(AND('ZIPs &amp; FIPs'!$F$7="City",ISNA(INDEX(INDIRECT("J"&amp;B58):$M$500,MATCH('ZIPs &amp; FIPs'!$H$7,INDIRECT("K"&amp;B58):$K$500,0),1))=FALSE),INDEX(INDIRECT("J"&amp;B58):$M$500,MATCH('ZIPs &amp; FIPs'!$H$7,INDIRECT("K"&amp;B58):$K$500,0),1),""))),"")</f>
        <v/>
      </c>
      <c r="E58" s="59" t="str">
        <f ca="1">IF(B58&lt;&gt;"",IF('ZIPs &amp; FIPs'!$H$7&lt;&gt;"",IF(AND('ZIPs &amp; FIPs'!$F$7="County",ISNA(INDEX(INDIRECT("K"&amp;B58):$M$500,MATCH('ZIPs &amp; FIPs'!$H$7,INDIRECT("L"&amp;B58):$L$500,0),1))=FALSE),INDEX(INDIRECT("K"&amp;B58):$M$500,MATCH('ZIPs &amp; FIPs'!$H$7,INDIRECT("L"&amp;B58):$L$500,0),1),IF(AND('ZIPs &amp; FIPs'!$F$7="City",ISNA(INDEX(INDIRECT("K"&amp;B58):$M$500,MATCH('ZIPs &amp; FIPs'!$H$7,INDIRECT("K"&amp;B58):$K$500,0),1))=FALSE),INDEX(INDIRECT("K"&amp;B58):$M$500,MATCH('ZIPs &amp; FIPs'!$H$7,INDIRECT("K"&amp;B58):$K$500,0),1),""))),"")</f>
        <v/>
      </c>
      <c r="F58" s="59" t="str">
        <f ca="1">IF(B58&lt;&gt;"",IF('ZIPs &amp; FIPs'!$H$7&lt;&gt;"",IF(AND('ZIPs &amp; FIPs'!$F$7="County",ISNA(INDEX(INDIRECT("K"&amp;B58):$M$500,MATCH('ZIPs &amp; FIPs'!$H$7,INDIRECT("L"&amp;B58):$L$500,0),2))=FALSE),INDEX(INDIRECT("K"&amp;B58):$M$500,MATCH('ZIPs &amp; FIPs'!$H$7,INDIRECT("L"&amp;B58):$L$500,0),2),IF(AND('ZIPs &amp; FIPs'!$F$7="City",ISNA(INDEX(INDIRECT("K"&amp;B58):$M$500,MATCH('ZIPs &amp; FIPs'!$H$7,INDIRECT("K"&amp;B58):$K$500,0),2))=FALSE),INDEX(INDIRECT("K"&amp;B58):$M$500,MATCH('ZIPs &amp; FIPs'!$H$7,INDIRECT("K"&amp;B58):$K$500,0),2),""))),"")</f>
        <v/>
      </c>
      <c r="J58" s="46">
        <v>97103</v>
      </c>
      <c r="K58" s="50" t="s">
        <v>73</v>
      </c>
      <c r="L58" s="32" t="s">
        <v>75</v>
      </c>
      <c r="M58" s="26" t="s">
        <v>318</v>
      </c>
      <c r="N58" t="s">
        <v>1192</v>
      </c>
      <c r="R58" s="58" t="s">
        <v>665</v>
      </c>
      <c r="S58" s="25">
        <f t="shared" si="0"/>
        <v>0</v>
      </c>
      <c r="T58" s="25">
        <f t="shared" si="3"/>
        <v>1</v>
      </c>
      <c r="V58" s="25">
        <f t="shared" si="2"/>
        <v>1</v>
      </c>
      <c r="W58" s="46">
        <v>97063</v>
      </c>
      <c r="X58" s="50" t="s">
        <v>649</v>
      </c>
    </row>
    <row r="59" spans="1:24" x14ac:dyDescent="0.25">
      <c r="A59" s="25">
        <v>53</v>
      </c>
      <c r="B59" s="59" t="str">
        <f ca="1">IFERROR(IF('ZIPs &amp; FIPs'!$H$7&lt;&gt;"",IF(AND('ZIPs &amp; FIPs'!$F$7="County",ISNA(ROW(INDEX(INDIRECT("K"&amp;B58+1):$M$500,MATCH('ZIPs &amp; FIPs'!$H$7,INDIRECT("L"&amp;B58+1):$L$500,0),2)))=FALSE),ROW(INDEX(INDIRECT("K"&amp;B58+1):$M$500,MATCH('ZIPs &amp; FIPs'!$H$7,INDIRECT("L"&amp;B58+1):$L$500,0),2)),IF(AND('ZIPs &amp; FIPs'!$F$7="City",ISNA(ROW(INDEX(INDIRECT("K"&amp;B58+1):$M$500,MATCH('ZIPs &amp; FIPs'!$H$7,INDIRECT("K"&amp;B58+1):$K$500,0),1)))=FALSE),ROW(INDEX(INDIRECT("K"&amp;B58+1):$M$500,MATCH('ZIPs &amp; FIPs'!$H$7,INDIRECT("K"&amp;B58+1):$K$500,0),1)),"")),""),"")</f>
        <v/>
      </c>
      <c r="C59" s="59" t="str">
        <f ca="1">IF(B59&lt;&gt;"",IF('ZIPs &amp; FIPs'!$H$7&lt;&gt;"",IF(AND('ZIPs &amp; FIPs'!$F$7="County",ISNA(INDEX(INDIRECT("K"&amp;B59):$M$500,MATCH('ZIPs &amp; FIPs'!$H$7,INDIRECT("L"&amp;B59):$L$500,0),3))=FALSE),INDEX(INDIRECT("K"&amp;B59):$M$500,MATCH('ZIPs &amp; FIPs'!$H$7,INDIRECT("L"&amp;B59):$L$500,0),3),IF(AND('ZIPs &amp; FIPs'!$F$7="City",ISNA(INDEX(INDIRECT("K"&amp;B59):$M$500,MATCH('ZIPs &amp; FIPs'!$H$7,INDIRECT("K"&amp;B59):$K$500,0),3))=FALSE),INDEX(INDIRECT("K"&amp;B59):$M$500,MATCH('ZIPs &amp; FIPs'!$H$7,INDIRECT("K"&amp;B59):$K$500,0),3),""))),"")</f>
        <v/>
      </c>
      <c r="D59" s="59" t="str">
        <f ca="1">IF(B59&lt;&gt;"",IF('ZIPs &amp; FIPs'!$H$7&lt;&gt;"",IF(AND('ZIPs &amp; FIPs'!$F$7="County",ISNA(INDEX(INDIRECT("J"&amp;B59):$M$500,MATCH('ZIPs &amp; FIPs'!$H$7,INDIRECT("L"&amp;B59):$L$500,0),1))=FALSE),INDEX(INDIRECT("J"&amp;B59):$M$500,MATCH('ZIPs &amp; FIPs'!$H$7,INDIRECT("L"&amp;B59):$L$500,0),1),IF(AND('ZIPs &amp; FIPs'!$F$7="City",ISNA(INDEX(INDIRECT("J"&amp;B59):$M$500,MATCH('ZIPs &amp; FIPs'!$H$7,INDIRECT("K"&amp;B59):$K$500,0),1))=FALSE),INDEX(INDIRECT("J"&amp;B59):$M$500,MATCH('ZIPs &amp; FIPs'!$H$7,INDIRECT("K"&amp;B59):$K$500,0),1),""))),"")</f>
        <v/>
      </c>
      <c r="E59" s="59" t="str">
        <f ca="1">IF(B59&lt;&gt;"",IF('ZIPs &amp; FIPs'!$H$7&lt;&gt;"",IF(AND('ZIPs &amp; FIPs'!$F$7="County",ISNA(INDEX(INDIRECT("K"&amp;B59):$M$500,MATCH('ZIPs &amp; FIPs'!$H$7,INDIRECT("L"&amp;B59):$L$500,0),1))=FALSE),INDEX(INDIRECT("K"&amp;B59):$M$500,MATCH('ZIPs &amp; FIPs'!$H$7,INDIRECT("L"&amp;B59):$L$500,0),1),IF(AND('ZIPs &amp; FIPs'!$F$7="City",ISNA(INDEX(INDIRECT("K"&amp;B59):$M$500,MATCH('ZIPs &amp; FIPs'!$H$7,INDIRECT("K"&amp;B59):$K$500,0),1))=FALSE),INDEX(INDIRECT("K"&amp;B59):$M$500,MATCH('ZIPs &amp; FIPs'!$H$7,INDIRECT("K"&amp;B59):$K$500,0),1),""))),"")</f>
        <v/>
      </c>
      <c r="F59" s="59" t="str">
        <f ca="1">IF(B59&lt;&gt;"",IF('ZIPs &amp; FIPs'!$H$7&lt;&gt;"",IF(AND('ZIPs &amp; FIPs'!$F$7="County",ISNA(INDEX(INDIRECT("K"&amp;B59):$M$500,MATCH('ZIPs &amp; FIPs'!$H$7,INDIRECT("L"&amp;B59):$L$500,0),2))=FALSE),INDEX(INDIRECT("K"&amp;B59):$M$500,MATCH('ZIPs &amp; FIPs'!$H$7,INDIRECT("L"&amp;B59):$L$500,0),2),IF(AND('ZIPs &amp; FIPs'!$F$7="City",ISNA(INDEX(INDIRECT("K"&amp;B59):$M$500,MATCH('ZIPs &amp; FIPs'!$H$7,INDIRECT("K"&amp;B59):$K$500,0),2))=FALSE),INDEX(INDIRECT("K"&amp;B59):$M$500,MATCH('ZIPs &amp; FIPs'!$H$7,INDIRECT("K"&amp;B59):$K$500,0),2),""))),"")</f>
        <v/>
      </c>
      <c r="J59" s="46">
        <v>97110</v>
      </c>
      <c r="K59" s="50" t="s">
        <v>386</v>
      </c>
      <c r="L59" s="32" t="s">
        <v>75</v>
      </c>
      <c r="M59" s="26" t="s">
        <v>318</v>
      </c>
      <c r="N59" t="s">
        <v>1192</v>
      </c>
      <c r="R59" s="58" t="s">
        <v>463</v>
      </c>
      <c r="S59" s="25">
        <f t="shared" si="0"/>
        <v>0</v>
      </c>
      <c r="T59" s="25">
        <f t="shared" si="3"/>
        <v>1</v>
      </c>
      <c r="V59" s="25">
        <f t="shared" si="2"/>
        <v>1</v>
      </c>
      <c r="W59" s="46">
        <v>97064</v>
      </c>
      <c r="X59" s="50" t="s">
        <v>397</v>
      </c>
    </row>
    <row r="60" spans="1:24" x14ac:dyDescent="0.25">
      <c r="A60" s="25">
        <v>54</v>
      </c>
      <c r="B60" s="59" t="str">
        <f ca="1">IFERROR(IF('ZIPs &amp; FIPs'!$H$7&lt;&gt;"",IF(AND('ZIPs &amp; FIPs'!$F$7="County",ISNA(ROW(INDEX(INDIRECT("K"&amp;B59+1):$M$500,MATCH('ZIPs &amp; FIPs'!$H$7,INDIRECT("L"&amp;B59+1):$L$500,0),2)))=FALSE),ROW(INDEX(INDIRECT("K"&amp;B59+1):$M$500,MATCH('ZIPs &amp; FIPs'!$H$7,INDIRECT("L"&amp;B59+1):$L$500,0),2)),IF(AND('ZIPs &amp; FIPs'!$F$7="City",ISNA(ROW(INDEX(INDIRECT("K"&amp;B59+1):$M$500,MATCH('ZIPs &amp; FIPs'!$H$7,INDIRECT("K"&amp;B59+1):$K$500,0),1)))=FALSE),ROW(INDEX(INDIRECT("K"&amp;B59+1):$M$500,MATCH('ZIPs &amp; FIPs'!$H$7,INDIRECT("K"&amp;B59+1):$K$500,0),1)),"")),""),"")</f>
        <v/>
      </c>
      <c r="C60" s="59" t="str">
        <f ca="1">IF(B60&lt;&gt;"",IF('ZIPs &amp; FIPs'!$H$7&lt;&gt;"",IF(AND('ZIPs &amp; FIPs'!$F$7="County",ISNA(INDEX(INDIRECT("K"&amp;B60):$M$500,MATCH('ZIPs &amp; FIPs'!$H$7,INDIRECT("L"&amp;B60):$L$500,0),3))=FALSE),INDEX(INDIRECT("K"&amp;B60):$M$500,MATCH('ZIPs &amp; FIPs'!$H$7,INDIRECT("L"&amp;B60):$L$500,0),3),IF(AND('ZIPs &amp; FIPs'!$F$7="City",ISNA(INDEX(INDIRECT("K"&amp;B60):$M$500,MATCH('ZIPs &amp; FIPs'!$H$7,INDIRECT("K"&amp;B60):$K$500,0),3))=FALSE),INDEX(INDIRECT("K"&amp;B60):$M$500,MATCH('ZIPs &amp; FIPs'!$H$7,INDIRECT("K"&amp;B60):$K$500,0),3),""))),"")</f>
        <v/>
      </c>
      <c r="D60" s="59" t="str">
        <f ca="1">IF(B60&lt;&gt;"",IF('ZIPs &amp; FIPs'!$H$7&lt;&gt;"",IF(AND('ZIPs &amp; FIPs'!$F$7="County",ISNA(INDEX(INDIRECT("J"&amp;B60):$M$500,MATCH('ZIPs &amp; FIPs'!$H$7,INDIRECT("L"&amp;B60):$L$500,0),1))=FALSE),INDEX(INDIRECT("J"&amp;B60):$M$500,MATCH('ZIPs &amp; FIPs'!$H$7,INDIRECT("L"&amp;B60):$L$500,0),1),IF(AND('ZIPs &amp; FIPs'!$F$7="City",ISNA(INDEX(INDIRECT("J"&amp;B60):$M$500,MATCH('ZIPs &amp; FIPs'!$H$7,INDIRECT("K"&amp;B60):$K$500,0),1))=FALSE),INDEX(INDIRECT("J"&amp;B60):$M$500,MATCH('ZIPs &amp; FIPs'!$H$7,INDIRECT("K"&amp;B60):$K$500,0),1),""))),"")</f>
        <v/>
      </c>
      <c r="E60" s="59" t="str">
        <f ca="1">IF(B60&lt;&gt;"",IF('ZIPs &amp; FIPs'!$H$7&lt;&gt;"",IF(AND('ZIPs &amp; FIPs'!$F$7="County",ISNA(INDEX(INDIRECT("K"&amp;B60):$M$500,MATCH('ZIPs &amp; FIPs'!$H$7,INDIRECT("L"&amp;B60):$L$500,0),1))=FALSE),INDEX(INDIRECT("K"&amp;B60):$M$500,MATCH('ZIPs &amp; FIPs'!$H$7,INDIRECT("L"&amp;B60):$L$500,0),1),IF(AND('ZIPs &amp; FIPs'!$F$7="City",ISNA(INDEX(INDIRECT("K"&amp;B60):$M$500,MATCH('ZIPs &amp; FIPs'!$H$7,INDIRECT("K"&amp;B60):$K$500,0),1))=FALSE),INDEX(INDIRECT("K"&amp;B60):$M$500,MATCH('ZIPs &amp; FIPs'!$H$7,INDIRECT("K"&amp;B60):$K$500,0),1),""))),"")</f>
        <v/>
      </c>
      <c r="F60" s="59" t="str">
        <f ca="1">IF(B60&lt;&gt;"",IF('ZIPs &amp; FIPs'!$H$7&lt;&gt;"",IF(AND('ZIPs &amp; FIPs'!$F$7="County",ISNA(INDEX(INDIRECT("K"&amp;B60):$M$500,MATCH('ZIPs &amp; FIPs'!$H$7,INDIRECT("L"&amp;B60):$L$500,0),2))=FALSE),INDEX(INDIRECT("K"&amp;B60):$M$500,MATCH('ZIPs &amp; FIPs'!$H$7,INDIRECT("L"&amp;B60):$L$500,0),2),IF(AND('ZIPs &amp; FIPs'!$F$7="City",ISNA(INDEX(INDIRECT("K"&amp;B60):$M$500,MATCH('ZIPs &amp; FIPs'!$H$7,INDIRECT("K"&amp;B60):$K$500,0),2))=FALSE),INDEX(INDIRECT("K"&amp;B60):$M$500,MATCH('ZIPs &amp; FIPs'!$H$7,INDIRECT("K"&amp;B60):$K$500,0),2),""))),"")</f>
        <v/>
      </c>
      <c r="J60" s="46">
        <v>97121</v>
      </c>
      <c r="K60" s="50" t="s">
        <v>387</v>
      </c>
      <c r="L60" s="32" t="s">
        <v>75</v>
      </c>
      <c r="M60" s="26" t="s">
        <v>318</v>
      </c>
      <c r="N60" t="s">
        <v>1192</v>
      </c>
      <c r="R60" s="58" t="s">
        <v>557</v>
      </c>
      <c r="S60" s="25">
        <f t="shared" si="0"/>
        <v>0</v>
      </c>
      <c r="T60" s="25">
        <f t="shared" si="3"/>
        <v>1</v>
      </c>
      <c r="V60" s="25">
        <f t="shared" si="2"/>
        <v>1</v>
      </c>
      <c r="W60" s="46">
        <v>97065</v>
      </c>
      <c r="X60" s="50" t="s">
        <v>189</v>
      </c>
    </row>
    <row r="61" spans="1:24" x14ac:dyDescent="0.25">
      <c r="A61" s="25">
        <v>55</v>
      </c>
      <c r="B61" s="59" t="str">
        <f ca="1">IFERROR(IF('ZIPs &amp; FIPs'!$H$7&lt;&gt;"",IF(AND('ZIPs &amp; FIPs'!$F$7="County",ISNA(ROW(INDEX(INDIRECT("K"&amp;B60+1):$M$500,MATCH('ZIPs &amp; FIPs'!$H$7,INDIRECT("L"&amp;B60+1):$L$500,0),2)))=FALSE),ROW(INDEX(INDIRECT("K"&amp;B60+1):$M$500,MATCH('ZIPs &amp; FIPs'!$H$7,INDIRECT("L"&amp;B60+1):$L$500,0),2)),IF(AND('ZIPs &amp; FIPs'!$F$7="City",ISNA(ROW(INDEX(INDIRECT("K"&amp;B60+1):$M$500,MATCH('ZIPs &amp; FIPs'!$H$7,INDIRECT("K"&amp;B60+1):$K$500,0),1)))=FALSE),ROW(INDEX(INDIRECT("K"&amp;B60+1):$M$500,MATCH('ZIPs &amp; FIPs'!$H$7,INDIRECT("K"&amp;B60+1):$K$500,0),1)),"")),""),"")</f>
        <v/>
      </c>
      <c r="C61" s="59" t="str">
        <f ca="1">IF(B61&lt;&gt;"",IF('ZIPs &amp; FIPs'!$H$7&lt;&gt;"",IF(AND('ZIPs &amp; FIPs'!$F$7="County",ISNA(INDEX(INDIRECT("K"&amp;B61):$M$500,MATCH('ZIPs &amp; FIPs'!$H$7,INDIRECT("L"&amp;B61):$L$500,0),3))=FALSE),INDEX(INDIRECT("K"&amp;B61):$M$500,MATCH('ZIPs &amp; FIPs'!$H$7,INDIRECT("L"&amp;B61):$L$500,0),3),IF(AND('ZIPs &amp; FIPs'!$F$7="City",ISNA(INDEX(INDIRECT("K"&amp;B61):$M$500,MATCH('ZIPs &amp; FIPs'!$H$7,INDIRECT("K"&amp;B61):$K$500,0),3))=FALSE),INDEX(INDIRECT("K"&amp;B61):$M$500,MATCH('ZIPs &amp; FIPs'!$H$7,INDIRECT("K"&amp;B61):$K$500,0),3),""))),"")</f>
        <v/>
      </c>
      <c r="D61" s="59" t="str">
        <f ca="1">IF(B61&lt;&gt;"",IF('ZIPs &amp; FIPs'!$H$7&lt;&gt;"",IF(AND('ZIPs &amp; FIPs'!$F$7="County",ISNA(INDEX(INDIRECT("J"&amp;B61):$M$500,MATCH('ZIPs &amp; FIPs'!$H$7,INDIRECT("L"&amp;B61):$L$500,0),1))=FALSE),INDEX(INDIRECT("J"&amp;B61):$M$500,MATCH('ZIPs &amp; FIPs'!$H$7,INDIRECT("L"&amp;B61):$L$500,0),1),IF(AND('ZIPs &amp; FIPs'!$F$7="City",ISNA(INDEX(INDIRECT("J"&amp;B61):$M$500,MATCH('ZIPs &amp; FIPs'!$H$7,INDIRECT("K"&amp;B61):$K$500,0),1))=FALSE),INDEX(INDIRECT("J"&amp;B61):$M$500,MATCH('ZIPs &amp; FIPs'!$H$7,INDIRECT("K"&amp;B61):$K$500,0),1),""))),"")</f>
        <v/>
      </c>
      <c r="E61" s="59" t="str">
        <f ca="1">IF(B61&lt;&gt;"",IF('ZIPs &amp; FIPs'!$H$7&lt;&gt;"",IF(AND('ZIPs &amp; FIPs'!$F$7="County",ISNA(INDEX(INDIRECT("K"&amp;B61):$M$500,MATCH('ZIPs &amp; FIPs'!$H$7,INDIRECT("L"&amp;B61):$L$500,0),1))=FALSE),INDEX(INDIRECT("K"&amp;B61):$M$500,MATCH('ZIPs &amp; FIPs'!$H$7,INDIRECT("L"&amp;B61):$L$500,0),1),IF(AND('ZIPs &amp; FIPs'!$F$7="City",ISNA(INDEX(INDIRECT("K"&amp;B61):$M$500,MATCH('ZIPs &amp; FIPs'!$H$7,INDIRECT("K"&amp;B61):$K$500,0),1))=FALSE),INDEX(INDIRECT("K"&amp;B61):$M$500,MATCH('ZIPs &amp; FIPs'!$H$7,INDIRECT("K"&amp;B61):$K$500,0),1),""))),"")</f>
        <v/>
      </c>
      <c r="F61" s="59" t="str">
        <f ca="1">IF(B61&lt;&gt;"",IF('ZIPs &amp; FIPs'!$H$7&lt;&gt;"",IF(AND('ZIPs &amp; FIPs'!$F$7="County",ISNA(INDEX(INDIRECT("K"&amp;B61):$M$500,MATCH('ZIPs &amp; FIPs'!$H$7,INDIRECT("L"&amp;B61):$L$500,0),2))=FALSE),INDEX(INDIRECT("K"&amp;B61):$M$500,MATCH('ZIPs &amp; FIPs'!$H$7,INDIRECT("L"&amp;B61):$L$500,0),2),IF(AND('ZIPs &amp; FIPs'!$F$7="City",ISNA(INDEX(INDIRECT("K"&amp;B61):$M$500,MATCH('ZIPs &amp; FIPs'!$H$7,INDIRECT("K"&amp;B61):$K$500,0),2))=FALSE),INDEX(INDIRECT("K"&amp;B61):$M$500,MATCH('ZIPs &amp; FIPs'!$H$7,INDIRECT("K"&amp;B61):$K$500,0),2),""))),"")</f>
        <v/>
      </c>
      <c r="J61" s="46">
        <v>97138</v>
      </c>
      <c r="K61" s="50" t="s">
        <v>388</v>
      </c>
      <c r="L61" s="32" t="s">
        <v>75</v>
      </c>
      <c r="M61" s="26" t="s">
        <v>318</v>
      </c>
      <c r="N61" t="s">
        <v>1192</v>
      </c>
      <c r="R61" s="58" t="s">
        <v>185</v>
      </c>
      <c r="S61" s="25">
        <f t="shared" si="0"/>
        <v>0</v>
      </c>
      <c r="T61" s="25">
        <f t="shared" si="3"/>
        <v>1</v>
      </c>
      <c r="V61" s="25">
        <f t="shared" si="2"/>
        <v>1</v>
      </c>
      <c r="W61" s="46">
        <v>97067</v>
      </c>
      <c r="X61" s="50" t="s">
        <v>382</v>
      </c>
    </row>
    <row r="62" spans="1:24" x14ac:dyDescent="0.25">
      <c r="A62" s="25">
        <v>56</v>
      </c>
      <c r="B62" s="59" t="str">
        <f ca="1">IFERROR(IF('ZIPs &amp; FIPs'!$H$7&lt;&gt;"",IF(AND('ZIPs &amp; FIPs'!$F$7="County",ISNA(ROW(INDEX(INDIRECT("K"&amp;B61+1):$M$500,MATCH('ZIPs &amp; FIPs'!$H$7,INDIRECT("L"&amp;B61+1):$L$500,0),2)))=FALSE),ROW(INDEX(INDIRECT("K"&amp;B61+1):$M$500,MATCH('ZIPs &amp; FIPs'!$H$7,INDIRECT("L"&amp;B61+1):$L$500,0),2)),IF(AND('ZIPs &amp; FIPs'!$F$7="City",ISNA(ROW(INDEX(INDIRECT("K"&amp;B61+1):$M$500,MATCH('ZIPs &amp; FIPs'!$H$7,INDIRECT("K"&amp;B61+1):$K$500,0),1)))=FALSE),ROW(INDEX(INDIRECT("K"&amp;B61+1):$M$500,MATCH('ZIPs &amp; FIPs'!$H$7,INDIRECT("K"&amp;B61+1):$K$500,0),1)),"")),""),"")</f>
        <v/>
      </c>
      <c r="C62" s="59" t="str">
        <f ca="1">IF(B62&lt;&gt;"",IF('ZIPs &amp; FIPs'!$H$7&lt;&gt;"",IF(AND('ZIPs &amp; FIPs'!$F$7="County",ISNA(INDEX(INDIRECT("K"&amp;B62):$M$500,MATCH('ZIPs &amp; FIPs'!$H$7,INDIRECT("L"&amp;B62):$L$500,0),3))=FALSE),INDEX(INDIRECT("K"&amp;B62):$M$500,MATCH('ZIPs &amp; FIPs'!$H$7,INDIRECT("L"&amp;B62):$L$500,0),3),IF(AND('ZIPs &amp; FIPs'!$F$7="City",ISNA(INDEX(INDIRECT("K"&amp;B62):$M$500,MATCH('ZIPs &amp; FIPs'!$H$7,INDIRECT("K"&amp;B62):$K$500,0),3))=FALSE),INDEX(INDIRECT("K"&amp;B62):$M$500,MATCH('ZIPs &amp; FIPs'!$H$7,INDIRECT("K"&amp;B62):$K$500,0),3),""))),"")</f>
        <v/>
      </c>
      <c r="D62" s="59" t="str">
        <f ca="1">IF(B62&lt;&gt;"",IF('ZIPs &amp; FIPs'!$H$7&lt;&gt;"",IF(AND('ZIPs &amp; FIPs'!$F$7="County",ISNA(INDEX(INDIRECT("J"&amp;B62):$M$500,MATCH('ZIPs &amp; FIPs'!$H$7,INDIRECT("L"&amp;B62):$L$500,0),1))=FALSE),INDEX(INDIRECT("J"&amp;B62):$M$500,MATCH('ZIPs &amp; FIPs'!$H$7,INDIRECT("L"&amp;B62):$L$500,0),1),IF(AND('ZIPs &amp; FIPs'!$F$7="City",ISNA(INDEX(INDIRECT("J"&amp;B62):$M$500,MATCH('ZIPs &amp; FIPs'!$H$7,INDIRECT("K"&amp;B62):$K$500,0),1))=FALSE),INDEX(INDIRECT("J"&amp;B62):$M$500,MATCH('ZIPs &amp; FIPs'!$H$7,INDIRECT("K"&amp;B62):$K$500,0),1),""))),"")</f>
        <v/>
      </c>
      <c r="E62" s="59" t="str">
        <f ca="1">IF(B62&lt;&gt;"",IF('ZIPs &amp; FIPs'!$H$7&lt;&gt;"",IF(AND('ZIPs &amp; FIPs'!$F$7="County",ISNA(INDEX(INDIRECT("K"&amp;B62):$M$500,MATCH('ZIPs &amp; FIPs'!$H$7,INDIRECT("L"&amp;B62):$L$500,0),1))=FALSE),INDEX(INDIRECT("K"&amp;B62):$M$500,MATCH('ZIPs &amp; FIPs'!$H$7,INDIRECT("L"&amp;B62):$L$500,0),1),IF(AND('ZIPs &amp; FIPs'!$F$7="City",ISNA(INDEX(INDIRECT("K"&amp;B62):$M$500,MATCH('ZIPs &amp; FIPs'!$H$7,INDIRECT("K"&amp;B62):$K$500,0),1))=FALSE),INDEX(INDIRECT("K"&amp;B62):$M$500,MATCH('ZIPs &amp; FIPs'!$H$7,INDIRECT("K"&amp;B62):$K$500,0),1),""))),"")</f>
        <v/>
      </c>
      <c r="F62" s="59" t="str">
        <f ca="1">IF(B62&lt;&gt;"",IF('ZIPs &amp; FIPs'!$H$7&lt;&gt;"",IF(AND('ZIPs &amp; FIPs'!$F$7="County",ISNA(INDEX(INDIRECT("K"&amp;B62):$M$500,MATCH('ZIPs &amp; FIPs'!$H$7,INDIRECT("L"&amp;B62):$L$500,0),2))=FALSE),INDEX(INDIRECT("K"&amp;B62):$M$500,MATCH('ZIPs &amp; FIPs'!$H$7,INDIRECT("L"&amp;B62):$L$500,0),2),IF(AND('ZIPs &amp; FIPs'!$F$7="City",ISNA(INDEX(INDIRECT("K"&amp;B62):$M$500,MATCH('ZIPs &amp; FIPs'!$H$7,INDIRECT("K"&amp;B62):$K$500,0),2))=FALSE),INDEX(INDIRECT("K"&amp;B62):$M$500,MATCH('ZIPs &amp; FIPs'!$H$7,INDIRECT("K"&amp;B62):$K$500,0),2),""))),"")</f>
        <v/>
      </c>
      <c r="J62" s="46">
        <v>97145</v>
      </c>
      <c r="K62" s="50" t="s">
        <v>389</v>
      </c>
      <c r="L62" s="32" t="s">
        <v>75</v>
      </c>
      <c r="M62" s="26" t="s">
        <v>318</v>
      </c>
      <c r="N62" t="s">
        <v>1192</v>
      </c>
      <c r="R62" s="58" t="s">
        <v>466</v>
      </c>
      <c r="S62" s="25">
        <f t="shared" si="0"/>
        <v>0</v>
      </c>
      <c r="T62" s="25">
        <f t="shared" si="3"/>
        <v>1</v>
      </c>
      <c r="V62" s="25">
        <f t="shared" si="2"/>
        <v>1</v>
      </c>
      <c r="W62" s="46">
        <v>97068</v>
      </c>
      <c r="X62" s="50" t="s">
        <v>383</v>
      </c>
    </row>
    <row r="63" spans="1:24" x14ac:dyDescent="0.25">
      <c r="A63" s="25">
        <v>57</v>
      </c>
      <c r="B63" s="59" t="str">
        <f ca="1">IFERROR(IF('ZIPs &amp; FIPs'!$H$7&lt;&gt;"",IF(AND('ZIPs &amp; FIPs'!$F$7="County",ISNA(ROW(INDEX(INDIRECT("K"&amp;B62+1):$M$500,MATCH('ZIPs &amp; FIPs'!$H$7,INDIRECT("L"&amp;B62+1):$L$500,0),2)))=FALSE),ROW(INDEX(INDIRECT("K"&amp;B62+1):$M$500,MATCH('ZIPs &amp; FIPs'!$H$7,INDIRECT("L"&amp;B62+1):$L$500,0),2)),IF(AND('ZIPs &amp; FIPs'!$F$7="City",ISNA(ROW(INDEX(INDIRECT("K"&amp;B62+1):$M$500,MATCH('ZIPs &amp; FIPs'!$H$7,INDIRECT("K"&amp;B62+1):$K$500,0),1)))=FALSE),ROW(INDEX(INDIRECT("K"&amp;B62+1):$M$500,MATCH('ZIPs &amp; FIPs'!$H$7,INDIRECT("K"&amp;B62+1):$K$500,0),1)),"")),""),"")</f>
        <v/>
      </c>
      <c r="C63" s="59" t="str">
        <f ca="1">IF(B63&lt;&gt;"",IF('ZIPs &amp; FIPs'!$H$7&lt;&gt;"",IF(AND('ZIPs &amp; FIPs'!$F$7="County",ISNA(INDEX(INDIRECT("K"&amp;B63):$M$500,MATCH('ZIPs &amp; FIPs'!$H$7,INDIRECT("L"&amp;B63):$L$500,0),3))=FALSE),INDEX(INDIRECT("K"&amp;B63):$M$500,MATCH('ZIPs &amp; FIPs'!$H$7,INDIRECT("L"&amp;B63):$L$500,0),3),IF(AND('ZIPs &amp; FIPs'!$F$7="City",ISNA(INDEX(INDIRECT("K"&amp;B63):$M$500,MATCH('ZIPs &amp; FIPs'!$H$7,INDIRECT("K"&amp;B63):$K$500,0),3))=FALSE),INDEX(INDIRECT("K"&amp;B63):$M$500,MATCH('ZIPs &amp; FIPs'!$H$7,INDIRECT("K"&amp;B63):$K$500,0),3),""))),"")</f>
        <v/>
      </c>
      <c r="D63" s="59" t="str">
        <f ca="1">IF(B63&lt;&gt;"",IF('ZIPs &amp; FIPs'!$H$7&lt;&gt;"",IF(AND('ZIPs &amp; FIPs'!$F$7="County",ISNA(INDEX(INDIRECT("J"&amp;B63):$M$500,MATCH('ZIPs &amp; FIPs'!$H$7,INDIRECT("L"&amp;B63):$L$500,0),1))=FALSE),INDEX(INDIRECT("J"&amp;B63):$M$500,MATCH('ZIPs &amp; FIPs'!$H$7,INDIRECT("L"&amp;B63):$L$500,0),1),IF(AND('ZIPs &amp; FIPs'!$F$7="City",ISNA(INDEX(INDIRECT("J"&amp;B63):$M$500,MATCH('ZIPs &amp; FIPs'!$H$7,INDIRECT("K"&amp;B63):$K$500,0),1))=FALSE),INDEX(INDIRECT("J"&amp;B63):$M$500,MATCH('ZIPs &amp; FIPs'!$H$7,INDIRECT("K"&amp;B63):$K$500,0),1),""))),"")</f>
        <v/>
      </c>
      <c r="E63" s="59" t="str">
        <f ca="1">IF(B63&lt;&gt;"",IF('ZIPs &amp; FIPs'!$H$7&lt;&gt;"",IF(AND('ZIPs &amp; FIPs'!$F$7="County",ISNA(INDEX(INDIRECT("K"&amp;B63):$M$500,MATCH('ZIPs &amp; FIPs'!$H$7,INDIRECT("L"&amp;B63):$L$500,0),1))=FALSE),INDEX(INDIRECT("K"&amp;B63):$M$500,MATCH('ZIPs &amp; FIPs'!$H$7,INDIRECT("L"&amp;B63):$L$500,0),1),IF(AND('ZIPs &amp; FIPs'!$F$7="City",ISNA(INDEX(INDIRECT("K"&amp;B63):$M$500,MATCH('ZIPs &amp; FIPs'!$H$7,INDIRECT("K"&amp;B63):$K$500,0),1))=FALSE),INDEX(INDIRECT("K"&amp;B63):$M$500,MATCH('ZIPs &amp; FIPs'!$H$7,INDIRECT("K"&amp;B63):$K$500,0),1),""))),"")</f>
        <v/>
      </c>
      <c r="F63" s="59" t="str">
        <f ca="1">IF(B63&lt;&gt;"",IF('ZIPs &amp; FIPs'!$H$7&lt;&gt;"",IF(AND('ZIPs &amp; FIPs'!$F$7="County",ISNA(INDEX(INDIRECT("K"&amp;B63):$M$500,MATCH('ZIPs &amp; FIPs'!$H$7,INDIRECT("L"&amp;B63):$L$500,0),2))=FALSE),INDEX(INDIRECT("K"&amp;B63):$M$500,MATCH('ZIPs &amp; FIPs'!$H$7,INDIRECT("L"&amp;B63):$L$500,0),2),IF(AND('ZIPs &amp; FIPs'!$F$7="City",ISNA(INDEX(INDIRECT("K"&amp;B63):$M$500,MATCH('ZIPs &amp; FIPs'!$H$7,INDIRECT("K"&amp;B63):$K$500,0),2))=FALSE),INDEX(INDIRECT("K"&amp;B63):$M$500,MATCH('ZIPs &amp; FIPs'!$H$7,INDIRECT("K"&amp;B63):$K$500,0),2),""))),"")</f>
        <v/>
      </c>
      <c r="J63" s="46">
        <v>97146</v>
      </c>
      <c r="K63" s="50" t="s">
        <v>82</v>
      </c>
      <c r="L63" s="32" t="s">
        <v>75</v>
      </c>
      <c r="M63" s="26" t="s">
        <v>318</v>
      </c>
      <c r="N63" t="s">
        <v>1192</v>
      </c>
      <c r="R63" s="58" t="s">
        <v>502</v>
      </c>
      <c r="S63" s="25">
        <f t="shared" si="0"/>
        <v>0</v>
      </c>
      <c r="T63" s="25">
        <f t="shared" si="3"/>
        <v>1</v>
      </c>
      <c r="V63" s="25">
        <f t="shared" si="2"/>
        <v>1</v>
      </c>
      <c r="W63" s="46">
        <v>97070</v>
      </c>
      <c r="X63" s="50" t="s">
        <v>384</v>
      </c>
    </row>
    <row r="64" spans="1:24" x14ac:dyDescent="0.25">
      <c r="A64" s="25">
        <v>58</v>
      </c>
      <c r="B64" s="59" t="str">
        <f ca="1">IFERROR(IF('ZIPs &amp; FIPs'!$H$7&lt;&gt;"",IF(AND('ZIPs &amp; FIPs'!$F$7="County",ISNA(ROW(INDEX(INDIRECT("K"&amp;B63+1):$M$500,MATCH('ZIPs &amp; FIPs'!$H$7,INDIRECT("L"&amp;B63+1):$L$500,0),2)))=FALSE),ROW(INDEX(INDIRECT("K"&amp;B63+1):$M$500,MATCH('ZIPs &amp; FIPs'!$H$7,INDIRECT("L"&amp;B63+1):$L$500,0),2)),IF(AND('ZIPs &amp; FIPs'!$F$7="City",ISNA(ROW(INDEX(INDIRECT("K"&amp;B63+1):$M$500,MATCH('ZIPs &amp; FIPs'!$H$7,INDIRECT("K"&amp;B63+1):$K$500,0),1)))=FALSE),ROW(INDEX(INDIRECT("K"&amp;B63+1):$M$500,MATCH('ZIPs &amp; FIPs'!$H$7,INDIRECT("K"&amp;B63+1):$K$500,0),1)),"")),""),"")</f>
        <v/>
      </c>
      <c r="C64" s="59" t="str">
        <f ca="1">IF(B64&lt;&gt;"",IF('ZIPs &amp; FIPs'!$H$7&lt;&gt;"",IF(AND('ZIPs &amp; FIPs'!$F$7="County",ISNA(INDEX(INDIRECT("K"&amp;B64):$M$500,MATCH('ZIPs &amp; FIPs'!$H$7,INDIRECT("L"&amp;B64):$L$500,0),3))=FALSE),INDEX(INDIRECT("K"&amp;B64):$M$500,MATCH('ZIPs &amp; FIPs'!$H$7,INDIRECT("L"&amp;B64):$L$500,0),3),IF(AND('ZIPs &amp; FIPs'!$F$7="City",ISNA(INDEX(INDIRECT("K"&amp;B64):$M$500,MATCH('ZIPs &amp; FIPs'!$H$7,INDIRECT("K"&amp;B64):$K$500,0),3))=FALSE),INDEX(INDIRECT("K"&amp;B64):$M$500,MATCH('ZIPs &amp; FIPs'!$H$7,INDIRECT("K"&amp;B64):$K$500,0),3),""))),"")</f>
        <v/>
      </c>
      <c r="D64" s="59" t="str">
        <f ca="1">IF(B64&lt;&gt;"",IF('ZIPs &amp; FIPs'!$H$7&lt;&gt;"",IF(AND('ZIPs &amp; FIPs'!$F$7="County",ISNA(INDEX(INDIRECT("J"&amp;B64):$M$500,MATCH('ZIPs &amp; FIPs'!$H$7,INDIRECT("L"&amp;B64):$L$500,0),1))=FALSE),INDEX(INDIRECT("J"&amp;B64):$M$500,MATCH('ZIPs &amp; FIPs'!$H$7,INDIRECT("L"&amp;B64):$L$500,0),1),IF(AND('ZIPs &amp; FIPs'!$F$7="City",ISNA(INDEX(INDIRECT("J"&amp;B64):$M$500,MATCH('ZIPs &amp; FIPs'!$H$7,INDIRECT("K"&amp;B64):$K$500,0),1))=FALSE),INDEX(INDIRECT("J"&amp;B64):$M$500,MATCH('ZIPs &amp; FIPs'!$H$7,INDIRECT("K"&amp;B64):$K$500,0),1),""))),"")</f>
        <v/>
      </c>
      <c r="E64" s="59" t="str">
        <f ca="1">IF(B64&lt;&gt;"",IF('ZIPs &amp; FIPs'!$H$7&lt;&gt;"",IF(AND('ZIPs &amp; FIPs'!$F$7="County",ISNA(INDEX(INDIRECT("K"&amp;B64):$M$500,MATCH('ZIPs &amp; FIPs'!$H$7,INDIRECT("L"&amp;B64):$L$500,0),1))=FALSE),INDEX(INDIRECT("K"&amp;B64):$M$500,MATCH('ZIPs &amp; FIPs'!$H$7,INDIRECT("L"&amp;B64):$L$500,0),1),IF(AND('ZIPs &amp; FIPs'!$F$7="City",ISNA(INDEX(INDIRECT("K"&amp;B64):$M$500,MATCH('ZIPs &amp; FIPs'!$H$7,INDIRECT("K"&amp;B64):$K$500,0),1))=FALSE),INDEX(INDIRECT("K"&amp;B64):$M$500,MATCH('ZIPs &amp; FIPs'!$H$7,INDIRECT("K"&amp;B64):$K$500,0),1),""))),"")</f>
        <v/>
      </c>
      <c r="F64" s="59" t="str">
        <f ca="1">IF(B64&lt;&gt;"",IF('ZIPs &amp; FIPs'!$H$7&lt;&gt;"",IF(AND('ZIPs &amp; FIPs'!$F$7="County",ISNA(INDEX(INDIRECT("K"&amp;B64):$M$500,MATCH('ZIPs &amp; FIPs'!$H$7,INDIRECT("L"&amp;B64):$L$500,0),2))=FALSE),INDEX(INDIRECT("K"&amp;B64):$M$500,MATCH('ZIPs &amp; FIPs'!$H$7,INDIRECT("L"&amp;B64):$L$500,0),2),IF(AND('ZIPs &amp; FIPs'!$F$7="City",ISNA(INDEX(INDIRECT("K"&amp;B64):$M$500,MATCH('ZIPs &amp; FIPs'!$H$7,INDIRECT("K"&amp;B64):$K$500,0),2))=FALSE),INDEX(INDIRECT("K"&amp;B64):$M$500,MATCH('ZIPs &amp; FIPs'!$H$7,INDIRECT("K"&amp;B64):$K$500,0),2),""))),"")</f>
        <v/>
      </c>
      <c r="J64" s="46">
        <v>97016</v>
      </c>
      <c r="K64" s="50" t="s">
        <v>390</v>
      </c>
      <c r="L64" s="32" t="s">
        <v>88</v>
      </c>
      <c r="M64" s="26" t="s">
        <v>319</v>
      </c>
      <c r="N64" t="s">
        <v>1192</v>
      </c>
      <c r="R64" s="58" t="s">
        <v>516</v>
      </c>
      <c r="S64" s="25">
        <f t="shared" si="0"/>
        <v>0</v>
      </c>
      <c r="T64" s="25">
        <f t="shared" si="3"/>
        <v>1</v>
      </c>
      <c r="V64" s="25">
        <f t="shared" si="2"/>
        <v>1</v>
      </c>
      <c r="W64" s="46">
        <v>97071</v>
      </c>
      <c r="X64" s="50" t="s">
        <v>110</v>
      </c>
    </row>
    <row r="65" spans="1:24" x14ac:dyDescent="0.25">
      <c r="A65" s="25">
        <v>59</v>
      </c>
      <c r="B65" s="59" t="str">
        <f ca="1">IFERROR(IF('ZIPs &amp; FIPs'!$H$7&lt;&gt;"",IF(AND('ZIPs &amp; FIPs'!$F$7="County",ISNA(ROW(INDEX(INDIRECT("K"&amp;B64+1):$M$500,MATCH('ZIPs &amp; FIPs'!$H$7,INDIRECT("L"&amp;B64+1):$L$500,0),2)))=FALSE),ROW(INDEX(INDIRECT("K"&amp;B64+1):$M$500,MATCH('ZIPs &amp; FIPs'!$H$7,INDIRECT("L"&amp;B64+1):$L$500,0),2)),IF(AND('ZIPs &amp; FIPs'!$F$7="City",ISNA(ROW(INDEX(INDIRECT("K"&amp;B64+1):$M$500,MATCH('ZIPs &amp; FIPs'!$H$7,INDIRECT("K"&amp;B64+1):$K$500,0),1)))=FALSE),ROW(INDEX(INDIRECT("K"&amp;B64+1):$M$500,MATCH('ZIPs &amp; FIPs'!$H$7,INDIRECT("K"&amp;B64+1):$K$500,0),1)),"")),""),"")</f>
        <v/>
      </c>
      <c r="C65" s="59" t="str">
        <f ca="1">IF(B65&lt;&gt;"",IF('ZIPs &amp; FIPs'!$H$7&lt;&gt;"",IF(AND('ZIPs &amp; FIPs'!$F$7="County",ISNA(INDEX(INDIRECT("K"&amp;B65):$M$500,MATCH('ZIPs &amp; FIPs'!$H$7,INDIRECT("L"&amp;B65):$L$500,0),3))=FALSE),INDEX(INDIRECT("K"&amp;B65):$M$500,MATCH('ZIPs &amp; FIPs'!$H$7,INDIRECT("L"&amp;B65):$L$500,0),3),IF(AND('ZIPs &amp; FIPs'!$F$7="City",ISNA(INDEX(INDIRECT("K"&amp;B65):$M$500,MATCH('ZIPs &amp; FIPs'!$H$7,INDIRECT("K"&amp;B65):$K$500,0),3))=FALSE),INDEX(INDIRECT("K"&amp;B65):$M$500,MATCH('ZIPs &amp; FIPs'!$H$7,INDIRECT("K"&amp;B65):$K$500,0),3),""))),"")</f>
        <v/>
      </c>
      <c r="D65" s="59" t="str">
        <f ca="1">IF(B65&lt;&gt;"",IF('ZIPs &amp; FIPs'!$H$7&lt;&gt;"",IF(AND('ZIPs &amp; FIPs'!$F$7="County",ISNA(INDEX(INDIRECT("J"&amp;B65):$M$500,MATCH('ZIPs &amp; FIPs'!$H$7,INDIRECT("L"&amp;B65):$L$500,0),1))=FALSE),INDEX(INDIRECT("J"&amp;B65):$M$500,MATCH('ZIPs &amp; FIPs'!$H$7,INDIRECT("L"&amp;B65):$L$500,0),1),IF(AND('ZIPs &amp; FIPs'!$F$7="City",ISNA(INDEX(INDIRECT("J"&amp;B65):$M$500,MATCH('ZIPs &amp; FIPs'!$H$7,INDIRECT("K"&amp;B65):$K$500,0),1))=FALSE),INDEX(INDIRECT("J"&amp;B65):$M$500,MATCH('ZIPs &amp; FIPs'!$H$7,INDIRECT("K"&amp;B65):$K$500,0),1),""))),"")</f>
        <v/>
      </c>
      <c r="E65" s="59" t="str">
        <f ca="1">IF(B65&lt;&gt;"",IF('ZIPs &amp; FIPs'!$H$7&lt;&gt;"",IF(AND('ZIPs &amp; FIPs'!$F$7="County",ISNA(INDEX(INDIRECT("K"&amp;B65):$M$500,MATCH('ZIPs &amp; FIPs'!$H$7,INDIRECT("L"&amp;B65):$L$500,0),1))=FALSE),INDEX(INDIRECT("K"&amp;B65):$M$500,MATCH('ZIPs &amp; FIPs'!$H$7,INDIRECT("L"&amp;B65):$L$500,0),1),IF(AND('ZIPs &amp; FIPs'!$F$7="City",ISNA(INDEX(INDIRECT("K"&amp;B65):$M$500,MATCH('ZIPs &amp; FIPs'!$H$7,INDIRECT("K"&amp;B65):$K$500,0),1))=FALSE),INDEX(INDIRECT("K"&amp;B65):$M$500,MATCH('ZIPs &amp; FIPs'!$H$7,INDIRECT("K"&amp;B65):$K$500,0),1),""))),"")</f>
        <v/>
      </c>
      <c r="F65" s="59" t="str">
        <f ca="1">IF(B65&lt;&gt;"",IF('ZIPs &amp; FIPs'!$H$7&lt;&gt;"",IF(AND('ZIPs &amp; FIPs'!$F$7="County",ISNA(INDEX(INDIRECT("K"&amp;B65):$M$500,MATCH('ZIPs &amp; FIPs'!$H$7,INDIRECT("L"&amp;B65):$L$500,0),2))=FALSE),INDEX(INDIRECT("K"&amp;B65):$M$500,MATCH('ZIPs &amp; FIPs'!$H$7,INDIRECT("L"&amp;B65):$L$500,0),2),IF(AND('ZIPs &amp; FIPs'!$F$7="City",ISNA(INDEX(INDIRECT("K"&amp;B65):$M$500,MATCH('ZIPs &amp; FIPs'!$H$7,INDIRECT("K"&amp;B65):$K$500,0),2))=FALSE),INDEX(INDIRECT("K"&amp;B65):$M$500,MATCH('ZIPs &amp; FIPs'!$H$7,INDIRECT("K"&amp;B65):$K$500,0),2),""))),"")</f>
        <v/>
      </c>
      <c r="J65" s="46">
        <v>97018</v>
      </c>
      <c r="K65" s="50" t="s">
        <v>391</v>
      </c>
      <c r="L65" s="32" t="s">
        <v>88</v>
      </c>
      <c r="M65" s="26" t="s">
        <v>319</v>
      </c>
      <c r="N65" t="s">
        <v>1192</v>
      </c>
      <c r="R65" s="58" t="s">
        <v>494</v>
      </c>
      <c r="S65" s="25">
        <f t="shared" si="0"/>
        <v>0</v>
      </c>
      <c r="T65" s="25">
        <f t="shared" si="3"/>
        <v>1</v>
      </c>
      <c r="V65" s="25">
        <f t="shared" si="2"/>
        <v>1</v>
      </c>
      <c r="W65" s="46">
        <v>97075</v>
      </c>
      <c r="X65" s="50" t="s">
        <v>274</v>
      </c>
    </row>
    <row r="66" spans="1:24" x14ac:dyDescent="0.25">
      <c r="A66" s="25">
        <v>60</v>
      </c>
      <c r="B66" s="59" t="str">
        <f ca="1">IFERROR(IF('ZIPs &amp; FIPs'!$H$7&lt;&gt;"",IF(AND('ZIPs &amp; FIPs'!$F$7="County",ISNA(ROW(INDEX(INDIRECT("K"&amp;B65+1):$M$500,MATCH('ZIPs &amp; FIPs'!$H$7,INDIRECT("L"&amp;B65+1):$L$500,0),2)))=FALSE),ROW(INDEX(INDIRECT("K"&amp;B65+1):$M$500,MATCH('ZIPs &amp; FIPs'!$H$7,INDIRECT("L"&amp;B65+1):$L$500,0),2)),IF(AND('ZIPs &amp; FIPs'!$F$7="City",ISNA(ROW(INDEX(INDIRECT("K"&amp;B65+1):$M$500,MATCH('ZIPs &amp; FIPs'!$H$7,INDIRECT("K"&amp;B65+1):$K$500,0),1)))=FALSE),ROW(INDEX(INDIRECT("K"&amp;B65+1):$M$500,MATCH('ZIPs &amp; FIPs'!$H$7,INDIRECT("K"&amp;B65+1):$K$500,0),1)),"")),""),"")</f>
        <v/>
      </c>
      <c r="C66" s="59" t="str">
        <f ca="1">IF(B66&lt;&gt;"",IF('ZIPs &amp; FIPs'!$H$7&lt;&gt;"",IF(AND('ZIPs &amp; FIPs'!$F$7="County",ISNA(INDEX(INDIRECT("K"&amp;B66):$M$500,MATCH('ZIPs &amp; FIPs'!$H$7,INDIRECT("L"&amp;B66):$L$500,0),3))=FALSE),INDEX(INDIRECT("K"&amp;B66):$M$500,MATCH('ZIPs &amp; FIPs'!$H$7,INDIRECT("L"&amp;B66):$L$500,0),3),IF(AND('ZIPs &amp; FIPs'!$F$7="City",ISNA(INDEX(INDIRECT("K"&amp;B66):$M$500,MATCH('ZIPs &amp; FIPs'!$H$7,INDIRECT("K"&amp;B66):$K$500,0),3))=FALSE),INDEX(INDIRECT("K"&amp;B66):$M$500,MATCH('ZIPs &amp; FIPs'!$H$7,INDIRECT("K"&amp;B66):$K$500,0),3),""))),"")</f>
        <v/>
      </c>
      <c r="D66" s="59" t="str">
        <f ca="1">IF(B66&lt;&gt;"",IF('ZIPs &amp; FIPs'!$H$7&lt;&gt;"",IF(AND('ZIPs &amp; FIPs'!$F$7="County",ISNA(INDEX(INDIRECT("J"&amp;B66):$M$500,MATCH('ZIPs &amp; FIPs'!$H$7,INDIRECT("L"&amp;B66):$L$500,0),1))=FALSE),INDEX(INDIRECT("J"&amp;B66):$M$500,MATCH('ZIPs &amp; FIPs'!$H$7,INDIRECT("L"&amp;B66):$L$500,0),1),IF(AND('ZIPs &amp; FIPs'!$F$7="City",ISNA(INDEX(INDIRECT("J"&amp;B66):$M$500,MATCH('ZIPs &amp; FIPs'!$H$7,INDIRECT("K"&amp;B66):$K$500,0),1))=FALSE),INDEX(INDIRECT("J"&amp;B66):$M$500,MATCH('ZIPs &amp; FIPs'!$H$7,INDIRECT("K"&amp;B66):$K$500,0),1),""))),"")</f>
        <v/>
      </c>
      <c r="E66" s="59" t="str">
        <f ca="1">IF(B66&lt;&gt;"",IF('ZIPs &amp; FIPs'!$H$7&lt;&gt;"",IF(AND('ZIPs &amp; FIPs'!$F$7="County",ISNA(INDEX(INDIRECT("K"&amp;B66):$M$500,MATCH('ZIPs &amp; FIPs'!$H$7,INDIRECT("L"&amp;B66):$L$500,0),1))=FALSE),INDEX(INDIRECT("K"&amp;B66):$M$500,MATCH('ZIPs &amp; FIPs'!$H$7,INDIRECT("L"&amp;B66):$L$500,0),1),IF(AND('ZIPs &amp; FIPs'!$F$7="City",ISNA(INDEX(INDIRECT("K"&amp;B66):$M$500,MATCH('ZIPs &amp; FIPs'!$H$7,INDIRECT("K"&amp;B66):$K$500,0),1))=FALSE),INDEX(INDIRECT("K"&amp;B66):$M$500,MATCH('ZIPs &amp; FIPs'!$H$7,INDIRECT("K"&amp;B66):$K$500,0),1),""))),"")</f>
        <v/>
      </c>
      <c r="F66" s="59" t="str">
        <f ca="1">IF(B66&lt;&gt;"",IF('ZIPs &amp; FIPs'!$H$7&lt;&gt;"",IF(AND('ZIPs &amp; FIPs'!$F$7="County",ISNA(INDEX(INDIRECT("K"&amp;B66):$M$500,MATCH('ZIPs &amp; FIPs'!$H$7,INDIRECT("L"&amp;B66):$L$500,0),2))=FALSE),INDEX(INDIRECT("K"&amp;B66):$M$500,MATCH('ZIPs &amp; FIPs'!$H$7,INDIRECT("L"&amp;B66):$L$500,0),2),IF(AND('ZIPs &amp; FIPs'!$F$7="City",ISNA(INDEX(INDIRECT("K"&amp;B66):$M$500,MATCH('ZIPs &amp; FIPs'!$H$7,INDIRECT("K"&amp;B66):$K$500,0),2))=FALSE),INDEX(INDIRECT("K"&amp;B66):$M$500,MATCH('ZIPs &amp; FIPs'!$H$7,INDIRECT("K"&amp;B66):$K$500,0),2),""))),"")</f>
        <v/>
      </c>
      <c r="J66" s="46">
        <v>97048</v>
      </c>
      <c r="K66" s="50" t="s">
        <v>392</v>
      </c>
      <c r="L66" s="32" t="s">
        <v>88</v>
      </c>
      <c r="M66" s="26" t="s">
        <v>319</v>
      </c>
      <c r="N66" t="s">
        <v>1192</v>
      </c>
      <c r="R66" s="58" t="s">
        <v>511</v>
      </c>
      <c r="S66" s="25">
        <f t="shared" si="0"/>
        <v>0</v>
      </c>
      <c r="T66" s="25">
        <f t="shared" si="3"/>
        <v>1</v>
      </c>
      <c r="V66" s="25">
        <f t="shared" si="2"/>
        <v>1</v>
      </c>
      <c r="W66" s="46">
        <v>97076</v>
      </c>
      <c r="X66" s="50" t="s">
        <v>274</v>
      </c>
    </row>
    <row r="67" spans="1:24" x14ac:dyDescent="0.25">
      <c r="A67" s="25">
        <v>61</v>
      </c>
      <c r="B67" s="59" t="str">
        <f ca="1">IFERROR(IF('ZIPs &amp; FIPs'!$H$7&lt;&gt;"",IF(AND('ZIPs &amp; FIPs'!$F$7="County",ISNA(ROW(INDEX(INDIRECT("K"&amp;B66+1):$M$500,MATCH('ZIPs &amp; FIPs'!$H$7,INDIRECT("L"&amp;B66+1):$L$500,0),2)))=FALSE),ROW(INDEX(INDIRECT("K"&amp;B66+1):$M$500,MATCH('ZIPs &amp; FIPs'!$H$7,INDIRECT("L"&amp;B66+1):$L$500,0),2)),IF(AND('ZIPs &amp; FIPs'!$F$7="City",ISNA(ROW(INDEX(INDIRECT("K"&amp;B66+1):$M$500,MATCH('ZIPs &amp; FIPs'!$H$7,INDIRECT("K"&amp;B66+1):$K$500,0),1)))=FALSE),ROW(INDEX(INDIRECT("K"&amp;B66+1):$M$500,MATCH('ZIPs &amp; FIPs'!$H$7,INDIRECT("K"&amp;B66+1):$K$500,0),1)),"")),""),"")</f>
        <v/>
      </c>
      <c r="C67" s="59" t="str">
        <f ca="1">IF(B67&lt;&gt;"",IF('ZIPs &amp; FIPs'!$H$7&lt;&gt;"",IF(AND('ZIPs &amp; FIPs'!$F$7="County",ISNA(INDEX(INDIRECT("K"&amp;B67):$M$500,MATCH('ZIPs &amp; FIPs'!$H$7,INDIRECT("L"&amp;B67):$L$500,0),3))=FALSE),INDEX(INDIRECT("K"&amp;B67):$M$500,MATCH('ZIPs &amp; FIPs'!$H$7,INDIRECT("L"&amp;B67):$L$500,0),3),IF(AND('ZIPs &amp; FIPs'!$F$7="City",ISNA(INDEX(INDIRECT("K"&amp;B67):$M$500,MATCH('ZIPs &amp; FIPs'!$H$7,INDIRECT("K"&amp;B67):$K$500,0),3))=FALSE),INDEX(INDIRECT("K"&amp;B67):$M$500,MATCH('ZIPs &amp; FIPs'!$H$7,INDIRECT("K"&amp;B67):$K$500,0),3),""))),"")</f>
        <v/>
      </c>
      <c r="D67" s="59" t="str">
        <f ca="1">IF(B67&lt;&gt;"",IF('ZIPs &amp; FIPs'!$H$7&lt;&gt;"",IF(AND('ZIPs &amp; FIPs'!$F$7="County",ISNA(INDEX(INDIRECT("J"&amp;B67):$M$500,MATCH('ZIPs &amp; FIPs'!$H$7,INDIRECT("L"&amp;B67):$L$500,0),1))=FALSE),INDEX(INDIRECT("J"&amp;B67):$M$500,MATCH('ZIPs &amp; FIPs'!$H$7,INDIRECT("L"&amp;B67):$L$500,0),1),IF(AND('ZIPs &amp; FIPs'!$F$7="City",ISNA(INDEX(INDIRECT("J"&amp;B67):$M$500,MATCH('ZIPs &amp; FIPs'!$H$7,INDIRECT("K"&amp;B67):$K$500,0),1))=FALSE),INDEX(INDIRECT("J"&amp;B67):$M$500,MATCH('ZIPs &amp; FIPs'!$H$7,INDIRECT("K"&amp;B67):$K$500,0),1),""))),"")</f>
        <v/>
      </c>
      <c r="E67" s="59" t="str">
        <f ca="1">IF(B67&lt;&gt;"",IF('ZIPs &amp; FIPs'!$H$7&lt;&gt;"",IF(AND('ZIPs &amp; FIPs'!$F$7="County",ISNA(INDEX(INDIRECT("K"&amp;B67):$M$500,MATCH('ZIPs &amp; FIPs'!$H$7,INDIRECT("L"&amp;B67):$L$500,0),1))=FALSE),INDEX(INDIRECT("K"&amp;B67):$M$500,MATCH('ZIPs &amp; FIPs'!$H$7,INDIRECT("L"&amp;B67):$L$500,0),1),IF(AND('ZIPs &amp; FIPs'!$F$7="City",ISNA(INDEX(INDIRECT("K"&amp;B67):$M$500,MATCH('ZIPs &amp; FIPs'!$H$7,INDIRECT("K"&amp;B67):$K$500,0),1))=FALSE),INDEX(INDIRECT("K"&amp;B67):$M$500,MATCH('ZIPs &amp; FIPs'!$H$7,INDIRECT("K"&amp;B67):$K$500,0),1),""))),"")</f>
        <v/>
      </c>
      <c r="F67" s="59" t="str">
        <f ca="1">IF(B67&lt;&gt;"",IF('ZIPs &amp; FIPs'!$H$7&lt;&gt;"",IF(AND('ZIPs &amp; FIPs'!$F$7="County",ISNA(INDEX(INDIRECT("K"&amp;B67):$M$500,MATCH('ZIPs &amp; FIPs'!$H$7,INDIRECT("L"&amp;B67):$L$500,0),2))=FALSE),INDEX(INDIRECT("K"&amp;B67):$M$500,MATCH('ZIPs &amp; FIPs'!$H$7,INDIRECT("L"&amp;B67):$L$500,0),2),IF(AND('ZIPs &amp; FIPs'!$F$7="City",ISNA(INDEX(INDIRECT("K"&amp;B67):$M$500,MATCH('ZIPs &amp; FIPs'!$H$7,INDIRECT("K"&amp;B67):$K$500,0),2))=FALSE),INDEX(INDIRECT("K"&amp;B67):$M$500,MATCH('ZIPs &amp; FIPs'!$H$7,INDIRECT("K"&amp;B67):$K$500,0),2),""))),"")</f>
        <v/>
      </c>
      <c r="J67" s="46">
        <v>97051</v>
      </c>
      <c r="K67" s="50" t="s">
        <v>393</v>
      </c>
      <c r="L67" s="32" t="s">
        <v>88</v>
      </c>
      <c r="M67" s="26" t="s">
        <v>319</v>
      </c>
      <c r="N67" t="s">
        <v>1192</v>
      </c>
      <c r="R67" s="58" t="s">
        <v>264</v>
      </c>
      <c r="S67" s="25">
        <f t="shared" si="0"/>
        <v>0</v>
      </c>
      <c r="T67" s="25">
        <f t="shared" si="3"/>
        <v>1</v>
      </c>
      <c r="V67" s="25">
        <f t="shared" si="2"/>
        <v>1</v>
      </c>
      <c r="W67" s="46">
        <v>97077</v>
      </c>
      <c r="X67" s="50" t="s">
        <v>274</v>
      </c>
    </row>
    <row r="68" spans="1:24" x14ac:dyDescent="0.25">
      <c r="A68" s="25">
        <v>62</v>
      </c>
      <c r="B68" s="59" t="str">
        <f ca="1">IFERROR(IF('ZIPs &amp; FIPs'!$H$7&lt;&gt;"",IF(AND('ZIPs &amp; FIPs'!$F$7="County",ISNA(ROW(INDEX(INDIRECT("K"&amp;B67+1):$M$500,MATCH('ZIPs &amp; FIPs'!$H$7,INDIRECT("L"&amp;B67+1):$L$500,0),2)))=FALSE),ROW(INDEX(INDIRECT("K"&amp;B67+1):$M$500,MATCH('ZIPs &amp; FIPs'!$H$7,INDIRECT("L"&amp;B67+1):$L$500,0),2)),IF(AND('ZIPs &amp; FIPs'!$F$7="City",ISNA(ROW(INDEX(INDIRECT("K"&amp;B67+1):$M$500,MATCH('ZIPs &amp; FIPs'!$H$7,INDIRECT("K"&amp;B67+1):$K$500,0),1)))=FALSE),ROW(INDEX(INDIRECT("K"&amp;B67+1):$M$500,MATCH('ZIPs &amp; FIPs'!$H$7,INDIRECT("K"&amp;B67+1):$K$500,0),1)),"")),""),"")</f>
        <v/>
      </c>
      <c r="C68" s="59" t="str">
        <f ca="1">IF(B68&lt;&gt;"",IF('ZIPs &amp; FIPs'!$H$7&lt;&gt;"",IF(AND('ZIPs &amp; FIPs'!$F$7="County",ISNA(INDEX(INDIRECT("K"&amp;B68):$M$500,MATCH('ZIPs &amp; FIPs'!$H$7,INDIRECT("L"&amp;B68):$L$500,0),3))=FALSE),INDEX(INDIRECT("K"&amp;B68):$M$500,MATCH('ZIPs &amp; FIPs'!$H$7,INDIRECT("L"&amp;B68):$L$500,0),3),IF(AND('ZIPs &amp; FIPs'!$F$7="City",ISNA(INDEX(INDIRECT("K"&amp;B68):$M$500,MATCH('ZIPs &amp; FIPs'!$H$7,INDIRECT("K"&amp;B68):$K$500,0),3))=FALSE),INDEX(INDIRECT("K"&amp;B68):$M$500,MATCH('ZIPs &amp; FIPs'!$H$7,INDIRECT("K"&amp;B68):$K$500,0),3),""))),"")</f>
        <v/>
      </c>
      <c r="D68" s="59" t="str">
        <f ca="1">IF(B68&lt;&gt;"",IF('ZIPs &amp; FIPs'!$H$7&lt;&gt;"",IF(AND('ZIPs &amp; FIPs'!$F$7="County",ISNA(INDEX(INDIRECT("J"&amp;B68):$M$500,MATCH('ZIPs &amp; FIPs'!$H$7,INDIRECT("L"&amp;B68):$L$500,0),1))=FALSE),INDEX(INDIRECT("J"&amp;B68):$M$500,MATCH('ZIPs &amp; FIPs'!$H$7,INDIRECT("L"&amp;B68):$L$500,0),1),IF(AND('ZIPs &amp; FIPs'!$F$7="City",ISNA(INDEX(INDIRECT("J"&amp;B68):$M$500,MATCH('ZIPs &amp; FIPs'!$H$7,INDIRECT("K"&amp;B68):$K$500,0),1))=FALSE),INDEX(INDIRECT("J"&amp;B68):$M$500,MATCH('ZIPs &amp; FIPs'!$H$7,INDIRECT("K"&amp;B68):$K$500,0),1),""))),"")</f>
        <v/>
      </c>
      <c r="E68" s="59" t="str">
        <f ca="1">IF(B68&lt;&gt;"",IF('ZIPs &amp; FIPs'!$H$7&lt;&gt;"",IF(AND('ZIPs &amp; FIPs'!$F$7="County",ISNA(INDEX(INDIRECT("K"&amp;B68):$M$500,MATCH('ZIPs &amp; FIPs'!$H$7,INDIRECT("L"&amp;B68):$L$500,0),1))=FALSE),INDEX(INDIRECT("K"&amp;B68):$M$500,MATCH('ZIPs &amp; FIPs'!$H$7,INDIRECT("L"&amp;B68):$L$500,0),1),IF(AND('ZIPs &amp; FIPs'!$F$7="City",ISNA(INDEX(INDIRECT("K"&amp;B68):$M$500,MATCH('ZIPs &amp; FIPs'!$H$7,INDIRECT("K"&amp;B68):$K$500,0),1))=FALSE),INDEX(INDIRECT("K"&amp;B68):$M$500,MATCH('ZIPs &amp; FIPs'!$H$7,INDIRECT("K"&amp;B68):$K$500,0),1),""))),"")</f>
        <v/>
      </c>
      <c r="F68" s="59" t="str">
        <f ca="1">IF(B68&lt;&gt;"",IF('ZIPs &amp; FIPs'!$H$7&lt;&gt;"",IF(AND('ZIPs &amp; FIPs'!$F$7="County",ISNA(INDEX(INDIRECT("K"&amp;B68):$M$500,MATCH('ZIPs &amp; FIPs'!$H$7,INDIRECT("L"&amp;B68):$L$500,0),2))=FALSE),INDEX(INDIRECT("K"&amp;B68):$M$500,MATCH('ZIPs &amp; FIPs'!$H$7,INDIRECT("L"&amp;B68):$L$500,0),2),IF(AND('ZIPs &amp; FIPs'!$F$7="City",ISNA(INDEX(INDIRECT("K"&amp;B68):$M$500,MATCH('ZIPs &amp; FIPs'!$H$7,INDIRECT("K"&amp;B68):$K$500,0),2))=FALSE),INDEX(INDIRECT("K"&amp;B68):$M$500,MATCH('ZIPs &amp; FIPs'!$H$7,INDIRECT("K"&amp;B68):$K$500,0),2),""))),"")</f>
        <v/>
      </c>
      <c r="J68" s="46">
        <v>97053</v>
      </c>
      <c r="K68" s="50" t="s">
        <v>394</v>
      </c>
      <c r="L68" s="32" t="s">
        <v>88</v>
      </c>
      <c r="M68" s="26" t="s">
        <v>319</v>
      </c>
      <c r="N68" t="s">
        <v>1192</v>
      </c>
      <c r="R68" s="58" t="s">
        <v>390</v>
      </c>
      <c r="S68" s="25">
        <f t="shared" ref="S68:S131" si="4">COUNTIF($L$12:$L$499,Q68)</f>
        <v>0</v>
      </c>
      <c r="T68" s="25">
        <f t="shared" ref="T68:T99" si="5">COUNTIF($K$12:$K$499,R68)</f>
        <v>1</v>
      </c>
      <c r="V68" s="25">
        <f t="shared" si="2"/>
        <v>1</v>
      </c>
      <c r="W68" s="46">
        <v>97078</v>
      </c>
      <c r="X68" s="50" t="s">
        <v>274</v>
      </c>
    </row>
    <row r="69" spans="1:24" x14ac:dyDescent="0.25">
      <c r="A69" s="25">
        <v>63</v>
      </c>
      <c r="B69" s="59" t="str">
        <f ca="1">IFERROR(IF('ZIPs &amp; FIPs'!$H$7&lt;&gt;"",IF(AND('ZIPs &amp; FIPs'!$F$7="County",ISNA(ROW(INDEX(INDIRECT("K"&amp;B68+1):$M$500,MATCH('ZIPs &amp; FIPs'!$H$7,INDIRECT("L"&amp;B68+1):$L$500,0),2)))=FALSE),ROW(INDEX(INDIRECT("K"&amp;B68+1):$M$500,MATCH('ZIPs &amp; FIPs'!$H$7,INDIRECT("L"&amp;B68+1):$L$500,0),2)),IF(AND('ZIPs &amp; FIPs'!$F$7="City",ISNA(ROW(INDEX(INDIRECT("K"&amp;B68+1):$M$500,MATCH('ZIPs &amp; FIPs'!$H$7,INDIRECT("K"&amp;B68+1):$K$500,0),1)))=FALSE),ROW(INDEX(INDIRECT("K"&amp;B68+1):$M$500,MATCH('ZIPs &amp; FIPs'!$H$7,INDIRECT("K"&amp;B68+1):$K$500,0),1)),"")),""),"")</f>
        <v/>
      </c>
      <c r="C69" s="59" t="str">
        <f ca="1">IF(B69&lt;&gt;"",IF('ZIPs &amp; FIPs'!$H$7&lt;&gt;"",IF(AND('ZIPs &amp; FIPs'!$F$7="County",ISNA(INDEX(INDIRECT("K"&amp;B69):$M$500,MATCH('ZIPs &amp; FIPs'!$H$7,INDIRECT("L"&amp;B69):$L$500,0),3))=FALSE),INDEX(INDIRECT("K"&amp;B69):$M$500,MATCH('ZIPs &amp; FIPs'!$H$7,INDIRECT("L"&amp;B69):$L$500,0),3),IF(AND('ZIPs &amp; FIPs'!$F$7="City",ISNA(INDEX(INDIRECT("K"&amp;B69):$M$500,MATCH('ZIPs &amp; FIPs'!$H$7,INDIRECT("K"&amp;B69):$K$500,0),3))=FALSE),INDEX(INDIRECT("K"&amp;B69):$M$500,MATCH('ZIPs &amp; FIPs'!$H$7,INDIRECT("K"&amp;B69):$K$500,0),3),""))),"")</f>
        <v/>
      </c>
      <c r="D69" s="59" t="str">
        <f ca="1">IF(B69&lt;&gt;"",IF('ZIPs &amp; FIPs'!$H$7&lt;&gt;"",IF(AND('ZIPs &amp; FIPs'!$F$7="County",ISNA(INDEX(INDIRECT("J"&amp;B69):$M$500,MATCH('ZIPs &amp; FIPs'!$H$7,INDIRECT("L"&amp;B69):$L$500,0),1))=FALSE),INDEX(INDIRECT("J"&amp;B69):$M$500,MATCH('ZIPs &amp; FIPs'!$H$7,INDIRECT("L"&amp;B69):$L$500,0),1),IF(AND('ZIPs &amp; FIPs'!$F$7="City",ISNA(INDEX(INDIRECT("J"&amp;B69):$M$500,MATCH('ZIPs &amp; FIPs'!$H$7,INDIRECT("K"&amp;B69):$K$500,0),1))=FALSE),INDEX(INDIRECT("J"&amp;B69):$M$500,MATCH('ZIPs &amp; FIPs'!$H$7,INDIRECT("K"&amp;B69):$K$500,0),1),""))),"")</f>
        <v/>
      </c>
      <c r="E69" s="59" t="str">
        <f ca="1">IF(B69&lt;&gt;"",IF('ZIPs &amp; FIPs'!$H$7&lt;&gt;"",IF(AND('ZIPs &amp; FIPs'!$F$7="County",ISNA(INDEX(INDIRECT("K"&amp;B69):$M$500,MATCH('ZIPs &amp; FIPs'!$H$7,INDIRECT("L"&amp;B69):$L$500,0),1))=FALSE),INDEX(INDIRECT("K"&amp;B69):$M$500,MATCH('ZIPs &amp; FIPs'!$H$7,INDIRECT("L"&amp;B69):$L$500,0),1),IF(AND('ZIPs &amp; FIPs'!$F$7="City",ISNA(INDEX(INDIRECT("K"&amp;B69):$M$500,MATCH('ZIPs &amp; FIPs'!$H$7,INDIRECT("K"&amp;B69):$K$500,0),1))=FALSE),INDEX(INDIRECT("K"&amp;B69):$M$500,MATCH('ZIPs &amp; FIPs'!$H$7,INDIRECT("K"&amp;B69):$K$500,0),1),""))),"")</f>
        <v/>
      </c>
      <c r="F69" s="59" t="str">
        <f ca="1">IF(B69&lt;&gt;"",IF('ZIPs &amp; FIPs'!$H$7&lt;&gt;"",IF(AND('ZIPs &amp; FIPs'!$F$7="County",ISNA(INDEX(INDIRECT("K"&amp;B69):$M$500,MATCH('ZIPs &amp; FIPs'!$H$7,INDIRECT("L"&amp;B69):$L$500,0),2))=FALSE),INDEX(INDIRECT("K"&amp;B69):$M$500,MATCH('ZIPs &amp; FIPs'!$H$7,INDIRECT("L"&amp;B69):$L$500,0),2),IF(AND('ZIPs &amp; FIPs'!$F$7="City",ISNA(INDEX(INDIRECT("K"&amp;B69):$M$500,MATCH('ZIPs &amp; FIPs'!$H$7,INDIRECT("K"&amp;B69):$K$500,0),2))=FALSE),INDEX(INDIRECT("K"&amp;B69):$M$500,MATCH('ZIPs &amp; FIPs'!$H$7,INDIRECT("K"&amp;B69):$K$500,0),2),""))),"")</f>
        <v/>
      </c>
      <c r="J69" s="46">
        <v>97054</v>
      </c>
      <c r="K69" s="50" t="s">
        <v>395</v>
      </c>
      <c r="L69" s="32" t="s">
        <v>88</v>
      </c>
      <c r="M69" s="26" t="s">
        <v>319</v>
      </c>
      <c r="N69" t="s">
        <v>1192</v>
      </c>
      <c r="R69" s="58" t="s">
        <v>617</v>
      </c>
      <c r="S69" s="25">
        <f t="shared" si="4"/>
        <v>0</v>
      </c>
      <c r="T69" s="25">
        <f t="shared" si="5"/>
        <v>1</v>
      </c>
      <c r="V69" s="25">
        <f t="shared" ref="V69:V132" si="6">COUNTIF($W$5:$W$485,W69)</f>
        <v>1</v>
      </c>
      <c r="W69" s="46">
        <v>97080</v>
      </c>
      <c r="X69" s="50" t="s">
        <v>306</v>
      </c>
    </row>
    <row r="70" spans="1:24" x14ac:dyDescent="0.25">
      <c r="A70" s="25">
        <v>64</v>
      </c>
      <c r="B70" s="59" t="str">
        <f ca="1">IFERROR(IF('ZIPs &amp; FIPs'!$H$7&lt;&gt;"",IF(AND('ZIPs &amp; FIPs'!$F$7="County",ISNA(ROW(INDEX(INDIRECT("K"&amp;B69+1):$M$500,MATCH('ZIPs &amp; FIPs'!$H$7,INDIRECT("L"&amp;B69+1):$L$500,0),2)))=FALSE),ROW(INDEX(INDIRECT("K"&amp;B69+1):$M$500,MATCH('ZIPs &amp; FIPs'!$H$7,INDIRECT("L"&amp;B69+1):$L$500,0),2)),IF(AND('ZIPs &amp; FIPs'!$F$7="City",ISNA(ROW(INDEX(INDIRECT("K"&amp;B69+1):$M$500,MATCH('ZIPs &amp; FIPs'!$H$7,INDIRECT("K"&amp;B69+1):$K$500,0),1)))=FALSE),ROW(INDEX(INDIRECT("K"&amp;B69+1):$M$500,MATCH('ZIPs &amp; FIPs'!$H$7,INDIRECT("K"&amp;B69+1):$K$500,0),1)),"")),""),"")</f>
        <v/>
      </c>
      <c r="C70" s="59" t="str">
        <f ca="1">IF(B70&lt;&gt;"",IF('ZIPs &amp; FIPs'!$H$7&lt;&gt;"",IF(AND('ZIPs &amp; FIPs'!$F$7="County",ISNA(INDEX(INDIRECT("K"&amp;B70):$M$500,MATCH('ZIPs &amp; FIPs'!$H$7,INDIRECT("L"&amp;B70):$L$500,0),3))=FALSE),INDEX(INDIRECT("K"&amp;B70):$M$500,MATCH('ZIPs &amp; FIPs'!$H$7,INDIRECT("L"&amp;B70):$L$500,0),3),IF(AND('ZIPs &amp; FIPs'!$F$7="City",ISNA(INDEX(INDIRECT("K"&amp;B70):$M$500,MATCH('ZIPs &amp; FIPs'!$H$7,INDIRECT("K"&amp;B70):$K$500,0),3))=FALSE),INDEX(INDIRECT("K"&amp;B70):$M$500,MATCH('ZIPs &amp; FIPs'!$H$7,INDIRECT("K"&amp;B70):$K$500,0),3),""))),"")</f>
        <v/>
      </c>
      <c r="D70" s="59" t="str">
        <f ca="1">IF(B70&lt;&gt;"",IF('ZIPs &amp; FIPs'!$H$7&lt;&gt;"",IF(AND('ZIPs &amp; FIPs'!$F$7="County",ISNA(INDEX(INDIRECT("J"&amp;B70):$M$500,MATCH('ZIPs &amp; FIPs'!$H$7,INDIRECT("L"&amp;B70):$L$500,0),1))=FALSE),INDEX(INDIRECT("J"&amp;B70):$M$500,MATCH('ZIPs &amp; FIPs'!$H$7,INDIRECT("L"&amp;B70):$L$500,0),1),IF(AND('ZIPs &amp; FIPs'!$F$7="City",ISNA(INDEX(INDIRECT("J"&amp;B70):$M$500,MATCH('ZIPs &amp; FIPs'!$H$7,INDIRECT("K"&amp;B70):$K$500,0),1))=FALSE),INDEX(INDIRECT("J"&amp;B70):$M$500,MATCH('ZIPs &amp; FIPs'!$H$7,INDIRECT("K"&amp;B70):$K$500,0),1),""))),"")</f>
        <v/>
      </c>
      <c r="E70" s="59" t="str">
        <f ca="1">IF(B70&lt;&gt;"",IF('ZIPs &amp; FIPs'!$H$7&lt;&gt;"",IF(AND('ZIPs &amp; FIPs'!$F$7="County",ISNA(INDEX(INDIRECT("K"&amp;B70):$M$500,MATCH('ZIPs &amp; FIPs'!$H$7,INDIRECT("L"&amp;B70):$L$500,0),1))=FALSE),INDEX(INDIRECT("K"&amp;B70):$M$500,MATCH('ZIPs &amp; FIPs'!$H$7,INDIRECT("L"&amp;B70):$L$500,0),1),IF(AND('ZIPs &amp; FIPs'!$F$7="City",ISNA(INDEX(INDIRECT("K"&amp;B70):$M$500,MATCH('ZIPs &amp; FIPs'!$H$7,INDIRECT("K"&amp;B70):$K$500,0),1))=FALSE),INDEX(INDIRECT("K"&amp;B70):$M$500,MATCH('ZIPs &amp; FIPs'!$H$7,INDIRECT("K"&amp;B70):$K$500,0),1),""))),"")</f>
        <v/>
      </c>
      <c r="F70" s="59" t="str">
        <f ca="1">IF(B70&lt;&gt;"",IF('ZIPs &amp; FIPs'!$H$7&lt;&gt;"",IF(AND('ZIPs &amp; FIPs'!$F$7="County",ISNA(INDEX(INDIRECT("K"&amp;B70):$M$500,MATCH('ZIPs &amp; FIPs'!$H$7,INDIRECT("L"&amp;B70):$L$500,0),2))=FALSE),INDEX(INDIRECT("K"&amp;B70):$M$500,MATCH('ZIPs &amp; FIPs'!$H$7,INDIRECT("L"&amp;B70):$L$500,0),2),IF(AND('ZIPs &amp; FIPs'!$F$7="City",ISNA(INDEX(INDIRECT("K"&amp;B70):$M$500,MATCH('ZIPs &amp; FIPs'!$H$7,INDIRECT("K"&amp;B70):$K$500,0),2))=FALSE),INDEX(INDIRECT("K"&amp;B70):$M$500,MATCH('ZIPs &amp; FIPs'!$H$7,INDIRECT("K"&amp;B70):$K$500,0),2),""))),"")</f>
        <v/>
      </c>
      <c r="J70" s="46">
        <v>97056</v>
      </c>
      <c r="K70" s="50" t="s">
        <v>396</v>
      </c>
      <c r="L70" s="32" t="s">
        <v>88</v>
      </c>
      <c r="M70" s="26" t="s">
        <v>319</v>
      </c>
      <c r="N70" t="s">
        <v>1192</v>
      </c>
      <c r="R70" s="58" t="s">
        <v>365</v>
      </c>
      <c r="S70" s="25">
        <f t="shared" si="4"/>
        <v>0</v>
      </c>
      <c r="T70" s="25">
        <f t="shared" si="5"/>
        <v>1</v>
      </c>
      <c r="U70" s="29"/>
      <c r="V70" s="25">
        <f t="shared" si="6"/>
        <v>1</v>
      </c>
      <c r="W70" s="46">
        <v>97086</v>
      </c>
      <c r="X70" s="50" t="s">
        <v>722</v>
      </c>
    </row>
    <row r="71" spans="1:24" x14ac:dyDescent="0.25">
      <c r="D71" s="72"/>
      <c r="E71" s="72"/>
      <c r="F71" s="72"/>
      <c r="J71" s="46">
        <v>97064</v>
      </c>
      <c r="K71" s="50" t="s">
        <v>397</v>
      </c>
      <c r="L71" s="32" t="s">
        <v>88</v>
      </c>
      <c r="M71" s="26" t="s">
        <v>319</v>
      </c>
      <c r="N71" t="s">
        <v>1192</v>
      </c>
      <c r="R71" s="58" t="s">
        <v>391</v>
      </c>
      <c r="S71" s="25">
        <f t="shared" si="4"/>
        <v>0</v>
      </c>
      <c r="T71" s="25">
        <f t="shared" si="5"/>
        <v>1</v>
      </c>
      <c r="V71" s="25">
        <f t="shared" si="6"/>
        <v>1</v>
      </c>
      <c r="W71" s="46">
        <v>97101</v>
      </c>
      <c r="X71" s="50" t="s">
        <v>664</v>
      </c>
    </row>
    <row r="72" spans="1:24" x14ac:dyDescent="0.25">
      <c r="D72" s="73" t="s">
        <v>1176</v>
      </c>
      <c r="E72" s="72"/>
      <c r="F72" s="72"/>
      <c r="J72" s="46">
        <v>97407</v>
      </c>
      <c r="K72" s="50" t="s">
        <v>398</v>
      </c>
      <c r="L72" s="32" t="s">
        <v>165</v>
      </c>
      <c r="M72" s="26" t="s">
        <v>320</v>
      </c>
      <c r="N72" t="s">
        <v>1195</v>
      </c>
      <c r="R72" s="58" t="s">
        <v>444</v>
      </c>
      <c r="S72" s="25">
        <f t="shared" si="4"/>
        <v>0</v>
      </c>
      <c r="T72" s="25">
        <f t="shared" si="5"/>
        <v>1</v>
      </c>
      <c r="V72" s="25">
        <f t="shared" si="6"/>
        <v>1</v>
      </c>
      <c r="W72" s="46">
        <v>97102</v>
      </c>
      <c r="X72" s="50" t="s">
        <v>385</v>
      </c>
    </row>
    <row r="73" spans="1:24" ht="15" customHeight="1" x14ac:dyDescent="0.25">
      <c r="D73" s="269" t="s">
        <v>1177</v>
      </c>
      <c r="E73" s="270"/>
      <c r="F73" s="270"/>
      <c r="G73" s="271"/>
      <c r="J73" s="46">
        <v>97411</v>
      </c>
      <c r="K73" s="50" t="s">
        <v>399</v>
      </c>
      <c r="L73" s="32" t="s">
        <v>165</v>
      </c>
      <c r="M73" s="26" t="s">
        <v>320</v>
      </c>
      <c r="N73" t="s">
        <v>1195</v>
      </c>
      <c r="R73" s="58" t="s">
        <v>401</v>
      </c>
      <c r="S73" s="25">
        <f t="shared" si="4"/>
        <v>0</v>
      </c>
      <c r="T73" s="25">
        <f t="shared" si="5"/>
        <v>1</v>
      </c>
      <c r="V73" s="25">
        <f t="shared" si="6"/>
        <v>1</v>
      </c>
      <c r="W73" s="46">
        <v>97103</v>
      </c>
      <c r="X73" s="50" t="s">
        <v>73</v>
      </c>
    </row>
    <row r="74" spans="1:24" x14ac:dyDescent="0.25">
      <c r="D74" s="272"/>
      <c r="E74" s="273"/>
      <c r="F74" s="273"/>
      <c r="G74" s="274"/>
      <c r="J74" s="46">
        <v>97414</v>
      </c>
      <c r="K74" s="50" t="s">
        <v>400</v>
      </c>
      <c r="L74" s="32" t="s">
        <v>165</v>
      </c>
      <c r="M74" s="26" t="s">
        <v>320</v>
      </c>
      <c r="N74" t="s">
        <v>1195</v>
      </c>
      <c r="R74" s="58" t="s">
        <v>402</v>
      </c>
      <c r="S74" s="25">
        <f t="shared" si="4"/>
        <v>0</v>
      </c>
      <c r="T74" s="25">
        <f t="shared" si="5"/>
        <v>1</v>
      </c>
      <c r="V74" s="25">
        <f t="shared" si="6"/>
        <v>1</v>
      </c>
      <c r="W74" s="46">
        <v>97106</v>
      </c>
      <c r="X74" s="50" t="s">
        <v>651</v>
      </c>
    </row>
    <row r="75" spans="1:24" x14ac:dyDescent="0.25">
      <c r="D75" s="272"/>
      <c r="E75" s="273"/>
      <c r="F75" s="273"/>
      <c r="G75" s="274"/>
      <c r="J75" s="46">
        <v>97420</v>
      </c>
      <c r="K75" s="50" t="s">
        <v>401</v>
      </c>
      <c r="L75" s="32" t="s">
        <v>165</v>
      </c>
      <c r="M75" s="26" t="s">
        <v>320</v>
      </c>
      <c r="N75" t="s">
        <v>1195</v>
      </c>
      <c r="R75" s="58" t="s">
        <v>603</v>
      </c>
      <c r="S75" s="25">
        <f t="shared" si="4"/>
        <v>0</v>
      </c>
      <c r="T75" s="25">
        <f t="shared" si="5"/>
        <v>1</v>
      </c>
      <c r="V75" s="25">
        <f t="shared" si="6"/>
        <v>1</v>
      </c>
      <c r="W75" s="46">
        <v>97107</v>
      </c>
      <c r="X75" s="50" t="s">
        <v>615</v>
      </c>
    </row>
    <row r="76" spans="1:24" x14ac:dyDescent="0.25">
      <c r="D76" s="275"/>
      <c r="E76" s="276"/>
      <c r="F76" s="276"/>
      <c r="G76" s="277"/>
      <c r="J76" s="46">
        <v>97423</v>
      </c>
      <c r="K76" s="50" t="s">
        <v>402</v>
      </c>
      <c r="L76" s="32" t="s">
        <v>165</v>
      </c>
      <c r="M76" s="26" t="s">
        <v>320</v>
      </c>
      <c r="N76" t="s">
        <v>1195</v>
      </c>
      <c r="R76" s="58" t="s">
        <v>653</v>
      </c>
      <c r="S76" s="25">
        <f t="shared" si="4"/>
        <v>0</v>
      </c>
      <c r="T76" s="25">
        <f t="shared" si="5"/>
        <v>1</v>
      </c>
      <c r="V76" s="25">
        <f t="shared" si="6"/>
        <v>1</v>
      </c>
      <c r="W76" s="46">
        <v>97108</v>
      </c>
      <c r="X76" s="50" t="s">
        <v>616</v>
      </c>
    </row>
    <row r="77" spans="1:24" x14ac:dyDescent="0.25">
      <c r="D77" s="72"/>
      <c r="E77" s="72"/>
      <c r="F77" s="72"/>
      <c r="J77" s="46">
        <v>97449</v>
      </c>
      <c r="K77" s="50" t="s">
        <v>403</v>
      </c>
      <c r="L77" s="32" t="s">
        <v>165</v>
      </c>
      <c r="M77" s="26" t="s">
        <v>320</v>
      </c>
      <c r="N77" t="s">
        <v>1195</v>
      </c>
      <c r="R77" s="58" t="s">
        <v>131</v>
      </c>
      <c r="S77" s="25">
        <f t="shared" si="4"/>
        <v>0</v>
      </c>
      <c r="T77" s="25">
        <f t="shared" si="5"/>
        <v>4</v>
      </c>
      <c r="V77" s="25">
        <f t="shared" si="6"/>
        <v>1</v>
      </c>
      <c r="W77" s="46">
        <v>97109</v>
      </c>
      <c r="X77" s="50" t="s">
        <v>652</v>
      </c>
    </row>
    <row r="78" spans="1:24" x14ac:dyDescent="0.25">
      <c r="D78" s="73" t="s">
        <v>1172</v>
      </c>
      <c r="E78" s="72"/>
      <c r="F78" s="72"/>
      <c r="J78" s="46">
        <v>97458</v>
      </c>
      <c r="K78" s="50" t="s">
        <v>404</v>
      </c>
      <c r="L78" s="32" t="s">
        <v>165</v>
      </c>
      <c r="M78" s="26" t="s">
        <v>320</v>
      </c>
      <c r="N78" t="s">
        <v>1195</v>
      </c>
      <c r="R78" s="58" t="s">
        <v>154</v>
      </c>
      <c r="S78" s="25">
        <f t="shared" si="4"/>
        <v>0</v>
      </c>
      <c r="T78" s="25">
        <f t="shared" si="5"/>
        <v>1</v>
      </c>
      <c r="V78" s="25">
        <f t="shared" si="6"/>
        <v>1</v>
      </c>
      <c r="W78" s="46">
        <v>97110</v>
      </c>
      <c r="X78" s="50" t="s">
        <v>386</v>
      </c>
    </row>
    <row r="79" spans="1:24" x14ac:dyDescent="0.25">
      <c r="D79" s="269" t="s">
        <v>1173</v>
      </c>
      <c r="E79" s="270"/>
      <c r="F79" s="270"/>
      <c r="G79" s="271"/>
      <c r="J79" s="46">
        <v>97459</v>
      </c>
      <c r="K79" s="50" t="s">
        <v>164</v>
      </c>
      <c r="L79" s="32" t="s">
        <v>165</v>
      </c>
      <c r="M79" s="26" t="s">
        <v>320</v>
      </c>
      <c r="N79" t="s">
        <v>1195</v>
      </c>
      <c r="R79" s="58" t="s">
        <v>637</v>
      </c>
      <c r="S79" s="25">
        <f t="shared" si="4"/>
        <v>0</v>
      </c>
      <c r="T79" s="25">
        <f t="shared" si="5"/>
        <v>1</v>
      </c>
      <c r="V79" s="25">
        <f t="shared" si="6"/>
        <v>1</v>
      </c>
      <c r="W79" s="46">
        <v>97111</v>
      </c>
      <c r="X79" s="50" t="s">
        <v>665</v>
      </c>
    </row>
    <row r="80" spans="1:24" x14ac:dyDescent="0.25">
      <c r="D80" s="272"/>
      <c r="E80" s="273"/>
      <c r="F80" s="273"/>
      <c r="G80" s="274"/>
      <c r="J80" s="46">
        <v>97466</v>
      </c>
      <c r="K80" s="50" t="s">
        <v>405</v>
      </c>
      <c r="L80" s="32" t="s">
        <v>165</v>
      </c>
      <c r="M80" s="26" t="s">
        <v>320</v>
      </c>
      <c r="N80" t="s">
        <v>1195</v>
      </c>
      <c r="R80" s="58" t="s">
        <v>558</v>
      </c>
      <c r="S80" s="25">
        <f t="shared" si="4"/>
        <v>0</v>
      </c>
      <c r="T80" s="25">
        <f t="shared" si="5"/>
        <v>1</v>
      </c>
      <c r="V80" s="25">
        <f t="shared" si="6"/>
        <v>1</v>
      </c>
      <c r="W80" s="46">
        <v>97112</v>
      </c>
      <c r="X80" s="50" t="s">
        <v>617</v>
      </c>
    </row>
    <row r="81" spans="4:24" x14ac:dyDescent="0.25">
      <c r="D81" s="275"/>
      <c r="E81" s="276"/>
      <c r="F81" s="276"/>
      <c r="G81" s="277"/>
      <c r="J81" s="46">
        <v>97751</v>
      </c>
      <c r="K81" s="50" t="s">
        <v>406</v>
      </c>
      <c r="L81" s="32" t="s">
        <v>208</v>
      </c>
      <c r="M81" s="26" t="s">
        <v>321</v>
      </c>
      <c r="N81" t="s">
        <v>1196</v>
      </c>
      <c r="R81" s="58" t="s">
        <v>458</v>
      </c>
      <c r="S81" s="25">
        <f t="shared" si="4"/>
        <v>0</v>
      </c>
      <c r="T81" s="25">
        <f t="shared" si="5"/>
        <v>1</v>
      </c>
      <c r="V81" s="25">
        <f t="shared" si="6"/>
        <v>1</v>
      </c>
      <c r="W81" s="46">
        <v>97113</v>
      </c>
      <c r="X81" s="50" t="s">
        <v>653</v>
      </c>
    </row>
    <row r="82" spans="4:24" x14ac:dyDescent="0.25">
      <c r="D82" s="72"/>
      <c r="E82" s="72"/>
      <c r="F82" s="72"/>
      <c r="J82" s="46">
        <v>97752</v>
      </c>
      <c r="K82" s="50" t="s">
        <v>407</v>
      </c>
      <c r="L82" s="32" t="s">
        <v>208</v>
      </c>
      <c r="M82" s="26" t="s">
        <v>321</v>
      </c>
      <c r="N82" t="s">
        <v>1196</v>
      </c>
      <c r="R82" s="58" t="s">
        <v>490</v>
      </c>
      <c r="S82" s="25">
        <f t="shared" si="4"/>
        <v>0</v>
      </c>
      <c r="T82" s="25">
        <f t="shared" si="5"/>
        <v>1</v>
      </c>
      <c r="V82" s="25">
        <f t="shared" si="6"/>
        <v>1</v>
      </c>
      <c r="W82" s="46">
        <v>97114</v>
      </c>
      <c r="X82" s="50" t="s">
        <v>666</v>
      </c>
    </row>
    <row r="83" spans="4:24" x14ac:dyDescent="0.25">
      <c r="D83" s="100" t="s">
        <v>1087</v>
      </c>
      <c r="E83" s="72"/>
      <c r="F83" s="72"/>
      <c r="J83" s="46">
        <v>97753</v>
      </c>
      <c r="K83" s="50" t="s">
        <v>408</v>
      </c>
      <c r="L83" s="32" t="s">
        <v>208</v>
      </c>
      <c r="M83" s="26" t="s">
        <v>321</v>
      </c>
      <c r="N83" t="s">
        <v>1196</v>
      </c>
      <c r="R83" s="58" t="s">
        <v>559</v>
      </c>
      <c r="S83" s="25">
        <f t="shared" si="4"/>
        <v>0</v>
      </c>
      <c r="T83" s="25">
        <f t="shared" si="5"/>
        <v>1</v>
      </c>
      <c r="V83" s="25">
        <f t="shared" si="6"/>
        <v>1</v>
      </c>
      <c r="W83" s="46">
        <v>97115</v>
      </c>
      <c r="X83" s="50" t="s">
        <v>667</v>
      </c>
    </row>
    <row r="84" spans="4:24" x14ac:dyDescent="0.25">
      <c r="D84" s="269" t="s">
        <v>1088</v>
      </c>
      <c r="E84" s="270"/>
      <c r="F84" s="270"/>
      <c r="G84" s="271"/>
      <c r="J84" s="46">
        <v>97754</v>
      </c>
      <c r="K84" s="50" t="s">
        <v>207</v>
      </c>
      <c r="L84" s="32" t="s">
        <v>208</v>
      </c>
      <c r="M84" s="26" t="s">
        <v>321</v>
      </c>
      <c r="N84" t="s">
        <v>1196</v>
      </c>
      <c r="R84" s="58" t="s">
        <v>503</v>
      </c>
      <c r="S84" s="25">
        <f t="shared" si="4"/>
        <v>0</v>
      </c>
      <c r="T84" s="25">
        <f t="shared" si="5"/>
        <v>1</v>
      </c>
      <c r="V84" s="25">
        <f t="shared" si="6"/>
        <v>1</v>
      </c>
      <c r="W84" s="46">
        <v>97116</v>
      </c>
      <c r="X84" s="50" t="s">
        <v>654</v>
      </c>
    </row>
    <row r="85" spans="4:24" x14ac:dyDescent="0.25">
      <c r="D85" s="272"/>
      <c r="E85" s="273"/>
      <c r="F85" s="273"/>
      <c r="G85" s="274"/>
      <c r="J85" s="46">
        <v>97406</v>
      </c>
      <c r="K85" s="50" t="s">
        <v>409</v>
      </c>
      <c r="L85" s="32" t="s">
        <v>169</v>
      </c>
      <c r="M85" s="26" t="s">
        <v>323</v>
      </c>
      <c r="N85" t="s">
        <v>1195</v>
      </c>
      <c r="R85" s="58" t="s">
        <v>489</v>
      </c>
      <c r="S85" s="25">
        <f t="shared" si="4"/>
        <v>0</v>
      </c>
      <c r="T85" s="25">
        <f t="shared" si="5"/>
        <v>1</v>
      </c>
      <c r="V85" s="25">
        <f t="shared" si="6"/>
        <v>1</v>
      </c>
      <c r="W85" s="46">
        <v>97117</v>
      </c>
      <c r="X85" s="50" t="s">
        <v>655</v>
      </c>
    </row>
    <row r="86" spans="4:24" x14ac:dyDescent="0.25">
      <c r="D86" s="272"/>
      <c r="E86" s="273"/>
      <c r="F86" s="273"/>
      <c r="G86" s="274"/>
      <c r="J86" s="46">
        <v>97415</v>
      </c>
      <c r="K86" s="50" t="s">
        <v>410</v>
      </c>
      <c r="L86" s="32" t="s">
        <v>169</v>
      </c>
      <c r="M86" s="26" t="s">
        <v>323</v>
      </c>
      <c r="N86" t="s">
        <v>1195</v>
      </c>
      <c r="R86" s="58" t="s">
        <v>517</v>
      </c>
      <c r="S86" s="25">
        <f t="shared" si="4"/>
        <v>0</v>
      </c>
      <c r="T86" s="25">
        <f t="shared" si="5"/>
        <v>1</v>
      </c>
      <c r="V86" s="25">
        <f t="shared" si="6"/>
        <v>1</v>
      </c>
      <c r="W86" s="46">
        <v>97118</v>
      </c>
      <c r="X86" s="50" t="s">
        <v>618</v>
      </c>
    </row>
    <row r="87" spans="4:24" x14ac:dyDescent="0.25">
      <c r="D87" s="275"/>
      <c r="E87" s="276"/>
      <c r="F87" s="276"/>
      <c r="G87" s="277"/>
      <c r="J87" s="46">
        <v>97444</v>
      </c>
      <c r="K87" s="50" t="s">
        <v>168</v>
      </c>
      <c r="L87" s="32" t="s">
        <v>169</v>
      </c>
      <c r="M87" s="26" t="s">
        <v>323</v>
      </c>
      <c r="N87" t="s">
        <v>1195</v>
      </c>
      <c r="R87" s="58" t="s">
        <v>518</v>
      </c>
      <c r="S87" s="25">
        <f t="shared" si="4"/>
        <v>0</v>
      </c>
      <c r="T87" s="25">
        <f t="shared" si="5"/>
        <v>1</v>
      </c>
      <c r="V87" s="25">
        <f t="shared" si="6"/>
        <v>1</v>
      </c>
      <c r="W87" s="46">
        <v>97119</v>
      </c>
      <c r="X87" s="50" t="s">
        <v>656</v>
      </c>
    </row>
    <row r="88" spans="4:24" x14ac:dyDescent="0.25">
      <c r="D88" s="72"/>
      <c r="E88" s="72"/>
      <c r="F88" s="72"/>
      <c r="J88" s="46">
        <v>97450</v>
      </c>
      <c r="K88" s="50" t="s">
        <v>411</v>
      </c>
      <c r="L88" s="32" t="s">
        <v>169</v>
      </c>
      <c r="M88" s="26" t="s">
        <v>323</v>
      </c>
      <c r="N88" t="s">
        <v>1195</v>
      </c>
      <c r="R88" s="58" t="s">
        <v>479</v>
      </c>
      <c r="S88" s="25">
        <f t="shared" si="4"/>
        <v>0</v>
      </c>
      <c r="T88" s="25">
        <f t="shared" si="5"/>
        <v>1</v>
      </c>
      <c r="V88" s="25">
        <f t="shared" si="6"/>
        <v>1</v>
      </c>
      <c r="W88" s="46">
        <v>97121</v>
      </c>
      <c r="X88" s="50" t="s">
        <v>387</v>
      </c>
    </row>
    <row r="89" spans="4:24" x14ac:dyDescent="0.25">
      <c r="D89" s="73" t="s">
        <v>838</v>
      </c>
      <c r="E89" s="72"/>
      <c r="F89" s="72"/>
      <c r="J89" s="46">
        <v>97464</v>
      </c>
      <c r="K89" s="50" t="s">
        <v>412</v>
      </c>
      <c r="L89" s="32" t="s">
        <v>169</v>
      </c>
      <c r="M89" s="26" t="s">
        <v>323</v>
      </c>
      <c r="N89" t="s">
        <v>1195</v>
      </c>
      <c r="R89" s="58" t="s">
        <v>422</v>
      </c>
      <c r="S89" s="25">
        <f t="shared" si="4"/>
        <v>0</v>
      </c>
      <c r="T89" s="25">
        <f t="shared" si="5"/>
        <v>1</v>
      </c>
      <c r="V89" s="25">
        <f t="shared" si="6"/>
        <v>1</v>
      </c>
      <c r="W89" s="46">
        <v>97122</v>
      </c>
      <c r="X89" s="50" t="s">
        <v>619</v>
      </c>
    </row>
    <row r="90" spans="4:24" x14ac:dyDescent="0.25">
      <c r="D90" s="269" t="s">
        <v>844</v>
      </c>
      <c r="E90" s="270"/>
      <c r="F90" s="270"/>
      <c r="G90" s="271"/>
      <c r="J90" s="46">
        <v>97465</v>
      </c>
      <c r="K90" s="50" t="s">
        <v>413</v>
      </c>
      <c r="L90" s="32" t="s">
        <v>169</v>
      </c>
      <c r="M90" s="26" t="s">
        <v>323</v>
      </c>
      <c r="N90" t="s">
        <v>1195</v>
      </c>
      <c r="R90" s="58" t="s">
        <v>495</v>
      </c>
      <c r="S90" s="25">
        <f t="shared" si="4"/>
        <v>0</v>
      </c>
      <c r="T90" s="25">
        <f t="shared" si="5"/>
        <v>1</v>
      </c>
      <c r="V90" s="25">
        <f t="shared" si="6"/>
        <v>1</v>
      </c>
      <c r="W90" s="46">
        <v>97123</v>
      </c>
      <c r="X90" s="50" t="s">
        <v>277</v>
      </c>
    </row>
    <row r="91" spans="4:24" x14ac:dyDescent="0.25">
      <c r="D91" s="272"/>
      <c r="E91" s="273"/>
      <c r="F91" s="273"/>
      <c r="G91" s="274"/>
      <c r="J91" s="46">
        <v>97476</v>
      </c>
      <c r="K91" s="50" t="s">
        <v>414</v>
      </c>
      <c r="L91" s="32" t="s">
        <v>169</v>
      </c>
      <c r="M91" s="26" t="s">
        <v>323</v>
      </c>
      <c r="N91" t="s">
        <v>1195</v>
      </c>
      <c r="R91" s="58" t="s">
        <v>122</v>
      </c>
      <c r="S91" s="25">
        <f t="shared" si="4"/>
        <v>0</v>
      </c>
      <c r="T91" s="25">
        <f t="shared" si="5"/>
        <v>1</v>
      </c>
      <c r="V91" s="25">
        <f t="shared" si="6"/>
        <v>1</v>
      </c>
      <c r="W91" s="46">
        <v>97124</v>
      </c>
      <c r="X91" s="50" t="s">
        <v>277</v>
      </c>
    </row>
    <row r="92" spans="4:24" x14ac:dyDescent="0.25">
      <c r="D92" s="272"/>
      <c r="E92" s="273"/>
      <c r="F92" s="273"/>
      <c r="G92" s="274"/>
      <c r="J92" s="46">
        <v>97491</v>
      </c>
      <c r="K92" s="50" t="s">
        <v>415</v>
      </c>
      <c r="L92" s="32" t="s">
        <v>169</v>
      </c>
      <c r="M92" s="26" t="s">
        <v>323</v>
      </c>
      <c r="N92" t="s">
        <v>1195</v>
      </c>
      <c r="R92" s="58" t="s">
        <v>423</v>
      </c>
      <c r="S92" s="25">
        <f t="shared" si="4"/>
        <v>0</v>
      </c>
      <c r="T92" s="25">
        <f t="shared" si="5"/>
        <v>1</v>
      </c>
      <c r="V92" s="25">
        <f t="shared" si="6"/>
        <v>1</v>
      </c>
      <c r="W92" s="46">
        <v>97125</v>
      </c>
      <c r="X92" s="50" t="s">
        <v>657</v>
      </c>
    </row>
    <row r="93" spans="4:24" x14ac:dyDescent="0.25">
      <c r="D93" s="272"/>
      <c r="E93" s="273"/>
      <c r="F93" s="273"/>
      <c r="G93" s="274"/>
      <c r="J93" s="46">
        <v>97701</v>
      </c>
      <c r="K93" s="50" t="s">
        <v>196</v>
      </c>
      <c r="L93" s="32" t="s">
        <v>197</v>
      </c>
      <c r="M93" s="26" t="s">
        <v>325</v>
      </c>
      <c r="N93" t="s">
        <v>1196</v>
      </c>
      <c r="R93" s="58" t="s">
        <v>666</v>
      </c>
      <c r="S93" s="25">
        <f t="shared" si="4"/>
        <v>0</v>
      </c>
      <c r="T93" s="25">
        <f t="shared" si="5"/>
        <v>1</v>
      </c>
      <c r="V93" s="25">
        <f t="shared" si="6"/>
        <v>1</v>
      </c>
      <c r="W93" s="46">
        <v>97127</v>
      </c>
      <c r="X93" s="50" t="s">
        <v>668</v>
      </c>
    </row>
    <row r="94" spans="4:24" x14ac:dyDescent="0.25">
      <c r="D94" s="272"/>
      <c r="E94" s="273"/>
      <c r="F94" s="273"/>
      <c r="G94" s="274"/>
      <c r="J94" s="46">
        <v>97702</v>
      </c>
      <c r="K94" s="50" t="s">
        <v>196</v>
      </c>
      <c r="L94" s="32" t="s">
        <v>197</v>
      </c>
      <c r="M94" s="26" t="s">
        <v>325</v>
      </c>
      <c r="N94" t="s">
        <v>1196</v>
      </c>
      <c r="R94" s="58" t="s">
        <v>448</v>
      </c>
      <c r="S94" s="25">
        <f t="shared" si="4"/>
        <v>0</v>
      </c>
      <c r="T94" s="25">
        <f t="shared" si="5"/>
        <v>1</v>
      </c>
      <c r="V94" s="25">
        <f t="shared" si="6"/>
        <v>1</v>
      </c>
      <c r="W94" s="46">
        <v>97128</v>
      </c>
      <c r="X94" s="50" t="s">
        <v>126</v>
      </c>
    </row>
    <row r="95" spans="4:24" x14ac:dyDescent="0.25">
      <c r="D95" s="272"/>
      <c r="E95" s="273"/>
      <c r="F95" s="273"/>
      <c r="G95" s="274"/>
      <c r="J95" s="46">
        <v>97707</v>
      </c>
      <c r="K95" s="50" t="s">
        <v>196</v>
      </c>
      <c r="L95" s="32" t="s">
        <v>197</v>
      </c>
      <c r="M95" s="26" t="s">
        <v>325</v>
      </c>
      <c r="N95" t="s">
        <v>1196</v>
      </c>
      <c r="R95" s="58" t="s">
        <v>519</v>
      </c>
      <c r="S95" s="25">
        <f t="shared" si="4"/>
        <v>0</v>
      </c>
      <c r="T95" s="25">
        <f t="shared" si="5"/>
        <v>1</v>
      </c>
      <c r="V95" s="25">
        <f t="shared" si="6"/>
        <v>1</v>
      </c>
      <c r="W95" s="46">
        <v>97130</v>
      </c>
      <c r="X95" s="50" t="s">
        <v>620</v>
      </c>
    </row>
    <row r="96" spans="4:24" x14ac:dyDescent="0.25">
      <c r="D96" s="275"/>
      <c r="E96" s="276"/>
      <c r="F96" s="276"/>
      <c r="G96" s="277"/>
      <c r="J96" s="46">
        <v>97708</v>
      </c>
      <c r="K96" s="50" t="s">
        <v>196</v>
      </c>
      <c r="L96" s="32" t="s">
        <v>197</v>
      </c>
      <c r="M96" s="26" t="s">
        <v>325</v>
      </c>
      <c r="N96" t="s">
        <v>1196</v>
      </c>
      <c r="R96" s="58" t="s">
        <v>395</v>
      </c>
      <c r="S96" s="25">
        <f t="shared" si="4"/>
        <v>0</v>
      </c>
      <c r="T96" s="25">
        <f t="shared" si="5"/>
        <v>1</v>
      </c>
      <c r="V96" s="25">
        <f t="shared" si="6"/>
        <v>1</v>
      </c>
      <c r="W96" s="46">
        <v>97131</v>
      </c>
      <c r="X96" s="50" t="s">
        <v>621</v>
      </c>
    </row>
    <row r="97" spans="4:24" x14ac:dyDescent="0.25">
      <c r="D97" s="27"/>
      <c r="J97" s="46">
        <v>97709</v>
      </c>
      <c r="K97" s="50" t="s">
        <v>196</v>
      </c>
      <c r="L97" s="32" t="s">
        <v>197</v>
      </c>
      <c r="M97" s="26" t="s">
        <v>325</v>
      </c>
      <c r="N97" t="s">
        <v>1196</v>
      </c>
      <c r="R97" s="58" t="s">
        <v>541</v>
      </c>
      <c r="S97" s="25">
        <f t="shared" si="4"/>
        <v>0</v>
      </c>
      <c r="T97" s="25">
        <f t="shared" si="5"/>
        <v>1</v>
      </c>
      <c r="V97" s="25">
        <f t="shared" si="6"/>
        <v>1</v>
      </c>
      <c r="W97" s="46">
        <v>97132</v>
      </c>
      <c r="X97" s="50" t="s">
        <v>669</v>
      </c>
    </row>
    <row r="98" spans="4:24" x14ac:dyDescent="0.25">
      <c r="D98" s="27" t="s">
        <v>843</v>
      </c>
      <c r="J98" s="46">
        <v>97712</v>
      </c>
      <c r="K98" s="50" t="s">
        <v>416</v>
      </c>
      <c r="L98" s="32" t="s">
        <v>197</v>
      </c>
      <c r="M98" s="26" t="s">
        <v>325</v>
      </c>
      <c r="N98" t="s">
        <v>1196</v>
      </c>
      <c r="R98" s="58" t="s">
        <v>588</v>
      </c>
      <c r="S98" s="25">
        <f t="shared" si="4"/>
        <v>0</v>
      </c>
      <c r="T98" s="25">
        <f t="shared" si="5"/>
        <v>1</v>
      </c>
      <c r="V98" s="25">
        <f t="shared" si="6"/>
        <v>1</v>
      </c>
      <c r="W98" s="46">
        <v>97133</v>
      </c>
      <c r="X98" s="50" t="s">
        <v>658</v>
      </c>
    </row>
    <row r="99" spans="4:24" x14ac:dyDescent="0.25">
      <c r="D99" s="269" t="s">
        <v>816</v>
      </c>
      <c r="E99" s="270"/>
      <c r="F99" s="270"/>
      <c r="G99" s="271"/>
      <c r="J99" s="46">
        <v>97739</v>
      </c>
      <c r="K99" s="50" t="s">
        <v>417</v>
      </c>
      <c r="L99" s="32" t="s">
        <v>197</v>
      </c>
      <c r="M99" s="26" t="s">
        <v>325</v>
      </c>
      <c r="N99" t="s">
        <v>1196</v>
      </c>
      <c r="R99" s="58" t="s">
        <v>520</v>
      </c>
      <c r="S99" s="25">
        <f t="shared" si="4"/>
        <v>0</v>
      </c>
      <c r="T99" s="25">
        <f t="shared" si="5"/>
        <v>1</v>
      </c>
      <c r="V99" s="25">
        <f t="shared" si="6"/>
        <v>1</v>
      </c>
      <c r="W99" s="46">
        <v>97134</v>
      </c>
      <c r="X99" s="50" t="s">
        <v>622</v>
      </c>
    </row>
    <row r="100" spans="4:24" x14ac:dyDescent="0.25">
      <c r="D100" s="272"/>
      <c r="E100" s="273"/>
      <c r="F100" s="273"/>
      <c r="G100" s="274"/>
      <c r="J100" s="46">
        <v>97756</v>
      </c>
      <c r="K100" s="50" t="s">
        <v>200</v>
      </c>
      <c r="L100" s="32" t="s">
        <v>197</v>
      </c>
      <c r="M100" s="26" t="s">
        <v>325</v>
      </c>
      <c r="N100" t="s">
        <v>1196</v>
      </c>
      <c r="R100" s="58" t="s">
        <v>457</v>
      </c>
      <c r="S100" s="25">
        <f t="shared" si="4"/>
        <v>0</v>
      </c>
      <c r="T100" s="25">
        <f t="shared" ref="T100:T131" si="7">COUNTIF($K$12:$K$499,R100)</f>
        <v>1</v>
      </c>
      <c r="U100" s="29"/>
      <c r="V100" s="25">
        <f t="shared" si="6"/>
        <v>1</v>
      </c>
      <c r="W100" s="46">
        <v>97135</v>
      </c>
      <c r="X100" s="50" t="s">
        <v>623</v>
      </c>
    </row>
    <row r="101" spans="4:24" x14ac:dyDescent="0.25">
      <c r="D101" s="272"/>
      <c r="E101" s="273"/>
      <c r="F101" s="273"/>
      <c r="G101" s="274"/>
      <c r="J101" s="46">
        <v>97759</v>
      </c>
      <c r="K101" s="50" t="s">
        <v>418</v>
      </c>
      <c r="L101" s="32" t="s">
        <v>197</v>
      </c>
      <c r="M101" s="26" t="s">
        <v>325</v>
      </c>
      <c r="N101" t="s">
        <v>1196</v>
      </c>
      <c r="R101" s="58" t="s">
        <v>424</v>
      </c>
      <c r="S101" s="25">
        <f t="shared" si="4"/>
        <v>0</v>
      </c>
      <c r="T101" s="25">
        <f t="shared" si="7"/>
        <v>1</v>
      </c>
      <c r="V101" s="25">
        <f t="shared" si="6"/>
        <v>1</v>
      </c>
      <c r="W101" s="46">
        <v>97136</v>
      </c>
      <c r="X101" s="50" t="s">
        <v>624</v>
      </c>
    </row>
    <row r="102" spans="4:24" x14ac:dyDescent="0.25">
      <c r="D102" s="272"/>
      <c r="E102" s="273"/>
      <c r="F102" s="273"/>
      <c r="G102" s="274"/>
      <c r="J102" s="46">
        <v>97410</v>
      </c>
      <c r="K102" s="50" t="s">
        <v>419</v>
      </c>
      <c r="L102" s="32" t="s">
        <v>161</v>
      </c>
      <c r="M102" s="26" t="s">
        <v>327</v>
      </c>
      <c r="N102" t="s">
        <v>1197</v>
      </c>
      <c r="R102" s="58" t="s">
        <v>582</v>
      </c>
      <c r="S102" s="25">
        <f t="shared" si="4"/>
        <v>0</v>
      </c>
      <c r="T102" s="25">
        <f t="shared" si="7"/>
        <v>1</v>
      </c>
      <c r="V102" s="25">
        <f t="shared" si="6"/>
        <v>1</v>
      </c>
      <c r="W102" s="46">
        <v>97137</v>
      </c>
      <c r="X102" s="50" t="s">
        <v>585</v>
      </c>
    </row>
    <row r="103" spans="4:24" x14ac:dyDescent="0.25">
      <c r="D103" s="272"/>
      <c r="E103" s="273"/>
      <c r="F103" s="273"/>
      <c r="G103" s="274"/>
      <c r="J103" s="46">
        <v>97416</v>
      </c>
      <c r="K103" s="50" t="s">
        <v>420</v>
      </c>
      <c r="L103" s="32" t="s">
        <v>161</v>
      </c>
      <c r="M103" s="26" t="s">
        <v>327</v>
      </c>
      <c r="N103" t="s">
        <v>1197</v>
      </c>
      <c r="R103" s="58" t="s">
        <v>521</v>
      </c>
      <c r="S103" s="25">
        <f t="shared" si="4"/>
        <v>0</v>
      </c>
      <c r="T103" s="25">
        <f t="shared" si="7"/>
        <v>1</v>
      </c>
      <c r="V103" s="25">
        <f t="shared" si="6"/>
        <v>1</v>
      </c>
      <c r="W103" s="46">
        <v>97138</v>
      </c>
      <c r="X103" s="50" t="s">
        <v>388</v>
      </c>
    </row>
    <row r="104" spans="4:24" x14ac:dyDescent="0.25">
      <c r="D104" s="272"/>
      <c r="E104" s="273"/>
      <c r="F104" s="273"/>
      <c r="G104" s="274"/>
      <c r="J104" s="46">
        <v>97417</v>
      </c>
      <c r="K104" s="50" t="s">
        <v>421</v>
      </c>
      <c r="L104" s="32" t="s">
        <v>161</v>
      </c>
      <c r="M104" s="26" t="s">
        <v>327</v>
      </c>
      <c r="N104" t="s">
        <v>1197</v>
      </c>
      <c r="R104" s="58" t="s">
        <v>425</v>
      </c>
      <c r="S104" s="25">
        <f t="shared" si="4"/>
        <v>0</v>
      </c>
      <c r="T104" s="25">
        <f t="shared" si="7"/>
        <v>1</v>
      </c>
      <c r="V104" s="25">
        <f t="shared" si="6"/>
        <v>1</v>
      </c>
      <c r="W104" s="46">
        <v>97140</v>
      </c>
      <c r="X104" s="50" t="s">
        <v>659</v>
      </c>
    </row>
    <row r="105" spans="4:24" x14ac:dyDescent="0.25">
      <c r="D105" s="272"/>
      <c r="E105" s="273"/>
      <c r="F105" s="273"/>
      <c r="G105" s="274"/>
      <c r="J105" s="46">
        <v>97428</v>
      </c>
      <c r="K105" s="50" t="s">
        <v>422</v>
      </c>
      <c r="L105" s="32" t="s">
        <v>161</v>
      </c>
      <c r="M105" s="26" t="s">
        <v>327</v>
      </c>
      <c r="N105" t="s">
        <v>1197</v>
      </c>
      <c r="R105" s="58" t="s">
        <v>462</v>
      </c>
      <c r="S105" s="25">
        <f t="shared" si="4"/>
        <v>0</v>
      </c>
      <c r="T105" s="25">
        <f t="shared" si="7"/>
        <v>1</v>
      </c>
      <c r="V105" s="25">
        <f t="shared" si="6"/>
        <v>1</v>
      </c>
      <c r="W105" s="46">
        <v>97141</v>
      </c>
      <c r="X105" s="50" t="s">
        <v>93</v>
      </c>
    </row>
    <row r="106" spans="4:24" ht="15" customHeight="1" x14ac:dyDescent="0.25">
      <c r="D106" s="272"/>
      <c r="E106" s="273"/>
      <c r="F106" s="273"/>
      <c r="G106" s="274"/>
      <c r="J106" s="46">
        <v>97429</v>
      </c>
      <c r="K106" s="50" t="s">
        <v>423</v>
      </c>
      <c r="L106" s="32" t="s">
        <v>161</v>
      </c>
      <c r="M106" s="26" t="s">
        <v>327</v>
      </c>
      <c r="N106" t="s">
        <v>1197</v>
      </c>
      <c r="R106" s="58" t="s">
        <v>646</v>
      </c>
      <c r="S106" s="25">
        <f t="shared" si="4"/>
        <v>0</v>
      </c>
      <c r="T106" s="25">
        <f t="shared" si="7"/>
        <v>1</v>
      </c>
      <c r="V106" s="25">
        <f t="shared" si="6"/>
        <v>1</v>
      </c>
      <c r="W106" s="46">
        <v>97143</v>
      </c>
      <c r="X106" s="50" t="s">
        <v>625</v>
      </c>
    </row>
    <row r="107" spans="4:24" x14ac:dyDescent="0.25">
      <c r="D107" s="272"/>
      <c r="E107" s="273"/>
      <c r="F107" s="273"/>
      <c r="G107" s="274"/>
      <c r="J107" s="46">
        <v>97432</v>
      </c>
      <c r="K107" s="50" t="s">
        <v>424</v>
      </c>
      <c r="L107" s="32" t="s">
        <v>161</v>
      </c>
      <c r="M107" s="26" t="s">
        <v>327</v>
      </c>
      <c r="N107" t="s">
        <v>1197</v>
      </c>
      <c r="R107" s="58" t="s">
        <v>667</v>
      </c>
      <c r="S107" s="25">
        <f t="shared" si="4"/>
        <v>0</v>
      </c>
      <c r="T107" s="25">
        <f t="shared" si="7"/>
        <v>1</v>
      </c>
      <c r="V107" s="25">
        <f t="shared" si="6"/>
        <v>1</v>
      </c>
      <c r="W107" s="46">
        <v>97144</v>
      </c>
      <c r="X107" s="50" t="s">
        <v>660</v>
      </c>
    </row>
    <row r="108" spans="4:24" x14ac:dyDescent="0.25">
      <c r="D108" s="272"/>
      <c r="E108" s="273"/>
      <c r="F108" s="273"/>
      <c r="G108" s="274"/>
      <c r="J108" s="46">
        <v>97435</v>
      </c>
      <c r="K108" s="50" t="s">
        <v>425</v>
      </c>
      <c r="L108" s="32" t="s">
        <v>161</v>
      </c>
      <c r="M108" s="26" t="s">
        <v>327</v>
      </c>
      <c r="N108" t="s">
        <v>1197</v>
      </c>
      <c r="R108" s="58" t="s">
        <v>339</v>
      </c>
      <c r="S108" s="25">
        <f t="shared" si="4"/>
        <v>0</v>
      </c>
      <c r="T108" s="25">
        <f t="shared" si="7"/>
        <v>1</v>
      </c>
      <c r="V108" s="25">
        <f t="shared" si="6"/>
        <v>1</v>
      </c>
      <c r="W108" s="46">
        <v>97145</v>
      </c>
      <c r="X108" s="50" t="s">
        <v>389</v>
      </c>
    </row>
    <row r="109" spans="4:24" x14ac:dyDescent="0.25">
      <c r="D109" s="272"/>
      <c r="E109" s="273"/>
      <c r="F109" s="273"/>
      <c r="G109" s="274"/>
      <c r="J109" s="46">
        <v>97436</v>
      </c>
      <c r="K109" s="50" t="s">
        <v>426</v>
      </c>
      <c r="L109" s="32" t="s">
        <v>161</v>
      </c>
      <c r="M109" s="26" t="s">
        <v>327</v>
      </c>
      <c r="N109" t="s">
        <v>1197</v>
      </c>
      <c r="R109" s="58" t="s">
        <v>367</v>
      </c>
      <c r="S109" s="25">
        <f t="shared" si="4"/>
        <v>0</v>
      </c>
      <c r="T109" s="25">
        <f t="shared" si="7"/>
        <v>1</v>
      </c>
      <c r="V109" s="25">
        <f t="shared" si="6"/>
        <v>1</v>
      </c>
      <c r="W109" s="46">
        <v>97146</v>
      </c>
      <c r="X109" s="50" t="s">
        <v>82</v>
      </c>
    </row>
    <row r="110" spans="4:24" x14ac:dyDescent="0.25">
      <c r="D110" s="272"/>
      <c r="E110" s="273"/>
      <c r="F110" s="273"/>
      <c r="G110" s="274"/>
      <c r="J110" s="46">
        <v>97441</v>
      </c>
      <c r="K110" s="50" t="s">
        <v>427</v>
      </c>
      <c r="L110" s="32" t="s">
        <v>161</v>
      </c>
      <c r="M110" s="26" t="s">
        <v>327</v>
      </c>
      <c r="N110" t="s">
        <v>1197</v>
      </c>
      <c r="R110" s="58" t="s">
        <v>468</v>
      </c>
      <c r="S110" s="25">
        <f t="shared" si="4"/>
        <v>0</v>
      </c>
      <c r="T110" s="25">
        <f t="shared" si="7"/>
        <v>1</v>
      </c>
      <c r="V110" s="25">
        <f t="shared" si="6"/>
        <v>1</v>
      </c>
      <c r="W110" s="46">
        <v>97147</v>
      </c>
      <c r="X110" s="50" t="s">
        <v>373</v>
      </c>
    </row>
    <row r="111" spans="4:24" x14ac:dyDescent="0.25">
      <c r="D111" s="272"/>
      <c r="E111" s="273"/>
      <c r="F111" s="273"/>
      <c r="G111" s="274"/>
      <c r="J111" s="46">
        <v>97442</v>
      </c>
      <c r="K111" s="50" t="s">
        <v>428</v>
      </c>
      <c r="L111" s="32" t="s">
        <v>161</v>
      </c>
      <c r="M111" s="26" t="s">
        <v>327</v>
      </c>
      <c r="N111" t="s">
        <v>1197</v>
      </c>
      <c r="R111" s="58" t="s">
        <v>629</v>
      </c>
      <c r="S111" s="25">
        <f t="shared" si="4"/>
        <v>0</v>
      </c>
      <c r="T111" s="25">
        <f t="shared" si="7"/>
        <v>1</v>
      </c>
      <c r="V111" s="25">
        <f t="shared" si="6"/>
        <v>1</v>
      </c>
      <c r="W111" s="46">
        <v>97148</v>
      </c>
      <c r="X111" s="50" t="s">
        <v>127</v>
      </c>
    </row>
    <row r="112" spans="4:24" x14ac:dyDescent="0.25">
      <c r="D112" s="272"/>
      <c r="E112" s="273"/>
      <c r="F112" s="273"/>
      <c r="G112" s="274"/>
      <c r="J112" s="46">
        <v>97443</v>
      </c>
      <c r="K112" s="50" t="s">
        <v>429</v>
      </c>
      <c r="L112" s="32" t="s">
        <v>161</v>
      </c>
      <c r="M112" s="26" t="s">
        <v>327</v>
      </c>
      <c r="N112" t="s">
        <v>1197</v>
      </c>
      <c r="R112" s="58" t="s">
        <v>542</v>
      </c>
      <c r="S112" s="25">
        <f t="shared" si="4"/>
        <v>0</v>
      </c>
      <c r="T112" s="25">
        <f t="shared" si="7"/>
        <v>1</v>
      </c>
      <c r="V112" s="25">
        <f t="shared" si="6"/>
        <v>1</v>
      </c>
      <c r="W112" s="46">
        <v>97149</v>
      </c>
      <c r="X112" s="50" t="s">
        <v>626</v>
      </c>
    </row>
    <row r="113" spans="4:24" x14ac:dyDescent="0.25">
      <c r="D113" s="272"/>
      <c r="E113" s="273"/>
      <c r="F113" s="273"/>
      <c r="G113" s="274"/>
      <c r="J113" s="46">
        <v>97447</v>
      </c>
      <c r="K113" s="50" t="s">
        <v>430</v>
      </c>
      <c r="L113" s="32" t="s">
        <v>161</v>
      </c>
      <c r="M113" s="26" t="s">
        <v>327</v>
      </c>
      <c r="N113" t="s">
        <v>1197</v>
      </c>
      <c r="R113" s="58" t="s">
        <v>638</v>
      </c>
      <c r="S113" s="25">
        <f t="shared" si="4"/>
        <v>0</v>
      </c>
      <c r="T113" s="25">
        <f t="shared" si="7"/>
        <v>1</v>
      </c>
      <c r="V113" s="25">
        <f t="shared" si="6"/>
        <v>1</v>
      </c>
      <c r="W113" s="46">
        <v>97201</v>
      </c>
      <c r="X113" s="50" t="s">
        <v>97</v>
      </c>
    </row>
    <row r="114" spans="4:24" x14ac:dyDescent="0.25">
      <c r="D114" s="272"/>
      <c r="E114" s="273"/>
      <c r="F114" s="273"/>
      <c r="G114" s="274"/>
      <c r="J114" s="46">
        <v>97457</v>
      </c>
      <c r="K114" s="50" t="s">
        <v>431</v>
      </c>
      <c r="L114" s="32" t="s">
        <v>161</v>
      </c>
      <c r="M114" s="26" t="s">
        <v>327</v>
      </c>
      <c r="N114" t="s">
        <v>1197</v>
      </c>
      <c r="R114" s="58" t="s">
        <v>426</v>
      </c>
      <c r="S114" s="25">
        <f t="shared" si="4"/>
        <v>0</v>
      </c>
      <c r="T114" s="25">
        <f t="shared" si="7"/>
        <v>1</v>
      </c>
      <c r="V114" s="25">
        <f t="shared" si="6"/>
        <v>1</v>
      </c>
      <c r="W114" s="46">
        <v>97202</v>
      </c>
      <c r="X114" s="50" t="s">
        <v>97</v>
      </c>
    </row>
    <row r="115" spans="4:24" x14ac:dyDescent="0.25">
      <c r="D115" s="272"/>
      <c r="E115" s="273"/>
      <c r="F115" s="273"/>
      <c r="G115" s="274"/>
      <c r="J115" s="46">
        <v>97462</v>
      </c>
      <c r="K115" s="50" t="s">
        <v>432</v>
      </c>
      <c r="L115" s="32" t="s">
        <v>161</v>
      </c>
      <c r="M115" s="26" t="s">
        <v>327</v>
      </c>
      <c r="N115" t="s">
        <v>1197</v>
      </c>
      <c r="R115" s="58" t="s">
        <v>522</v>
      </c>
      <c r="S115" s="25">
        <f t="shared" si="4"/>
        <v>0</v>
      </c>
      <c r="T115" s="25">
        <f t="shared" si="7"/>
        <v>1</v>
      </c>
      <c r="V115" s="25">
        <f t="shared" si="6"/>
        <v>1</v>
      </c>
      <c r="W115" s="46">
        <v>97203</v>
      </c>
      <c r="X115" s="50" t="s">
        <v>97</v>
      </c>
    </row>
    <row r="116" spans="4:24" x14ac:dyDescent="0.25">
      <c r="D116" s="272"/>
      <c r="E116" s="273"/>
      <c r="F116" s="273"/>
      <c r="G116" s="274"/>
      <c r="J116" s="46">
        <v>97467</v>
      </c>
      <c r="K116" s="50" t="s">
        <v>308</v>
      </c>
      <c r="L116" s="32" t="s">
        <v>161</v>
      </c>
      <c r="M116" s="26" t="s">
        <v>327</v>
      </c>
      <c r="N116" t="s">
        <v>1197</v>
      </c>
      <c r="R116" s="58" t="s">
        <v>242</v>
      </c>
      <c r="S116" s="25">
        <f t="shared" si="4"/>
        <v>0</v>
      </c>
      <c r="T116" s="25">
        <f t="shared" si="7"/>
        <v>1</v>
      </c>
      <c r="V116" s="25">
        <f t="shared" si="6"/>
        <v>1</v>
      </c>
      <c r="W116" s="46">
        <v>97204</v>
      </c>
      <c r="X116" s="50" t="s">
        <v>97</v>
      </c>
    </row>
    <row r="117" spans="4:24" x14ac:dyDescent="0.25">
      <c r="D117" s="272"/>
      <c r="E117" s="273"/>
      <c r="F117" s="273"/>
      <c r="G117" s="274"/>
      <c r="J117" s="46">
        <v>97469</v>
      </c>
      <c r="K117" s="50" t="s">
        <v>433</v>
      </c>
      <c r="L117" s="32" t="s">
        <v>161</v>
      </c>
      <c r="M117" s="26" t="s">
        <v>327</v>
      </c>
      <c r="N117" t="s">
        <v>1197</v>
      </c>
      <c r="R117" s="58" t="s">
        <v>272</v>
      </c>
      <c r="S117" s="25">
        <f t="shared" si="4"/>
        <v>0</v>
      </c>
      <c r="T117" s="25">
        <f t="shared" si="7"/>
        <v>1</v>
      </c>
      <c r="V117" s="25">
        <f t="shared" si="6"/>
        <v>1</v>
      </c>
      <c r="W117" s="46">
        <v>97205</v>
      </c>
      <c r="X117" s="50" t="s">
        <v>97</v>
      </c>
    </row>
    <row r="118" spans="4:24" x14ac:dyDescent="0.25">
      <c r="D118" s="272"/>
      <c r="E118" s="273"/>
      <c r="F118" s="273"/>
      <c r="G118" s="274"/>
      <c r="J118" s="46">
        <v>97470</v>
      </c>
      <c r="K118" s="50" t="s">
        <v>160</v>
      </c>
      <c r="L118" s="32" t="s">
        <v>161</v>
      </c>
      <c r="M118" s="26" t="s">
        <v>327</v>
      </c>
      <c r="N118" t="s">
        <v>1197</v>
      </c>
      <c r="R118" s="58" t="s">
        <v>151</v>
      </c>
      <c r="S118" s="25">
        <f t="shared" si="4"/>
        <v>0</v>
      </c>
      <c r="T118" s="25">
        <f t="shared" si="7"/>
        <v>7</v>
      </c>
      <c r="V118" s="25">
        <f t="shared" si="6"/>
        <v>1</v>
      </c>
      <c r="W118" s="46">
        <v>97206</v>
      </c>
      <c r="X118" s="50" t="s">
        <v>97</v>
      </c>
    </row>
    <row r="119" spans="4:24" x14ac:dyDescent="0.25">
      <c r="D119" s="272"/>
      <c r="E119" s="273"/>
      <c r="F119" s="273"/>
      <c r="G119" s="274"/>
      <c r="J119" s="46">
        <v>97473</v>
      </c>
      <c r="K119" s="50" t="s">
        <v>434</v>
      </c>
      <c r="L119" s="32" t="s">
        <v>161</v>
      </c>
      <c r="M119" s="26" t="s">
        <v>327</v>
      </c>
      <c r="N119" t="s">
        <v>1197</v>
      </c>
      <c r="R119" s="58" t="s">
        <v>604</v>
      </c>
      <c r="S119" s="25">
        <f t="shared" si="4"/>
        <v>0</v>
      </c>
      <c r="T119" s="25">
        <f t="shared" si="7"/>
        <v>1</v>
      </c>
      <c r="V119" s="25">
        <f t="shared" si="6"/>
        <v>1</v>
      </c>
      <c r="W119" s="46">
        <v>97207</v>
      </c>
      <c r="X119" s="50" t="s">
        <v>97</v>
      </c>
    </row>
    <row r="120" spans="4:24" x14ac:dyDescent="0.25">
      <c r="D120" s="272"/>
      <c r="E120" s="273"/>
      <c r="F120" s="273"/>
      <c r="G120" s="274"/>
      <c r="J120" s="46">
        <v>97479</v>
      </c>
      <c r="K120" s="50" t="s">
        <v>435</v>
      </c>
      <c r="L120" s="32" t="s">
        <v>161</v>
      </c>
      <c r="M120" s="26" t="s">
        <v>327</v>
      </c>
      <c r="N120" t="s">
        <v>1197</v>
      </c>
      <c r="R120" s="58" t="s">
        <v>523</v>
      </c>
      <c r="S120" s="25">
        <f t="shared" si="4"/>
        <v>0</v>
      </c>
      <c r="T120" s="25">
        <f t="shared" si="7"/>
        <v>1</v>
      </c>
      <c r="V120" s="25">
        <f t="shared" si="6"/>
        <v>1</v>
      </c>
      <c r="W120" s="46">
        <v>97208</v>
      </c>
      <c r="X120" s="50" t="s">
        <v>97</v>
      </c>
    </row>
    <row r="121" spans="4:24" x14ac:dyDescent="0.25">
      <c r="D121" s="272"/>
      <c r="E121" s="273"/>
      <c r="F121" s="273"/>
      <c r="G121" s="274"/>
      <c r="J121" s="46">
        <v>97481</v>
      </c>
      <c r="K121" s="50" t="s">
        <v>436</v>
      </c>
      <c r="L121" s="32" t="s">
        <v>161</v>
      </c>
      <c r="M121" s="26" t="s">
        <v>327</v>
      </c>
      <c r="N121" t="s">
        <v>1197</v>
      </c>
      <c r="R121" s="58" t="s">
        <v>606</v>
      </c>
      <c r="S121" s="25">
        <f t="shared" si="4"/>
        <v>0</v>
      </c>
      <c r="T121" s="25">
        <f t="shared" si="7"/>
        <v>1</v>
      </c>
      <c r="V121" s="25">
        <f t="shared" si="6"/>
        <v>1</v>
      </c>
      <c r="W121" s="46">
        <v>97209</v>
      </c>
      <c r="X121" s="50" t="s">
        <v>97</v>
      </c>
    </row>
    <row r="122" spans="4:24" x14ac:dyDescent="0.25">
      <c r="D122" s="272"/>
      <c r="E122" s="273"/>
      <c r="F122" s="273"/>
      <c r="G122" s="274"/>
      <c r="J122" s="46">
        <v>97484</v>
      </c>
      <c r="K122" s="50" t="s">
        <v>437</v>
      </c>
      <c r="L122" s="32" t="s">
        <v>161</v>
      </c>
      <c r="M122" s="26" t="s">
        <v>327</v>
      </c>
      <c r="N122" t="s">
        <v>1197</v>
      </c>
      <c r="R122" s="58" t="s">
        <v>455</v>
      </c>
      <c r="S122" s="25">
        <f t="shared" si="4"/>
        <v>0</v>
      </c>
      <c r="T122" s="25">
        <f t="shared" si="7"/>
        <v>1</v>
      </c>
      <c r="V122" s="25">
        <f t="shared" si="6"/>
        <v>1</v>
      </c>
      <c r="W122" s="46">
        <v>97210</v>
      </c>
      <c r="X122" s="50" t="s">
        <v>97</v>
      </c>
    </row>
    <row r="123" spans="4:24" x14ac:dyDescent="0.25">
      <c r="D123" s="272"/>
      <c r="E123" s="273"/>
      <c r="F123" s="273"/>
      <c r="G123" s="274"/>
      <c r="J123" s="46">
        <v>97486</v>
      </c>
      <c r="K123" s="50" t="s">
        <v>438</v>
      </c>
      <c r="L123" s="32" t="s">
        <v>161</v>
      </c>
      <c r="M123" s="26" t="s">
        <v>327</v>
      </c>
      <c r="N123" t="s">
        <v>1197</v>
      </c>
      <c r="R123" s="58" t="s">
        <v>157</v>
      </c>
      <c r="S123" s="25">
        <f t="shared" si="4"/>
        <v>0</v>
      </c>
      <c r="T123" s="25">
        <f t="shared" si="7"/>
        <v>1</v>
      </c>
      <c r="V123" s="25">
        <f t="shared" si="6"/>
        <v>1</v>
      </c>
      <c r="W123" s="46">
        <v>97211</v>
      </c>
      <c r="X123" s="50" t="s">
        <v>97</v>
      </c>
    </row>
    <row r="124" spans="4:24" x14ac:dyDescent="0.25">
      <c r="D124" s="272"/>
      <c r="E124" s="273"/>
      <c r="F124" s="273"/>
      <c r="G124" s="274"/>
      <c r="J124" s="46">
        <v>97494</v>
      </c>
      <c r="K124" s="50" t="s">
        <v>439</v>
      </c>
      <c r="L124" s="32" t="s">
        <v>161</v>
      </c>
      <c r="M124" s="26" t="s">
        <v>327</v>
      </c>
      <c r="N124" t="s">
        <v>1197</v>
      </c>
      <c r="R124" s="58" t="s">
        <v>654</v>
      </c>
      <c r="S124" s="25">
        <f t="shared" si="4"/>
        <v>0</v>
      </c>
      <c r="T124" s="25">
        <f t="shared" si="7"/>
        <v>1</v>
      </c>
      <c r="V124" s="25">
        <f t="shared" si="6"/>
        <v>1</v>
      </c>
      <c r="W124" s="46">
        <v>97212</v>
      </c>
      <c r="X124" s="50" t="s">
        <v>97</v>
      </c>
    </row>
    <row r="125" spans="4:24" x14ac:dyDescent="0.25">
      <c r="D125" s="272"/>
      <c r="E125" s="273"/>
      <c r="F125" s="273"/>
      <c r="G125" s="274"/>
      <c r="J125" s="46">
        <v>97495</v>
      </c>
      <c r="K125" s="50" t="s">
        <v>440</v>
      </c>
      <c r="L125" s="32" t="s">
        <v>161</v>
      </c>
      <c r="M125" s="26" t="s">
        <v>327</v>
      </c>
      <c r="N125" t="s">
        <v>1197</v>
      </c>
      <c r="R125" s="58" t="s">
        <v>496</v>
      </c>
      <c r="S125" s="25">
        <f t="shared" si="4"/>
        <v>0</v>
      </c>
      <c r="T125" s="25">
        <f t="shared" si="7"/>
        <v>1</v>
      </c>
      <c r="V125" s="25">
        <f t="shared" si="6"/>
        <v>1</v>
      </c>
      <c r="W125" s="46">
        <v>97213</v>
      </c>
      <c r="X125" s="50" t="s">
        <v>97</v>
      </c>
    </row>
    <row r="126" spans="4:24" x14ac:dyDescent="0.25">
      <c r="D126" s="272"/>
      <c r="E126" s="273"/>
      <c r="F126" s="273"/>
      <c r="G126" s="274"/>
      <c r="J126" s="46">
        <v>97496</v>
      </c>
      <c r="K126" s="50" t="s">
        <v>441</v>
      </c>
      <c r="L126" s="32" t="s">
        <v>161</v>
      </c>
      <c r="M126" s="26" t="s">
        <v>327</v>
      </c>
      <c r="N126" t="s">
        <v>1197</v>
      </c>
      <c r="R126" s="58" t="s">
        <v>512</v>
      </c>
      <c r="S126" s="25">
        <f t="shared" si="4"/>
        <v>0</v>
      </c>
      <c r="T126" s="25">
        <f t="shared" si="7"/>
        <v>1</v>
      </c>
      <c r="V126" s="25">
        <f t="shared" si="6"/>
        <v>1</v>
      </c>
      <c r="W126" s="46">
        <v>97214</v>
      </c>
      <c r="X126" s="50" t="s">
        <v>97</v>
      </c>
    </row>
    <row r="127" spans="4:24" x14ac:dyDescent="0.25">
      <c r="D127" s="272"/>
      <c r="E127" s="273"/>
      <c r="F127" s="273"/>
      <c r="G127" s="274"/>
      <c r="J127" s="46">
        <v>97499</v>
      </c>
      <c r="K127" s="50" t="s">
        <v>442</v>
      </c>
      <c r="L127" s="32" t="s">
        <v>161</v>
      </c>
      <c r="M127" s="26" t="s">
        <v>327</v>
      </c>
      <c r="N127" t="s">
        <v>1197</v>
      </c>
      <c r="R127" s="58" t="s">
        <v>662</v>
      </c>
      <c r="S127" s="25">
        <f t="shared" si="4"/>
        <v>0</v>
      </c>
      <c r="T127" s="25">
        <f t="shared" si="7"/>
        <v>1</v>
      </c>
      <c r="V127" s="25">
        <f t="shared" si="6"/>
        <v>1</v>
      </c>
      <c r="W127" s="46">
        <v>97215</v>
      </c>
      <c r="X127" s="50" t="s">
        <v>97</v>
      </c>
    </row>
    <row r="128" spans="4:24" x14ac:dyDescent="0.25">
      <c r="D128" s="272"/>
      <c r="E128" s="273"/>
      <c r="F128" s="273"/>
      <c r="G128" s="274"/>
      <c r="J128" s="46">
        <v>97812</v>
      </c>
      <c r="K128" s="50" t="s">
        <v>443</v>
      </c>
      <c r="L128" s="32" t="s">
        <v>329</v>
      </c>
      <c r="M128" s="26" t="s">
        <v>330</v>
      </c>
      <c r="N128" t="s">
        <v>1198</v>
      </c>
      <c r="R128" s="58" t="s">
        <v>560</v>
      </c>
      <c r="S128" s="25">
        <f t="shared" si="4"/>
        <v>0</v>
      </c>
      <c r="T128" s="25">
        <f t="shared" si="7"/>
        <v>1</v>
      </c>
      <c r="V128" s="25">
        <f t="shared" si="6"/>
        <v>1</v>
      </c>
      <c r="W128" s="46">
        <v>97216</v>
      </c>
      <c r="X128" s="50" t="s">
        <v>97</v>
      </c>
    </row>
    <row r="129" spans="4:24" x14ac:dyDescent="0.25">
      <c r="D129" s="275"/>
      <c r="E129" s="276"/>
      <c r="F129" s="276"/>
      <c r="G129" s="277"/>
      <c r="J129" s="46">
        <v>97823</v>
      </c>
      <c r="K129" s="50" t="s">
        <v>444</v>
      </c>
      <c r="L129" s="32" t="s">
        <v>329</v>
      </c>
      <c r="M129" s="26" t="s">
        <v>330</v>
      </c>
      <c r="N129" t="s">
        <v>1198</v>
      </c>
      <c r="R129" s="58" t="s">
        <v>459</v>
      </c>
      <c r="S129" s="25">
        <f t="shared" si="4"/>
        <v>0</v>
      </c>
      <c r="T129" s="25">
        <f t="shared" si="7"/>
        <v>1</v>
      </c>
      <c r="V129" s="25">
        <f t="shared" si="6"/>
        <v>1</v>
      </c>
      <c r="W129" s="46">
        <v>97217</v>
      </c>
      <c r="X129" s="50" t="s">
        <v>97</v>
      </c>
    </row>
    <row r="130" spans="4:24" x14ac:dyDescent="0.25">
      <c r="D130" s="27"/>
      <c r="J130" s="46">
        <v>97861</v>
      </c>
      <c r="K130" s="50" t="s">
        <v>445</v>
      </c>
      <c r="L130" s="32" t="s">
        <v>329</v>
      </c>
      <c r="M130" s="26" t="s">
        <v>330</v>
      </c>
      <c r="N130" t="s">
        <v>1198</v>
      </c>
      <c r="R130" s="58" t="s">
        <v>655</v>
      </c>
      <c r="S130" s="25">
        <f t="shared" si="4"/>
        <v>0</v>
      </c>
      <c r="T130" s="25">
        <f t="shared" si="7"/>
        <v>1</v>
      </c>
      <c r="U130" s="29"/>
      <c r="V130" s="25">
        <f t="shared" si="6"/>
        <v>1</v>
      </c>
      <c r="W130" s="46">
        <v>97218</v>
      </c>
      <c r="X130" s="50" t="s">
        <v>97</v>
      </c>
    </row>
    <row r="131" spans="4:24" x14ac:dyDescent="0.25">
      <c r="D131" s="28" t="s">
        <v>808</v>
      </c>
      <c r="J131" s="46">
        <v>97817</v>
      </c>
      <c r="K131" s="50" t="s">
        <v>446</v>
      </c>
      <c r="L131" s="32" t="s">
        <v>247</v>
      </c>
      <c r="M131" s="26" t="s">
        <v>332</v>
      </c>
      <c r="N131" t="s">
        <v>1199</v>
      </c>
      <c r="R131" s="58" t="s">
        <v>427</v>
      </c>
      <c r="S131" s="25">
        <f t="shared" si="4"/>
        <v>0</v>
      </c>
      <c r="T131" s="25">
        <f t="shared" si="7"/>
        <v>1</v>
      </c>
      <c r="V131" s="25">
        <f t="shared" si="6"/>
        <v>1</v>
      </c>
      <c r="W131" s="46">
        <v>97219</v>
      </c>
      <c r="X131" s="50" t="s">
        <v>97</v>
      </c>
    </row>
    <row r="132" spans="4:24" x14ac:dyDescent="0.25">
      <c r="D132" s="278" t="s">
        <v>777</v>
      </c>
      <c r="E132" s="279"/>
      <c r="F132" s="279"/>
      <c r="G132" s="279"/>
      <c r="J132" s="46">
        <v>97820</v>
      </c>
      <c r="K132" s="50" t="s">
        <v>447</v>
      </c>
      <c r="L132" s="32" t="s">
        <v>247</v>
      </c>
      <c r="M132" s="26" t="s">
        <v>332</v>
      </c>
      <c r="N132" t="s">
        <v>1199</v>
      </c>
      <c r="R132" s="58" t="s">
        <v>618</v>
      </c>
      <c r="S132" s="25">
        <f t="shared" ref="S132:S195" si="8">COUNTIF($L$12:$L$499,Q132)</f>
        <v>0</v>
      </c>
      <c r="T132" s="25">
        <f t="shared" ref="T132:T151" si="9">COUNTIF($K$12:$K$499,R132)</f>
        <v>1</v>
      </c>
      <c r="V132" s="25">
        <f t="shared" si="6"/>
        <v>1</v>
      </c>
      <c r="W132" s="46">
        <v>97220</v>
      </c>
      <c r="X132" s="50" t="s">
        <v>97</v>
      </c>
    </row>
    <row r="133" spans="4:24" x14ac:dyDescent="0.25">
      <c r="D133" s="279"/>
      <c r="E133" s="279"/>
      <c r="F133" s="279"/>
      <c r="G133" s="279"/>
      <c r="J133" s="46">
        <v>97825</v>
      </c>
      <c r="K133" s="50" t="s">
        <v>448</v>
      </c>
      <c r="L133" s="32" t="s">
        <v>247</v>
      </c>
      <c r="M133" s="26" t="s">
        <v>332</v>
      </c>
      <c r="N133" t="s">
        <v>1199</v>
      </c>
      <c r="R133" s="58" t="s">
        <v>656</v>
      </c>
      <c r="S133" s="25">
        <f t="shared" si="8"/>
        <v>0</v>
      </c>
      <c r="T133" s="25">
        <f t="shared" si="9"/>
        <v>1</v>
      </c>
      <c r="V133" s="25">
        <f t="shared" ref="V133:V196" si="10">COUNTIF($W$5:$W$485,W133)</f>
        <v>1</v>
      </c>
      <c r="W133" s="46">
        <v>97221</v>
      </c>
      <c r="X133" s="50" t="s">
        <v>97</v>
      </c>
    </row>
    <row r="134" spans="4:24" x14ac:dyDescent="0.25">
      <c r="D134" s="279"/>
      <c r="E134" s="279"/>
      <c r="F134" s="279"/>
      <c r="G134" s="279"/>
      <c r="J134" s="46">
        <v>97845</v>
      </c>
      <c r="K134" s="50" t="s">
        <v>246</v>
      </c>
      <c r="L134" s="32" t="s">
        <v>247</v>
      </c>
      <c r="M134" s="26" t="s">
        <v>332</v>
      </c>
      <c r="N134" t="s">
        <v>1199</v>
      </c>
      <c r="R134" s="58" t="s">
        <v>589</v>
      </c>
      <c r="S134" s="25">
        <f t="shared" si="8"/>
        <v>0</v>
      </c>
      <c r="T134" s="25">
        <f t="shared" si="9"/>
        <v>1</v>
      </c>
      <c r="V134" s="25">
        <f t="shared" si="10"/>
        <v>1</v>
      </c>
      <c r="W134" s="46">
        <v>97222</v>
      </c>
      <c r="X134" s="50" t="s">
        <v>97</v>
      </c>
    </row>
    <row r="135" spans="4:24" x14ac:dyDescent="0.25">
      <c r="D135" s="279"/>
      <c r="E135" s="279"/>
      <c r="F135" s="279"/>
      <c r="G135" s="279"/>
      <c r="J135" s="46">
        <v>97848</v>
      </c>
      <c r="K135" s="50" t="s">
        <v>449</v>
      </c>
      <c r="L135" s="32" t="s">
        <v>247</v>
      </c>
      <c r="M135" s="26" t="s">
        <v>332</v>
      </c>
      <c r="N135" t="s">
        <v>1199</v>
      </c>
      <c r="R135" s="58" t="s">
        <v>583</v>
      </c>
      <c r="S135" s="25">
        <f t="shared" si="8"/>
        <v>0</v>
      </c>
      <c r="T135" s="25">
        <f t="shared" si="9"/>
        <v>1</v>
      </c>
      <c r="V135" s="25">
        <f t="shared" si="10"/>
        <v>1</v>
      </c>
      <c r="W135" s="46">
        <v>97223</v>
      </c>
      <c r="X135" s="50" t="s">
        <v>97</v>
      </c>
    </row>
    <row r="136" spans="4:24" x14ac:dyDescent="0.25">
      <c r="D136" s="279"/>
      <c r="E136" s="279"/>
      <c r="F136" s="279"/>
      <c r="G136" s="279"/>
      <c r="J136" s="46">
        <v>97856</v>
      </c>
      <c r="K136" s="50" t="s">
        <v>450</v>
      </c>
      <c r="L136" s="32" t="s">
        <v>247</v>
      </c>
      <c r="M136" s="26" t="s">
        <v>332</v>
      </c>
      <c r="N136" t="s">
        <v>1199</v>
      </c>
      <c r="R136" s="58" t="s">
        <v>504</v>
      </c>
      <c r="S136" s="25">
        <f t="shared" si="8"/>
        <v>0</v>
      </c>
      <c r="T136" s="25">
        <f t="shared" si="9"/>
        <v>1</v>
      </c>
      <c r="V136" s="25">
        <f t="shared" si="10"/>
        <v>1</v>
      </c>
      <c r="W136" s="46">
        <v>97224</v>
      </c>
      <c r="X136" s="50" t="s">
        <v>97</v>
      </c>
    </row>
    <row r="137" spans="4:24" x14ac:dyDescent="0.25">
      <c r="D137" s="279"/>
      <c r="E137" s="279"/>
      <c r="F137" s="279"/>
      <c r="G137" s="279"/>
      <c r="J137" s="46">
        <v>97864</v>
      </c>
      <c r="K137" s="50" t="s">
        <v>451</v>
      </c>
      <c r="L137" s="32" t="s">
        <v>247</v>
      </c>
      <c r="M137" s="26" t="s">
        <v>332</v>
      </c>
      <c r="N137" t="s">
        <v>1199</v>
      </c>
      <c r="R137" s="58" t="s">
        <v>370</v>
      </c>
      <c r="S137" s="25">
        <f t="shared" si="8"/>
        <v>0</v>
      </c>
      <c r="T137" s="25">
        <f t="shared" si="9"/>
        <v>1</v>
      </c>
      <c r="V137" s="25">
        <f t="shared" si="10"/>
        <v>1</v>
      </c>
      <c r="W137" s="46">
        <v>97225</v>
      </c>
      <c r="X137" s="50" t="s">
        <v>97</v>
      </c>
    </row>
    <row r="138" spans="4:24" x14ac:dyDescent="0.25">
      <c r="D138" s="279"/>
      <c r="E138" s="279"/>
      <c r="F138" s="279"/>
      <c r="G138" s="279"/>
      <c r="J138" s="46">
        <v>97865</v>
      </c>
      <c r="K138" s="50" t="s">
        <v>452</v>
      </c>
      <c r="L138" s="32" t="s">
        <v>247</v>
      </c>
      <c r="M138" s="26" t="s">
        <v>332</v>
      </c>
      <c r="N138" t="s">
        <v>1199</v>
      </c>
      <c r="R138" s="58" t="s">
        <v>428</v>
      </c>
      <c r="S138" s="25">
        <f t="shared" si="8"/>
        <v>0</v>
      </c>
      <c r="T138" s="25">
        <f t="shared" si="9"/>
        <v>1</v>
      </c>
      <c r="V138" s="25">
        <f t="shared" si="10"/>
        <v>1</v>
      </c>
      <c r="W138" s="46">
        <v>97227</v>
      </c>
      <c r="X138" s="50" t="s">
        <v>97</v>
      </c>
    </row>
    <row r="139" spans="4:24" x14ac:dyDescent="0.25">
      <c r="D139" s="279"/>
      <c r="E139" s="279"/>
      <c r="F139" s="279"/>
      <c r="G139" s="279"/>
      <c r="J139" s="46">
        <v>97869</v>
      </c>
      <c r="K139" s="50" t="s">
        <v>453</v>
      </c>
      <c r="L139" s="32" t="s">
        <v>247</v>
      </c>
      <c r="M139" s="26" t="s">
        <v>332</v>
      </c>
      <c r="N139" t="s">
        <v>1199</v>
      </c>
      <c r="R139" s="58" t="s">
        <v>552</v>
      </c>
      <c r="S139" s="25">
        <f t="shared" si="8"/>
        <v>0</v>
      </c>
      <c r="T139" s="25">
        <f t="shared" si="9"/>
        <v>1</v>
      </c>
      <c r="V139" s="25">
        <f t="shared" si="10"/>
        <v>1</v>
      </c>
      <c r="W139" s="46">
        <v>97228</v>
      </c>
      <c r="X139" s="50" t="s">
        <v>97</v>
      </c>
    </row>
    <row r="140" spans="4:24" x14ac:dyDescent="0.25">
      <c r="D140" s="279"/>
      <c r="E140" s="279"/>
      <c r="F140" s="279"/>
      <c r="G140" s="279"/>
      <c r="J140" s="46">
        <v>97873</v>
      </c>
      <c r="K140" s="50" t="s">
        <v>454</v>
      </c>
      <c r="L140" s="32" t="s">
        <v>247</v>
      </c>
      <c r="M140" s="26" t="s">
        <v>332</v>
      </c>
      <c r="N140" t="s">
        <v>1199</v>
      </c>
      <c r="R140" s="58" t="s">
        <v>429</v>
      </c>
      <c r="S140" s="25">
        <f t="shared" si="8"/>
        <v>0</v>
      </c>
      <c r="T140" s="25">
        <f t="shared" si="9"/>
        <v>1</v>
      </c>
      <c r="V140" s="25">
        <f t="shared" si="10"/>
        <v>1</v>
      </c>
      <c r="W140" s="46">
        <v>97229</v>
      </c>
      <c r="X140" s="50" t="s">
        <v>97</v>
      </c>
    </row>
    <row r="141" spans="4:24" x14ac:dyDescent="0.25">
      <c r="D141" s="279"/>
      <c r="E141" s="279"/>
      <c r="F141" s="279"/>
      <c r="G141" s="279"/>
      <c r="J141" s="46">
        <v>97710</v>
      </c>
      <c r="K141" s="50" t="s">
        <v>455</v>
      </c>
      <c r="L141" s="32" t="s">
        <v>252</v>
      </c>
      <c r="M141" s="26" t="s">
        <v>334</v>
      </c>
      <c r="N141" t="s">
        <v>1199</v>
      </c>
      <c r="R141" s="58" t="s">
        <v>168</v>
      </c>
      <c r="S141" s="25">
        <f t="shared" si="8"/>
        <v>0</v>
      </c>
      <c r="T141" s="25">
        <f t="shared" si="9"/>
        <v>1</v>
      </c>
      <c r="V141" s="25">
        <f t="shared" si="10"/>
        <v>1</v>
      </c>
      <c r="W141" s="46">
        <v>97230</v>
      </c>
      <c r="X141" s="50" t="s">
        <v>97</v>
      </c>
    </row>
    <row r="142" spans="4:24" x14ac:dyDescent="0.25">
      <c r="D142" s="279"/>
      <c r="E142" s="279"/>
      <c r="F142" s="279"/>
      <c r="G142" s="279"/>
      <c r="J142" s="46">
        <v>97720</v>
      </c>
      <c r="K142" s="50" t="s">
        <v>251</v>
      </c>
      <c r="L142" s="32" t="s">
        <v>252</v>
      </c>
      <c r="M142" s="26" t="s">
        <v>334</v>
      </c>
      <c r="N142" t="s">
        <v>1199</v>
      </c>
      <c r="R142" s="58" t="s">
        <v>469</v>
      </c>
      <c r="S142" s="25">
        <f t="shared" si="8"/>
        <v>0</v>
      </c>
      <c r="T142" s="25">
        <f t="shared" si="9"/>
        <v>1</v>
      </c>
      <c r="V142" s="25">
        <f t="shared" si="10"/>
        <v>1</v>
      </c>
      <c r="W142" s="46">
        <v>97231</v>
      </c>
      <c r="X142" s="50" t="s">
        <v>97</v>
      </c>
    </row>
    <row r="143" spans="4:24" x14ac:dyDescent="0.25">
      <c r="J143" s="46">
        <v>97721</v>
      </c>
      <c r="K143" s="50" t="s">
        <v>456</v>
      </c>
      <c r="L143" s="32" t="s">
        <v>252</v>
      </c>
      <c r="M143" s="26" t="s">
        <v>334</v>
      </c>
      <c r="N143" t="s">
        <v>1199</v>
      </c>
      <c r="R143" s="58" t="s">
        <v>372</v>
      </c>
      <c r="S143" s="25">
        <f t="shared" si="8"/>
        <v>0</v>
      </c>
      <c r="T143" s="25">
        <f t="shared" si="9"/>
        <v>1</v>
      </c>
      <c r="V143" s="25">
        <f t="shared" si="10"/>
        <v>1</v>
      </c>
      <c r="W143" s="46">
        <v>97232</v>
      </c>
      <c r="X143" s="50" t="s">
        <v>97</v>
      </c>
    </row>
    <row r="144" spans="4:24" x14ac:dyDescent="0.25">
      <c r="J144" s="46">
        <v>97722</v>
      </c>
      <c r="K144" s="50" t="s">
        <v>457</v>
      </c>
      <c r="L144" s="32" t="s">
        <v>252</v>
      </c>
      <c r="M144" s="26" t="s">
        <v>334</v>
      </c>
      <c r="N144" t="s">
        <v>1199</v>
      </c>
      <c r="R144" s="58" t="s">
        <v>607</v>
      </c>
      <c r="S144" s="25">
        <f t="shared" si="8"/>
        <v>0</v>
      </c>
      <c r="T144" s="25">
        <f t="shared" si="9"/>
        <v>1</v>
      </c>
      <c r="V144" s="25">
        <f t="shared" si="10"/>
        <v>1</v>
      </c>
      <c r="W144" s="46">
        <v>97233</v>
      </c>
      <c r="X144" s="50" t="s">
        <v>97</v>
      </c>
    </row>
    <row r="145" spans="10:24" x14ac:dyDescent="0.25">
      <c r="J145" s="46">
        <v>97732</v>
      </c>
      <c r="K145" s="50" t="s">
        <v>458</v>
      </c>
      <c r="L145" s="32" t="s">
        <v>252</v>
      </c>
      <c r="M145" s="26" t="s">
        <v>334</v>
      </c>
      <c r="N145" t="s">
        <v>1199</v>
      </c>
      <c r="R145" s="58" t="s">
        <v>181</v>
      </c>
      <c r="S145" s="25">
        <f t="shared" si="8"/>
        <v>0</v>
      </c>
      <c r="T145" s="25">
        <f t="shared" si="9"/>
        <v>3</v>
      </c>
      <c r="V145" s="25">
        <f t="shared" si="10"/>
        <v>1</v>
      </c>
      <c r="W145" s="46">
        <v>97236</v>
      </c>
      <c r="X145" s="50" t="s">
        <v>97</v>
      </c>
    </row>
    <row r="146" spans="10:24" x14ac:dyDescent="0.25">
      <c r="J146" s="46">
        <v>97736</v>
      </c>
      <c r="K146" s="50" t="s">
        <v>459</v>
      </c>
      <c r="L146" s="32" t="s">
        <v>252</v>
      </c>
      <c r="M146" s="26" t="s">
        <v>334</v>
      </c>
      <c r="N146" t="s">
        <v>1199</v>
      </c>
      <c r="R146" s="58" t="s">
        <v>611</v>
      </c>
      <c r="S146" s="25">
        <f t="shared" si="8"/>
        <v>0</v>
      </c>
      <c r="T146" s="25">
        <f t="shared" si="9"/>
        <v>1</v>
      </c>
      <c r="V146" s="25">
        <f t="shared" si="10"/>
        <v>1</v>
      </c>
      <c r="W146" s="46">
        <v>97238</v>
      </c>
      <c r="X146" s="50" t="s">
        <v>97</v>
      </c>
    </row>
    <row r="147" spans="10:24" x14ac:dyDescent="0.25">
      <c r="J147" s="46">
        <v>97738</v>
      </c>
      <c r="K147" s="50" t="s">
        <v>460</v>
      </c>
      <c r="L147" s="32" t="s">
        <v>252</v>
      </c>
      <c r="M147" s="26" t="s">
        <v>334</v>
      </c>
      <c r="N147" t="s">
        <v>1199</v>
      </c>
      <c r="R147" s="58" t="s">
        <v>306</v>
      </c>
      <c r="S147" s="25">
        <f t="shared" si="8"/>
        <v>0</v>
      </c>
      <c r="T147" s="25">
        <f t="shared" si="9"/>
        <v>2</v>
      </c>
      <c r="V147" s="25">
        <f t="shared" si="10"/>
        <v>1</v>
      </c>
      <c r="W147" s="46">
        <v>97240</v>
      </c>
      <c r="X147" s="50" t="s">
        <v>97</v>
      </c>
    </row>
    <row r="148" spans="10:24" x14ac:dyDescent="0.25">
      <c r="J148" s="46">
        <v>97758</v>
      </c>
      <c r="K148" s="50" t="s">
        <v>461</v>
      </c>
      <c r="L148" s="32" t="s">
        <v>252</v>
      </c>
      <c r="M148" s="26" t="s">
        <v>334</v>
      </c>
      <c r="N148" t="s">
        <v>1199</v>
      </c>
      <c r="R148" s="58" t="s">
        <v>324</v>
      </c>
      <c r="S148" s="25">
        <f t="shared" si="8"/>
        <v>0</v>
      </c>
      <c r="T148" s="25">
        <f t="shared" si="9"/>
        <v>1</v>
      </c>
      <c r="V148" s="25">
        <f t="shared" si="10"/>
        <v>1</v>
      </c>
      <c r="W148" s="46">
        <v>97242</v>
      </c>
      <c r="X148" s="50" t="s">
        <v>97</v>
      </c>
    </row>
    <row r="149" spans="10:24" x14ac:dyDescent="0.25">
      <c r="J149" s="46">
        <v>97904</v>
      </c>
      <c r="K149" s="50" t="s">
        <v>462</v>
      </c>
      <c r="L149" s="32" t="s">
        <v>252</v>
      </c>
      <c r="M149" s="26" t="s">
        <v>334</v>
      </c>
      <c r="N149" t="s">
        <v>1199</v>
      </c>
      <c r="R149" s="58" t="s">
        <v>326</v>
      </c>
      <c r="S149" s="25">
        <f t="shared" si="8"/>
        <v>0</v>
      </c>
      <c r="T149" s="25">
        <f t="shared" si="9"/>
        <v>1</v>
      </c>
      <c r="V149" s="25">
        <f t="shared" si="10"/>
        <v>1</v>
      </c>
      <c r="W149" s="46">
        <v>97251</v>
      </c>
      <c r="X149" s="50" t="s">
        <v>97</v>
      </c>
    </row>
    <row r="150" spans="10:24" x14ac:dyDescent="0.25">
      <c r="J150" s="46">
        <v>97014</v>
      </c>
      <c r="K150" s="50" t="s">
        <v>463</v>
      </c>
      <c r="L150" s="32" t="s">
        <v>191</v>
      </c>
      <c r="M150" s="26" t="s">
        <v>336</v>
      </c>
      <c r="N150" t="s">
        <v>1198</v>
      </c>
      <c r="R150" s="58" t="s">
        <v>561</v>
      </c>
      <c r="S150" s="25">
        <f t="shared" si="8"/>
        <v>0</v>
      </c>
      <c r="T150" s="25">
        <f t="shared" si="9"/>
        <v>1</v>
      </c>
      <c r="V150" s="25">
        <f t="shared" si="10"/>
        <v>1</v>
      </c>
      <c r="W150" s="46">
        <v>97253</v>
      </c>
      <c r="X150" s="50" t="s">
        <v>97</v>
      </c>
    </row>
    <row r="151" spans="10:24" x14ac:dyDescent="0.25">
      <c r="J151" s="46">
        <v>97031</v>
      </c>
      <c r="K151" s="50" t="s">
        <v>191</v>
      </c>
      <c r="L151" s="32" t="s">
        <v>191</v>
      </c>
      <c r="M151" s="26" t="s">
        <v>336</v>
      </c>
      <c r="N151" t="s">
        <v>1198</v>
      </c>
      <c r="R151" s="58" t="s">
        <v>387</v>
      </c>
      <c r="S151" s="25">
        <f t="shared" si="8"/>
        <v>0</v>
      </c>
      <c r="T151" s="25">
        <f t="shared" si="9"/>
        <v>1</v>
      </c>
      <c r="V151" s="25">
        <f t="shared" si="10"/>
        <v>1</v>
      </c>
      <c r="W151" s="46">
        <v>97254</v>
      </c>
      <c r="X151" s="50" t="s">
        <v>97</v>
      </c>
    </row>
    <row r="152" spans="10:24" x14ac:dyDescent="0.25">
      <c r="J152" s="46">
        <v>97041</v>
      </c>
      <c r="K152" s="50" t="s">
        <v>464</v>
      </c>
      <c r="L152" s="32" t="s">
        <v>191</v>
      </c>
      <c r="M152" s="26" t="s">
        <v>336</v>
      </c>
      <c r="N152" t="s">
        <v>1198</v>
      </c>
      <c r="R152" s="58" t="s">
        <v>722</v>
      </c>
      <c r="S152" s="25">
        <f t="shared" si="8"/>
        <v>0</v>
      </c>
      <c r="T152" s="25">
        <f t="shared" ref="T152:T183" si="11">COUNTIF($K$12:$K$499,R153)</f>
        <v>1</v>
      </c>
      <c r="V152" s="25">
        <f t="shared" si="10"/>
        <v>1</v>
      </c>
      <c r="W152" s="46">
        <v>97255</v>
      </c>
      <c r="X152" s="50" t="s">
        <v>97</v>
      </c>
    </row>
    <row r="153" spans="10:24" x14ac:dyDescent="0.25">
      <c r="J153" s="46">
        <v>97044</v>
      </c>
      <c r="K153" s="50" t="s">
        <v>465</v>
      </c>
      <c r="L153" s="32" t="s">
        <v>191</v>
      </c>
      <c r="M153" s="26" t="s">
        <v>336</v>
      </c>
      <c r="N153" t="s">
        <v>1198</v>
      </c>
      <c r="R153" s="58" t="s">
        <v>572</v>
      </c>
      <c r="S153" s="25">
        <f t="shared" si="8"/>
        <v>0</v>
      </c>
      <c r="T153" s="25">
        <f t="shared" si="11"/>
        <v>1</v>
      </c>
      <c r="V153" s="25">
        <f t="shared" si="10"/>
        <v>1</v>
      </c>
      <c r="W153" s="46">
        <v>97256</v>
      </c>
      <c r="X153" s="50" t="s">
        <v>97</v>
      </c>
    </row>
    <row r="154" spans="10:24" x14ac:dyDescent="0.25">
      <c r="J154" s="46">
        <v>97501</v>
      </c>
      <c r="K154" s="50" t="s">
        <v>171</v>
      </c>
      <c r="L154" s="32" t="s">
        <v>172</v>
      </c>
      <c r="M154" s="26" t="s">
        <v>338</v>
      </c>
      <c r="N154" t="s">
        <v>1200</v>
      </c>
      <c r="R154" s="58" t="s">
        <v>568</v>
      </c>
      <c r="S154" s="25">
        <f t="shared" si="8"/>
        <v>0</v>
      </c>
      <c r="T154" s="25">
        <f t="shared" si="11"/>
        <v>1</v>
      </c>
      <c r="V154" s="25">
        <f t="shared" si="10"/>
        <v>1</v>
      </c>
      <c r="W154" s="46">
        <v>97258</v>
      </c>
      <c r="X154" s="50" t="s">
        <v>97</v>
      </c>
    </row>
    <row r="155" spans="10:24" x14ac:dyDescent="0.25">
      <c r="J155" s="46">
        <v>97502</v>
      </c>
      <c r="K155" s="50" t="s">
        <v>466</v>
      </c>
      <c r="L155" s="32" t="s">
        <v>172</v>
      </c>
      <c r="M155" s="26" t="s">
        <v>338</v>
      </c>
      <c r="N155" t="s">
        <v>1200</v>
      </c>
      <c r="R155" s="58" t="s">
        <v>619</v>
      </c>
      <c r="S155" s="25">
        <f t="shared" si="8"/>
        <v>0</v>
      </c>
      <c r="T155" s="25">
        <f t="shared" si="11"/>
        <v>1</v>
      </c>
      <c r="V155" s="25">
        <f t="shared" si="10"/>
        <v>1</v>
      </c>
      <c r="W155" s="46">
        <v>97259</v>
      </c>
      <c r="X155" s="50" t="s">
        <v>97</v>
      </c>
    </row>
    <row r="156" spans="10:24" x14ac:dyDescent="0.25">
      <c r="J156" s="46">
        <v>97503</v>
      </c>
      <c r="K156" s="50" t="s">
        <v>176</v>
      </c>
      <c r="L156" s="32" t="s">
        <v>172</v>
      </c>
      <c r="M156" s="26" t="s">
        <v>338</v>
      </c>
      <c r="N156" t="s">
        <v>1200</v>
      </c>
      <c r="R156" s="58" t="s">
        <v>630</v>
      </c>
      <c r="S156" s="25">
        <f t="shared" si="8"/>
        <v>0</v>
      </c>
      <c r="T156" s="25">
        <f t="shared" si="11"/>
        <v>1</v>
      </c>
      <c r="V156" s="25">
        <f t="shared" si="10"/>
        <v>1</v>
      </c>
      <c r="W156" s="46">
        <v>97266</v>
      </c>
      <c r="X156" s="50" t="s">
        <v>97</v>
      </c>
    </row>
    <row r="157" spans="10:24" x14ac:dyDescent="0.25">
      <c r="J157" s="46">
        <v>97504</v>
      </c>
      <c r="K157" s="50" t="s">
        <v>171</v>
      </c>
      <c r="L157" s="32" t="s">
        <v>172</v>
      </c>
      <c r="M157" s="26" t="s">
        <v>338</v>
      </c>
      <c r="N157" t="s">
        <v>1200</v>
      </c>
      <c r="R157" s="58" t="s">
        <v>598</v>
      </c>
      <c r="S157" s="25">
        <f t="shared" si="8"/>
        <v>0</v>
      </c>
      <c r="T157" s="25">
        <f t="shared" si="11"/>
        <v>1</v>
      </c>
      <c r="V157" s="25">
        <f t="shared" si="10"/>
        <v>1</v>
      </c>
      <c r="W157" s="46">
        <v>97267</v>
      </c>
      <c r="X157" s="50" t="s">
        <v>97</v>
      </c>
    </row>
    <row r="158" spans="10:24" x14ac:dyDescent="0.25">
      <c r="J158" s="46">
        <v>97520</v>
      </c>
      <c r="K158" s="50" t="s">
        <v>174</v>
      </c>
      <c r="L158" s="32" t="s">
        <v>172</v>
      </c>
      <c r="M158" s="26" t="s">
        <v>338</v>
      </c>
      <c r="N158" t="s">
        <v>1200</v>
      </c>
      <c r="R158" s="58" t="s">
        <v>328</v>
      </c>
      <c r="S158" s="25">
        <f t="shared" si="8"/>
        <v>0</v>
      </c>
      <c r="T158" s="25">
        <f t="shared" si="11"/>
        <v>1</v>
      </c>
      <c r="V158" s="25">
        <f t="shared" si="10"/>
        <v>1</v>
      </c>
      <c r="W158" s="46">
        <v>97268</v>
      </c>
      <c r="X158" s="50" t="s">
        <v>97</v>
      </c>
    </row>
    <row r="159" spans="10:24" x14ac:dyDescent="0.25">
      <c r="J159" s="46">
        <v>97522</v>
      </c>
      <c r="K159" s="50" t="s">
        <v>467</v>
      </c>
      <c r="L159" s="32" t="s">
        <v>172</v>
      </c>
      <c r="M159" s="26" t="s">
        <v>338</v>
      </c>
      <c r="N159" t="s">
        <v>1200</v>
      </c>
      <c r="R159" s="58" t="s">
        <v>227</v>
      </c>
      <c r="S159" s="25">
        <f t="shared" si="8"/>
        <v>0</v>
      </c>
      <c r="T159" s="25">
        <f t="shared" si="11"/>
        <v>3</v>
      </c>
      <c r="V159" s="25">
        <f t="shared" si="10"/>
        <v>1</v>
      </c>
      <c r="W159" s="46">
        <v>97269</v>
      </c>
      <c r="X159" s="50" t="s">
        <v>97</v>
      </c>
    </row>
    <row r="160" spans="10:24" x14ac:dyDescent="0.25">
      <c r="J160" s="46">
        <v>97524</v>
      </c>
      <c r="K160" s="50" t="s">
        <v>468</v>
      </c>
      <c r="L160" s="32" t="s">
        <v>172</v>
      </c>
      <c r="M160" s="26" t="s">
        <v>338</v>
      </c>
      <c r="N160" t="s">
        <v>1200</v>
      </c>
      <c r="R160" s="58" t="s">
        <v>277</v>
      </c>
      <c r="S160" s="25">
        <f t="shared" si="8"/>
        <v>0</v>
      </c>
      <c r="T160" s="25">
        <f t="shared" si="11"/>
        <v>1</v>
      </c>
      <c r="U160" s="29"/>
      <c r="V160" s="25">
        <f t="shared" si="10"/>
        <v>1</v>
      </c>
      <c r="W160" s="46">
        <v>97271</v>
      </c>
      <c r="X160" s="50" t="s">
        <v>97</v>
      </c>
    </row>
    <row r="161" spans="10:24" x14ac:dyDescent="0.25">
      <c r="J161" s="46">
        <v>97525</v>
      </c>
      <c r="K161" s="50" t="s">
        <v>469</v>
      </c>
      <c r="L161" s="32" t="s">
        <v>172</v>
      </c>
      <c r="M161" s="26" t="s">
        <v>338</v>
      </c>
      <c r="N161" t="s">
        <v>1200</v>
      </c>
      <c r="R161" s="58" t="s">
        <v>460</v>
      </c>
      <c r="S161" s="25">
        <f t="shared" si="8"/>
        <v>0</v>
      </c>
      <c r="T161" s="25">
        <f t="shared" si="11"/>
        <v>1</v>
      </c>
      <c r="V161" s="25">
        <f t="shared" si="10"/>
        <v>1</v>
      </c>
      <c r="W161" s="46">
        <v>97272</v>
      </c>
      <c r="X161" s="50" t="s">
        <v>97</v>
      </c>
    </row>
    <row r="162" spans="10:24" x14ac:dyDescent="0.25">
      <c r="J162" s="46">
        <v>97530</v>
      </c>
      <c r="K162" s="50" t="s">
        <v>470</v>
      </c>
      <c r="L162" s="32" t="s">
        <v>172</v>
      </c>
      <c r="M162" s="26" t="s">
        <v>338</v>
      </c>
      <c r="N162" t="s">
        <v>1200</v>
      </c>
      <c r="R162" s="58" t="s">
        <v>191</v>
      </c>
      <c r="S162" s="25">
        <f t="shared" si="8"/>
        <v>0</v>
      </c>
      <c r="T162" s="25">
        <f t="shared" si="11"/>
        <v>1</v>
      </c>
      <c r="V162" s="25">
        <f t="shared" si="10"/>
        <v>1</v>
      </c>
      <c r="W162" s="46">
        <v>97280</v>
      </c>
      <c r="X162" s="50" t="s">
        <v>97</v>
      </c>
    </row>
    <row r="163" spans="10:24" x14ac:dyDescent="0.25">
      <c r="J163" s="46">
        <v>97535</v>
      </c>
      <c r="K163" s="50" t="s">
        <v>471</v>
      </c>
      <c r="L163" s="32" t="s">
        <v>172</v>
      </c>
      <c r="M163" s="26" t="s">
        <v>338</v>
      </c>
      <c r="N163" t="s">
        <v>1200</v>
      </c>
      <c r="R163" s="58" t="s">
        <v>584</v>
      </c>
      <c r="S163" s="25">
        <f t="shared" si="8"/>
        <v>0</v>
      </c>
      <c r="T163" s="25">
        <f t="shared" si="11"/>
        <v>1</v>
      </c>
      <c r="V163" s="25">
        <f t="shared" si="10"/>
        <v>1</v>
      </c>
      <c r="W163" s="46">
        <v>97281</v>
      </c>
      <c r="X163" s="50" t="s">
        <v>97</v>
      </c>
    </row>
    <row r="164" spans="10:24" x14ac:dyDescent="0.25">
      <c r="J164" s="46">
        <v>97536</v>
      </c>
      <c r="K164" s="50" t="s">
        <v>472</v>
      </c>
      <c r="L164" s="32" t="s">
        <v>172</v>
      </c>
      <c r="M164" s="26" t="s">
        <v>338</v>
      </c>
      <c r="N164" t="s">
        <v>1200</v>
      </c>
      <c r="R164" s="58" t="s">
        <v>341</v>
      </c>
      <c r="S164" s="25">
        <f t="shared" si="8"/>
        <v>0</v>
      </c>
      <c r="T164" s="25">
        <f t="shared" si="11"/>
        <v>1</v>
      </c>
      <c r="V164" s="25">
        <f t="shared" si="10"/>
        <v>1</v>
      </c>
      <c r="W164" s="46">
        <v>97282</v>
      </c>
      <c r="X164" s="50" t="s">
        <v>97</v>
      </c>
    </row>
    <row r="165" spans="10:24" x14ac:dyDescent="0.25">
      <c r="J165" s="46">
        <v>97537</v>
      </c>
      <c r="K165" s="50" t="s">
        <v>473</v>
      </c>
      <c r="L165" s="32" t="s">
        <v>172</v>
      </c>
      <c r="M165" s="26" t="s">
        <v>338</v>
      </c>
      <c r="N165" t="s">
        <v>1200</v>
      </c>
      <c r="R165" s="58" t="s">
        <v>590</v>
      </c>
      <c r="S165" s="25">
        <f t="shared" si="8"/>
        <v>0</v>
      </c>
      <c r="T165" s="25">
        <f t="shared" si="11"/>
        <v>1</v>
      </c>
      <c r="V165" s="25">
        <f t="shared" si="10"/>
        <v>1</v>
      </c>
      <c r="W165" s="46">
        <v>97283</v>
      </c>
      <c r="X165" s="50" t="s">
        <v>97</v>
      </c>
    </row>
    <row r="166" spans="10:24" x14ac:dyDescent="0.25">
      <c r="J166" s="46">
        <v>97539</v>
      </c>
      <c r="K166" s="50" t="s">
        <v>474</v>
      </c>
      <c r="L166" s="32" t="s">
        <v>172</v>
      </c>
      <c r="M166" s="26" t="s">
        <v>338</v>
      </c>
      <c r="N166" t="s">
        <v>1200</v>
      </c>
      <c r="R166" s="58" t="s">
        <v>430</v>
      </c>
      <c r="S166" s="25">
        <f t="shared" si="8"/>
        <v>0</v>
      </c>
      <c r="T166" s="25">
        <f t="shared" si="11"/>
        <v>1</v>
      </c>
      <c r="V166" s="25">
        <f t="shared" si="10"/>
        <v>1</v>
      </c>
      <c r="W166" s="46">
        <v>97286</v>
      </c>
      <c r="X166" s="50" t="s">
        <v>97</v>
      </c>
    </row>
    <row r="167" spans="10:24" x14ac:dyDescent="0.25">
      <c r="J167" s="46">
        <v>97540</v>
      </c>
      <c r="K167" s="50" t="s">
        <v>475</v>
      </c>
      <c r="L167" s="32" t="s">
        <v>172</v>
      </c>
      <c r="M167" s="26" t="s">
        <v>338</v>
      </c>
      <c r="N167" t="s">
        <v>1200</v>
      </c>
      <c r="R167" s="58" t="s">
        <v>639</v>
      </c>
      <c r="S167" s="25">
        <f t="shared" si="8"/>
        <v>0</v>
      </c>
      <c r="T167" s="25">
        <f t="shared" si="11"/>
        <v>1</v>
      </c>
      <c r="V167" s="25">
        <f t="shared" si="10"/>
        <v>1</v>
      </c>
      <c r="W167" s="46">
        <v>97290</v>
      </c>
      <c r="X167" s="50" t="s">
        <v>97</v>
      </c>
    </row>
    <row r="168" spans="10:24" x14ac:dyDescent="0.25">
      <c r="J168" s="46">
        <v>97541</v>
      </c>
      <c r="K168" s="50" t="s">
        <v>476</v>
      </c>
      <c r="L168" s="32" t="s">
        <v>172</v>
      </c>
      <c r="M168" s="26" t="s">
        <v>338</v>
      </c>
      <c r="N168" t="s">
        <v>1200</v>
      </c>
      <c r="R168" s="58" t="s">
        <v>642</v>
      </c>
      <c r="S168" s="25">
        <f t="shared" si="8"/>
        <v>0</v>
      </c>
      <c r="T168" s="25">
        <f t="shared" si="11"/>
        <v>1</v>
      </c>
      <c r="V168" s="25">
        <f t="shared" si="10"/>
        <v>1</v>
      </c>
      <c r="W168" s="46">
        <v>97291</v>
      </c>
      <c r="X168" s="50" t="s">
        <v>97</v>
      </c>
    </row>
    <row r="169" spans="10:24" x14ac:dyDescent="0.25">
      <c r="J169" s="46">
        <v>97711</v>
      </c>
      <c r="K169" s="50" t="s">
        <v>477</v>
      </c>
      <c r="L169" s="32" t="s">
        <v>213</v>
      </c>
      <c r="M169" s="26" t="s">
        <v>340</v>
      </c>
      <c r="N169" t="s">
        <v>1196</v>
      </c>
      <c r="R169" s="58" t="s">
        <v>608</v>
      </c>
      <c r="S169" s="25">
        <f t="shared" si="8"/>
        <v>0</v>
      </c>
      <c r="T169" s="25">
        <f t="shared" si="11"/>
        <v>1</v>
      </c>
      <c r="V169" s="25">
        <f t="shared" si="10"/>
        <v>1</v>
      </c>
      <c r="W169" s="46">
        <v>97292</v>
      </c>
      <c r="X169" s="50" t="s">
        <v>97</v>
      </c>
    </row>
    <row r="170" spans="10:24" x14ac:dyDescent="0.25">
      <c r="J170" s="46">
        <v>97730</v>
      </c>
      <c r="K170" s="50" t="s">
        <v>478</v>
      </c>
      <c r="L170" s="32" t="s">
        <v>213</v>
      </c>
      <c r="M170" s="26" t="s">
        <v>340</v>
      </c>
      <c r="N170" t="s">
        <v>1196</v>
      </c>
      <c r="R170" s="58" t="s">
        <v>600</v>
      </c>
      <c r="S170" s="25">
        <f t="shared" si="8"/>
        <v>0</v>
      </c>
      <c r="T170" s="25">
        <f t="shared" si="11"/>
        <v>1</v>
      </c>
      <c r="V170" s="25">
        <f t="shared" si="10"/>
        <v>1</v>
      </c>
      <c r="W170" s="46">
        <v>97293</v>
      </c>
      <c r="X170" s="50" t="s">
        <v>97</v>
      </c>
    </row>
    <row r="171" spans="10:24" x14ac:dyDescent="0.25">
      <c r="J171" s="46">
        <v>97734</v>
      </c>
      <c r="K171" s="50" t="s">
        <v>479</v>
      </c>
      <c r="L171" s="32" t="s">
        <v>213</v>
      </c>
      <c r="M171" s="26" t="s">
        <v>340</v>
      </c>
      <c r="N171" t="s">
        <v>1196</v>
      </c>
      <c r="R171" s="58" t="s">
        <v>573</v>
      </c>
      <c r="S171" s="25">
        <f t="shared" si="8"/>
        <v>0</v>
      </c>
      <c r="T171" s="25">
        <f t="shared" si="11"/>
        <v>1</v>
      </c>
      <c r="V171" s="25">
        <f t="shared" si="10"/>
        <v>1</v>
      </c>
      <c r="W171" s="46">
        <v>97294</v>
      </c>
      <c r="X171" s="50" t="s">
        <v>97</v>
      </c>
    </row>
    <row r="172" spans="10:24" x14ac:dyDescent="0.25">
      <c r="J172" s="46">
        <v>97741</v>
      </c>
      <c r="K172" s="50" t="s">
        <v>212</v>
      </c>
      <c r="L172" s="32" t="s">
        <v>213</v>
      </c>
      <c r="M172" s="26" t="s">
        <v>340</v>
      </c>
      <c r="N172" t="s">
        <v>1196</v>
      </c>
      <c r="R172" s="58" t="s">
        <v>601</v>
      </c>
      <c r="S172" s="25">
        <f t="shared" si="8"/>
        <v>0</v>
      </c>
      <c r="T172" s="25">
        <f t="shared" si="11"/>
        <v>1</v>
      </c>
      <c r="V172" s="25">
        <f t="shared" si="10"/>
        <v>1</v>
      </c>
      <c r="W172" s="46">
        <v>97296</v>
      </c>
      <c r="X172" s="50" t="s">
        <v>97</v>
      </c>
    </row>
    <row r="173" spans="10:24" x14ac:dyDescent="0.25">
      <c r="J173" s="46">
        <v>97760</v>
      </c>
      <c r="K173" s="50" t="s">
        <v>480</v>
      </c>
      <c r="L173" s="32" t="s">
        <v>213</v>
      </c>
      <c r="M173" s="26" t="s">
        <v>340</v>
      </c>
      <c r="N173" t="s">
        <v>1196</v>
      </c>
      <c r="R173" s="58" t="s">
        <v>470</v>
      </c>
      <c r="S173" s="25">
        <f t="shared" si="8"/>
        <v>0</v>
      </c>
      <c r="T173" s="25">
        <f t="shared" si="11"/>
        <v>1</v>
      </c>
      <c r="V173" s="25">
        <f t="shared" si="10"/>
        <v>1</v>
      </c>
      <c r="W173" s="46">
        <v>97298</v>
      </c>
      <c r="X173" s="50" t="s">
        <v>97</v>
      </c>
    </row>
    <row r="174" spans="10:24" x14ac:dyDescent="0.25">
      <c r="J174" s="46">
        <v>97761</v>
      </c>
      <c r="K174" s="50" t="s">
        <v>214</v>
      </c>
      <c r="L174" s="32" t="s">
        <v>213</v>
      </c>
      <c r="M174" s="26" t="s">
        <v>340</v>
      </c>
      <c r="N174" t="s">
        <v>1196</v>
      </c>
      <c r="R174" s="58" t="s">
        <v>574</v>
      </c>
      <c r="S174" s="25">
        <f t="shared" si="8"/>
        <v>0</v>
      </c>
      <c r="T174" s="25">
        <f t="shared" si="11"/>
        <v>1</v>
      </c>
      <c r="V174" s="25">
        <f t="shared" si="10"/>
        <v>1</v>
      </c>
      <c r="W174" s="46">
        <v>97299</v>
      </c>
      <c r="X174" s="50" t="s">
        <v>97</v>
      </c>
    </row>
    <row r="175" spans="10:24" x14ac:dyDescent="0.25">
      <c r="J175" s="46">
        <v>97497</v>
      </c>
      <c r="K175" s="50" t="s">
        <v>481</v>
      </c>
      <c r="L175" s="32" t="s">
        <v>182</v>
      </c>
      <c r="M175" s="26" t="s">
        <v>342</v>
      </c>
      <c r="N175" t="s">
        <v>1200</v>
      </c>
      <c r="R175" s="58" t="s">
        <v>213</v>
      </c>
      <c r="S175" s="25">
        <f t="shared" si="8"/>
        <v>0</v>
      </c>
      <c r="T175" s="25">
        <f t="shared" si="11"/>
        <v>1</v>
      </c>
      <c r="V175" s="25">
        <f t="shared" si="10"/>
        <v>1</v>
      </c>
      <c r="W175" s="46">
        <v>97301</v>
      </c>
      <c r="X175" s="50" t="s">
        <v>40</v>
      </c>
    </row>
    <row r="176" spans="10:24" x14ac:dyDescent="0.25">
      <c r="J176" s="46">
        <v>97523</v>
      </c>
      <c r="K176" s="50" t="s">
        <v>185</v>
      </c>
      <c r="L176" s="32" t="s">
        <v>182</v>
      </c>
      <c r="M176" s="26" t="s">
        <v>342</v>
      </c>
      <c r="N176" t="s">
        <v>1200</v>
      </c>
      <c r="R176" s="58" t="s">
        <v>246</v>
      </c>
      <c r="S176" s="25">
        <f t="shared" si="8"/>
        <v>0</v>
      </c>
      <c r="T176" s="25">
        <f t="shared" si="11"/>
        <v>1</v>
      </c>
      <c r="V176" s="25">
        <f t="shared" si="10"/>
        <v>1</v>
      </c>
      <c r="W176" s="46">
        <v>97302</v>
      </c>
      <c r="X176" s="50" t="s">
        <v>40</v>
      </c>
    </row>
    <row r="177" spans="10:24" x14ac:dyDescent="0.25">
      <c r="J177" s="46">
        <v>97526</v>
      </c>
      <c r="K177" s="50" t="s">
        <v>181</v>
      </c>
      <c r="L177" s="32" t="s">
        <v>182</v>
      </c>
      <c r="M177" s="26" t="s">
        <v>342</v>
      </c>
      <c r="N177" t="s">
        <v>1200</v>
      </c>
      <c r="R177" s="58" t="s">
        <v>575</v>
      </c>
      <c r="S177" s="25">
        <f t="shared" si="8"/>
        <v>0</v>
      </c>
      <c r="T177" s="25">
        <f t="shared" si="11"/>
        <v>1</v>
      </c>
      <c r="V177" s="25">
        <f t="shared" si="10"/>
        <v>1</v>
      </c>
      <c r="W177" s="46">
        <v>97303</v>
      </c>
      <c r="X177" s="50" t="s">
        <v>40</v>
      </c>
    </row>
    <row r="178" spans="10:24" x14ac:dyDescent="0.25">
      <c r="J178" s="46">
        <v>97527</v>
      </c>
      <c r="K178" s="50" t="s">
        <v>181</v>
      </c>
      <c r="L178" s="32" t="s">
        <v>182</v>
      </c>
      <c r="M178" s="26" t="s">
        <v>342</v>
      </c>
      <c r="N178" t="s">
        <v>1200</v>
      </c>
      <c r="R178" s="58" t="s">
        <v>643</v>
      </c>
      <c r="S178" s="25">
        <f t="shared" si="8"/>
        <v>0</v>
      </c>
      <c r="T178" s="25">
        <f t="shared" si="11"/>
        <v>1</v>
      </c>
      <c r="V178" s="25">
        <f t="shared" si="10"/>
        <v>1</v>
      </c>
      <c r="W178" s="46">
        <v>97304</v>
      </c>
      <c r="X178" s="50" t="s">
        <v>40</v>
      </c>
    </row>
    <row r="179" spans="10:24" x14ac:dyDescent="0.25">
      <c r="J179" s="46">
        <v>97528</v>
      </c>
      <c r="K179" s="50" t="s">
        <v>181</v>
      </c>
      <c r="L179" s="32" t="s">
        <v>182</v>
      </c>
      <c r="M179" s="26" t="s">
        <v>342</v>
      </c>
      <c r="N179" t="s">
        <v>1200</v>
      </c>
      <c r="R179" s="58" t="s">
        <v>524</v>
      </c>
      <c r="S179" s="25">
        <f t="shared" si="8"/>
        <v>0</v>
      </c>
      <c r="T179" s="25">
        <f t="shared" si="11"/>
        <v>1</v>
      </c>
      <c r="V179" s="25">
        <f t="shared" si="10"/>
        <v>1</v>
      </c>
      <c r="W179" s="46">
        <v>97305</v>
      </c>
      <c r="X179" s="50" t="s">
        <v>40</v>
      </c>
    </row>
    <row r="180" spans="10:24" x14ac:dyDescent="0.25">
      <c r="J180" s="46">
        <v>97531</v>
      </c>
      <c r="K180" s="50" t="s">
        <v>482</v>
      </c>
      <c r="L180" s="32" t="s">
        <v>182</v>
      </c>
      <c r="M180" s="26" t="s">
        <v>342</v>
      </c>
      <c r="N180" t="s">
        <v>1200</v>
      </c>
      <c r="R180" s="58" t="s">
        <v>576</v>
      </c>
      <c r="S180" s="25">
        <f t="shared" si="8"/>
        <v>0</v>
      </c>
      <c r="T180" s="25">
        <f t="shared" si="11"/>
        <v>1</v>
      </c>
      <c r="V180" s="25">
        <f t="shared" si="10"/>
        <v>1</v>
      </c>
      <c r="W180" s="46">
        <v>97306</v>
      </c>
      <c r="X180" s="50" t="s">
        <v>40</v>
      </c>
    </row>
    <row r="181" spans="10:24" x14ac:dyDescent="0.25">
      <c r="J181" s="46">
        <v>97532</v>
      </c>
      <c r="K181" s="50" t="s">
        <v>483</v>
      </c>
      <c r="L181" s="32" t="s">
        <v>182</v>
      </c>
      <c r="M181" s="26" t="s">
        <v>342</v>
      </c>
      <c r="N181" t="s">
        <v>1200</v>
      </c>
      <c r="R181" s="58" t="s">
        <v>586</v>
      </c>
      <c r="S181" s="25">
        <f t="shared" si="8"/>
        <v>0</v>
      </c>
      <c r="T181" s="25">
        <f t="shared" si="11"/>
        <v>1</v>
      </c>
      <c r="V181" s="25">
        <f t="shared" si="10"/>
        <v>1</v>
      </c>
      <c r="W181" s="46">
        <v>97307</v>
      </c>
      <c r="X181" s="50" t="s">
        <v>586</v>
      </c>
    </row>
    <row r="182" spans="10:24" x14ac:dyDescent="0.25">
      <c r="J182" s="46">
        <v>97533</v>
      </c>
      <c r="K182" s="50" t="s">
        <v>484</v>
      </c>
      <c r="L182" s="32" t="s">
        <v>182</v>
      </c>
      <c r="M182" s="26" t="s">
        <v>342</v>
      </c>
      <c r="N182" t="s">
        <v>1200</v>
      </c>
      <c r="R182" s="58" t="s">
        <v>497</v>
      </c>
      <c r="S182" s="25">
        <f t="shared" si="8"/>
        <v>0</v>
      </c>
      <c r="T182" s="25">
        <f t="shared" si="11"/>
        <v>1</v>
      </c>
      <c r="V182" s="25">
        <f t="shared" si="10"/>
        <v>1</v>
      </c>
      <c r="W182" s="46">
        <v>97308</v>
      </c>
      <c r="X182" s="50" t="s">
        <v>40</v>
      </c>
    </row>
    <row r="183" spans="10:24" x14ac:dyDescent="0.25">
      <c r="J183" s="46">
        <v>97534</v>
      </c>
      <c r="K183" s="50" t="s">
        <v>485</v>
      </c>
      <c r="L183" s="32" t="s">
        <v>182</v>
      </c>
      <c r="M183" s="26" t="s">
        <v>342</v>
      </c>
      <c r="N183" t="s">
        <v>1200</v>
      </c>
      <c r="R183" s="58" t="s">
        <v>612</v>
      </c>
      <c r="S183" s="25">
        <f t="shared" si="8"/>
        <v>0</v>
      </c>
      <c r="T183" s="25">
        <f t="shared" si="11"/>
        <v>1</v>
      </c>
      <c r="V183" s="25">
        <f t="shared" si="10"/>
        <v>1</v>
      </c>
      <c r="W183" s="46">
        <v>97309</v>
      </c>
      <c r="X183" s="50" t="s">
        <v>40</v>
      </c>
    </row>
    <row r="184" spans="10:24" x14ac:dyDescent="0.25">
      <c r="J184" s="46">
        <v>97538</v>
      </c>
      <c r="K184" s="50" t="s">
        <v>486</v>
      </c>
      <c r="L184" s="32" t="s">
        <v>182</v>
      </c>
      <c r="M184" s="26" t="s">
        <v>342</v>
      </c>
      <c r="N184" t="s">
        <v>1200</v>
      </c>
      <c r="R184" s="58" t="s">
        <v>482</v>
      </c>
      <c r="S184" s="25">
        <f t="shared" si="8"/>
        <v>0</v>
      </c>
      <c r="T184" s="25">
        <f t="shared" ref="T184:T220" si="12">COUNTIF($K$12:$K$499,R185)</f>
        <v>1</v>
      </c>
      <c r="V184" s="25">
        <f t="shared" si="10"/>
        <v>1</v>
      </c>
      <c r="W184" s="46">
        <v>97310</v>
      </c>
      <c r="X184" s="50" t="s">
        <v>40</v>
      </c>
    </row>
    <row r="185" spans="10:24" x14ac:dyDescent="0.25">
      <c r="J185" s="46">
        <v>97543</v>
      </c>
      <c r="K185" s="50" t="s">
        <v>487</v>
      </c>
      <c r="L185" s="32" t="s">
        <v>182</v>
      </c>
      <c r="M185" s="26" t="s">
        <v>342</v>
      </c>
      <c r="N185" t="s">
        <v>1200</v>
      </c>
      <c r="R185" s="58" t="s">
        <v>449</v>
      </c>
      <c r="S185" s="25">
        <f t="shared" si="8"/>
        <v>0</v>
      </c>
      <c r="T185" s="25">
        <f t="shared" si="12"/>
        <v>3</v>
      </c>
      <c r="V185" s="25">
        <f t="shared" si="10"/>
        <v>1</v>
      </c>
      <c r="W185" s="46">
        <v>97311</v>
      </c>
      <c r="X185" s="50" t="s">
        <v>40</v>
      </c>
    </row>
    <row r="186" spans="10:24" x14ac:dyDescent="0.25">
      <c r="J186" s="46">
        <v>97544</v>
      </c>
      <c r="K186" s="50" t="s">
        <v>488</v>
      </c>
      <c r="L186" s="32" t="s">
        <v>182</v>
      </c>
      <c r="M186" s="26" t="s">
        <v>342</v>
      </c>
      <c r="N186" t="s">
        <v>1200</v>
      </c>
      <c r="R186" s="58" t="s">
        <v>217</v>
      </c>
      <c r="S186" s="25">
        <f t="shared" si="8"/>
        <v>0</v>
      </c>
      <c r="T186" s="25">
        <f t="shared" si="12"/>
        <v>1</v>
      </c>
      <c r="V186" s="25">
        <f t="shared" si="10"/>
        <v>1</v>
      </c>
      <c r="W186" s="46">
        <v>97312</v>
      </c>
      <c r="X186" s="50" t="s">
        <v>40</v>
      </c>
    </row>
    <row r="187" spans="10:24" x14ac:dyDescent="0.25">
      <c r="J187" s="46">
        <v>97425</v>
      </c>
      <c r="K187" s="50" t="s">
        <v>489</v>
      </c>
      <c r="L187" s="32" t="s">
        <v>218</v>
      </c>
      <c r="M187" s="26" t="s">
        <v>344</v>
      </c>
      <c r="N187" t="s">
        <v>1201</v>
      </c>
      <c r="R187" s="58" t="s">
        <v>238</v>
      </c>
      <c r="S187" s="25">
        <f t="shared" si="8"/>
        <v>0</v>
      </c>
      <c r="T187" s="25">
        <f t="shared" si="12"/>
        <v>1</v>
      </c>
      <c r="V187" s="25">
        <f t="shared" si="10"/>
        <v>1</v>
      </c>
      <c r="W187" s="46">
        <v>97313</v>
      </c>
      <c r="X187" s="50" t="s">
        <v>40</v>
      </c>
    </row>
    <row r="188" spans="10:24" x14ac:dyDescent="0.25">
      <c r="J188" s="46">
        <v>97601</v>
      </c>
      <c r="K188" s="50" t="s">
        <v>217</v>
      </c>
      <c r="L188" s="32" t="s">
        <v>218</v>
      </c>
      <c r="M188" s="26" t="s">
        <v>344</v>
      </c>
      <c r="N188" t="s">
        <v>1201</v>
      </c>
      <c r="R188" s="58" t="s">
        <v>417</v>
      </c>
      <c r="S188" s="25">
        <f t="shared" si="8"/>
        <v>0</v>
      </c>
      <c r="T188" s="25">
        <f t="shared" si="12"/>
        <v>1</v>
      </c>
      <c r="V188" s="25">
        <f t="shared" si="10"/>
        <v>1</v>
      </c>
      <c r="W188" s="46">
        <v>97314</v>
      </c>
      <c r="X188" s="50" t="s">
        <v>40</v>
      </c>
    </row>
    <row r="189" spans="10:24" x14ac:dyDescent="0.25">
      <c r="J189" s="46">
        <v>97602</v>
      </c>
      <c r="K189" s="50" t="s">
        <v>217</v>
      </c>
      <c r="L189" s="32" t="s">
        <v>218</v>
      </c>
      <c r="M189" s="26" t="s">
        <v>344</v>
      </c>
      <c r="N189" t="s">
        <v>1201</v>
      </c>
      <c r="R189" s="58" t="s">
        <v>668</v>
      </c>
      <c r="S189" s="25">
        <f t="shared" si="8"/>
        <v>0</v>
      </c>
      <c r="T189" s="25">
        <f t="shared" si="12"/>
        <v>2</v>
      </c>
      <c r="V189" s="25">
        <f t="shared" si="10"/>
        <v>1</v>
      </c>
      <c r="W189" s="46">
        <v>97321</v>
      </c>
      <c r="X189" s="50" t="s">
        <v>139</v>
      </c>
    </row>
    <row r="190" spans="10:24" x14ac:dyDescent="0.25">
      <c r="J190" s="46">
        <v>97603</v>
      </c>
      <c r="K190" s="50" t="s">
        <v>217</v>
      </c>
      <c r="L190" s="32" t="s">
        <v>218</v>
      </c>
      <c r="M190" s="26" t="s">
        <v>344</v>
      </c>
      <c r="N190" t="s">
        <v>1201</v>
      </c>
      <c r="R190" s="58" t="s">
        <v>375</v>
      </c>
      <c r="S190" s="25">
        <f t="shared" si="8"/>
        <v>0</v>
      </c>
      <c r="T190" s="25">
        <f t="shared" si="12"/>
        <v>1</v>
      </c>
      <c r="U190" s="29"/>
      <c r="V190" s="25">
        <f t="shared" si="10"/>
        <v>1</v>
      </c>
      <c r="W190" s="46">
        <v>97324</v>
      </c>
      <c r="X190" s="50" t="s">
        <v>343</v>
      </c>
    </row>
    <row r="191" spans="10:24" x14ac:dyDescent="0.25">
      <c r="J191" s="46">
        <v>97604</v>
      </c>
      <c r="K191" s="50" t="s">
        <v>490</v>
      </c>
      <c r="L191" s="32" t="s">
        <v>218</v>
      </c>
      <c r="M191" s="26" t="s">
        <v>344</v>
      </c>
      <c r="N191" t="s">
        <v>1201</v>
      </c>
      <c r="R191" s="58" t="s">
        <v>403</v>
      </c>
      <c r="S191" s="25">
        <f t="shared" si="8"/>
        <v>0</v>
      </c>
      <c r="T191" s="25">
        <f t="shared" si="12"/>
        <v>1</v>
      </c>
      <c r="V191" s="25">
        <f t="shared" si="10"/>
        <v>1</v>
      </c>
      <c r="W191" s="46">
        <v>97325</v>
      </c>
      <c r="X191" s="50" t="s">
        <v>587</v>
      </c>
    </row>
    <row r="192" spans="10:24" x14ac:dyDescent="0.25">
      <c r="J192" s="46">
        <v>97621</v>
      </c>
      <c r="K192" s="50" t="s">
        <v>491</v>
      </c>
      <c r="L192" s="32" t="s">
        <v>218</v>
      </c>
      <c r="M192" s="26" t="s">
        <v>344</v>
      </c>
      <c r="N192" t="s">
        <v>1201</v>
      </c>
      <c r="R192" s="58" t="s">
        <v>220</v>
      </c>
      <c r="S192" s="25">
        <f t="shared" si="8"/>
        <v>0</v>
      </c>
      <c r="T192" s="25">
        <f t="shared" si="12"/>
        <v>1</v>
      </c>
      <c r="V192" s="25">
        <f t="shared" si="10"/>
        <v>1</v>
      </c>
      <c r="W192" s="46">
        <v>97326</v>
      </c>
      <c r="X192" s="50" t="s">
        <v>345</v>
      </c>
    </row>
    <row r="193" spans="10:24" x14ac:dyDescent="0.25">
      <c r="J193" s="46">
        <v>97622</v>
      </c>
      <c r="K193" s="50" t="s">
        <v>492</v>
      </c>
      <c r="L193" s="32" t="s">
        <v>218</v>
      </c>
      <c r="M193" s="26" t="s">
        <v>344</v>
      </c>
      <c r="N193" t="s">
        <v>1201</v>
      </c>
      <c r="R193" s="58" t="s">
        <v>411</v>
      </c>
      <c r="S193" s="25">
        <f t="shared" si="8"/>
        <v>0</v>
      </c>
      <c r="T193" s="25">
        <f t="shared" si="12"/>
        <v>1</v>
      </c>
      <c r="V193" s="25">
        <f t="shared" si="10"/>
        <v>1</v>
      </c>
      <c r="W193" s="46">
        <v>97327</v>
      </c>
      <c r="X193" s="50" t="s">
        <v>556</v>
      </c>
    </row>
    <row r="194" spans="10:24" x14ac:dyDescent="0.25">
      <c r="J194" s="46">
        <v>97623</v>
      </c>
      <c r="K194" s="50" t="s">
        <v>493</v>
      </c>
      <c r="L194" s="32" t="s">
        <v>218</v>
      </c>
      <c r="M194" s="26" t="s">
        <v>344</v>
      </c>
      <c r="N194" t="s">
        <v>1201</v>
      </c>
      <c r="R194" s="58" t="s">
        <v>144</v>
      </c>
      <c r="S194" s="25">
        <f t="shared" si="8"/>
        <v>0</v>
      </c>
      <c r="T194" s="25">
        <f t="shared" si="12"/>
        <v>1</v>
      </c>
      <c r="V194" s="25">
        <f t="shared" si="10"/>
        <v>1</v>
      </c>
      <c r="W194" s="46">
        <v>97329</v>
      </c>
      <c r="X194" s="50" t="s">
        <v>557</v>
      </c>
    </row>
    <row r="195" spans="10:24" x14ac:dyDescent="0.25">
      <c r="J195" s="46">
        <v>97624</v>
      </c>
      <c r="K195" s="50" t="s">
        <v>494</v>
      </c>
      <c r="L195" s="32" t="s">
        <v>218</v>
      </c>
      <c r="M195" s="26" t="s">
        <v>344</v>
      </c>
      <c r="N195" t="s">
        <v>1201</v>
      </c>
      <c r="R195" s="58" t="s">
        <v>599</v>
      </c>
      <c r="S195" s="25">
        <f t="shared" si="8"/>
        <v>0</v>
      </c>
      <c r="T195" s="25">
        <f t="shared" si="12"/>
        <v>1</v>
      </c>
      <c r="V195" s="25">
        <f t="shared" si="10"/>
        <v>1</v>
      </c>
      <c r="W195" s="46">
        <v>97330</v>
      </c>
      <c r="X195" s="50" t="s">
        <v>131</v>
      </c>
    </row>
    <row r="196" spans="10:24" x14ac:dyDescent="0.25">
      <c r="J196" s="46">
        <v>97625</v>
      </c>
      <c r="K196" s="50" t="s">
        <v>495</v>
      </c>
      <c r="L196" s="32" t="s">
        <v>218</v>
      </c>
      <c r="M196" s="26" t="s">
        <v>344</v>
      </c>
      <c r="N196" t="s">
        <v>1201</v>
      </c>
      <c r="R196" s="58" t="s">
        <v>546</v>
      </c>
      <c r="S196" s="25">
        <f t="shared" ref="S196:S259" si="13">COUNTIF($L$12:$L$499,Q196)</f>
        <v>0</v>
      </c>
      <c r="T196" s="25">
        <f t="shared" si="12"/>
        <v>1</v>
      </c>
      <c r="V196" s="25">
        <f t="shared" si="10"/>
        <v>1</v>
      </c>
      <c r="W196" s="46">
        <v>97331</v>
      </c>
      <c r="X196" s="50" t="s">
        <v>131</v>
      </c>
    </row>
    <row r="197" spans="10:24" x14ac:dyDescent="0.25">
      <c r="J197" s="46">
        <v>97626</v>
      </c>
      <c r="K197" s="50" t="s">
        <v>496</v>
      </c>
      <c r="L197" s="32" t="s">
        <v>218</v>
      </c>
      <c r="M197" s="26" t="s">
        <v>344</v>
      </c>
      <c r="N197" t="s">
        <v>1201</v>
      </c>
      <c r="R197" s="58" t="s">
        <v>543</v>
      </c>
      <c r="S197" s="25">
        <f t="shared" si="13"/>
        <v>0</v>
      </c>
      <c r="T197" s="25">
        <f t="shared" si="12"/>
        <v>1</v>
      </c>
      <c r="V197" s="25">
        <f t="shared" ref="V197:V260" si="14">COUNTIF($W$5:$W$485,W197)</f>
        <v>1</v>
      </c>
      <c r="W197" s="46">
        <v>97333</v>
      </c>
      <c r="X197" s="50" t="s">
        <v>131</v>
      </c>
    </row>
    <row r="198" spans="10:24" x14ac:dyDescent="0.25">
      <c r="J198" s="46">
        <v>97627</v>
      </c>
      <c r="K198" s="50" t="s">
        <v>497</v>
      </c>
      <c r="L198" s="32" t="s">
        <v>218</v>
      </c>
      <c r="M198" s="26" t="s">
        <v>344</v>
      </c>
      <c r="N198" t="s">
        <v>1201</v>
      </c>
      <c r="R198" s="58" t="s">
        <v>450</v>
      </c>
      <c r="S198" s="25">
        <f t="shared" si="13"/>
        <v>0</v>
      </c>
      <c r="T198" s="25">
        <f t="shared" si="12"/>
        <v>1</v>
      </c>
      <c r="V198" s="25">
        <f t="shared" si="14"/>
        <v>1</v>
      </c>
      <c r="W198" s="46">
        <v>97335</v>
      </c>
      <c r="X198" s="50" t="s">
        <v>558</v>
      </c>
    </row>
    <row r="199" spans="10:24" x14ac:dyDescent="0.25">
      <c r="J199" s="46">
        <v>97632</v>
      </c>
      <c r="K199" s="50" t="s">
        <v>498</v>
      </c>
      <c r="L199" s="32" t="s">
        <v>218</v>
      </c>
      <c r="M199" s="26" t="s">
        <v>344</v>
      </c>
      <c r="N199" t="s">
        <v>1201</v>
      </c>
      <c r="R199" s="58" t="s">
        <v>525</v>
      </c>
      <c r="S199" s="25">
        <f t="shared" si="13"/>
        <v>0</v>
      </c>
      <c r="T199" s="25">
        <f t="shared" si="12"/>
        <v>1</v>
      </c>
      <c r="V199" s="25">
        <f t="shared" si="14"/>
        <v>1</v>
      </c>
      <c r="W199" s="46">
        <v>97336</v>
      </c>
      <c r="X199" s="50" t="s">
        <v>559</v>
      </c>
    </row>
    <row r="200" spans="10:24" x14ac:dyDescent="0.25">
      <c r="J200" s="46">
        <v>97633</v>
      </c>
      <c r="K200" s="50" t="s">
        <v>499</v>
      </c>
      <c r="L200" s="32" t="s">
        <v>218</v>
      </c>
      <c r="M200" s="26" t="s">
        <v>344</v>
      </c>
      <c r="N200" t="s">
        <v>1201</v>
      </c>
      <c r="R200" s="58" t="s">
        <v>644</v>
      </c>
      <c r="S200" s="25">
        <f t="shared" si="13"/>
        <v>0</v>
      </c>
      <c r="T200" s="25">
        <f t="shared" si="12"/>
        <v>1</v>
      </c>
      <c r="V200" s="25">
        <f t="shared" si="14"/>
        <v>1</v>
      </c>
      <c r="W200" s="46">
        <v>97338</v>
      </c>
      <c r="X200" s="50" t="s">
        <v>122</v>
      </c>
    </row>
    <row r="201" spans="10:24" x14ac:dyDescent="0.25">
      <c r="J201" s="46">
        <v>97634</v>
      </c>
      <c r="K201" s="50" t="s">
        <v>500</v>
      </c>
      <c r="L201" s="32" t="s">
        <v>218</v>
      </c>
      <c r="M201" s="26" t="s">
        <v>344</v>
      </c>
      <c r="N201" t="s">
        <v>1201</v>
      </c>
      <c r="R201" s="58" t="s">
        <v>526</v>
      </c>
      <c r="S201" s="25">
        <f t="shared" si="13"/>
        <v>0</v>
      </c>
      <c r="T201" s="25">
        <f t="shared" si="12"/>
        <v>1</v>
      </c>
      <c r="V201" s="25">
        <f t="shared" si="14"/>
        <v>1</v>
      </c>
      <c r="W201" s="46">
        <v>97339</v>
      </c>
      <c r="X201" s="50" t="s">
        <v>131</v>
      </c>
    </row>
    <row r="202" spans="10:24" x14ac:dyDescent="0.25">
      <c r="J202" s="46">
        <v>97639</v>
      </c>
      <c r="K202" s="50" t="s">
        <v>501</v>
      </c>
      <c r="L202" s="32" t="s">
        <v>218</v>
      </c>
      <c r="M202" s="26" t="s">
        <v>344</v>
      </c>
      <c r="N202" t="s">
        <v>1201</v>
      </c>
      <c r="R202" s="58" t="s">
        <v>562</v>
      </c>
      <c r="S202" s="25">
        <f t="shared" si="13"/>
        <v>0</v>
      </c>
      <c r="T202" s="25">
        <f t="shared" si="12"/>
        <v>1</v>
      </c>
      <c r="V202" s="25">
        <f t="shared" si="14"/>
        <v>1</v>
      </c>
      <c r="W202" s="46">
        <v>97341</v>
      </c>
      <c r="X202" s="50" t="s">
        <v>541</v>
      </c>
    </row>
    <row r="203" spans="10:24" x14ac:dyDescent="0.25">
      <c r="J203" s="46">
        <v>97731</v>
      </c>
      <c r="K203" s="50" t="s">
        <v>502</v>
      </c>
      <c r="L203" s="32" t="s">
        <v>218</v>
      </c>
      <c r="M203" s="26" t="s">
        <v>344</v>
      </c>
      <c r="N203" t="s">
        <v>1201</v>
      </c>
      <c r="R203" s="58" t="s">
        <v>212</v>
      </c>
      <c r="S203" s="25">
        <f t="shared" si="13"/>
        <v>0</v>
      </c>
      <c r="T203" s="25">
        <f t="shared" si="12"/>
        <v>1</v>
      </c>
      <c r="V203" s="25">
        <f t="shared" si="14"/>
        <v>1</v>
      </c>
      <c r="W203" s="46">
        <v>97342</v>
      </c>
      <c r="X203" s="50" t="s">
        <v>588</v>
      </c>
    </row>
    <row r="204" spans="10:24" x14ac:dyDescent="0.25">
      <c r="J204" s="46">
        <v>97733</v>
      </c>
      <c r="K204" s="50" t="s">
        <v>503</v>
      </c>
      <c r="L204" s="32" t="s">
        <v>218</v>
      </c>
      <c r="M204" s="26" t="s">
        <v>344</v>
      </c>
      <c r="N204" t="s">
        <v>1201</v>
      </c>
      <c r="R204" s="58" t="s">
        <v>498</v>
      </c>
      <c r="S204" s="25">
        <f t="shared" si="13"/>
        <v>0</v>
      </c>
      <c r="T204" s="25">
        <f t="shared" si="12"/>
        <v>1</v>
      </c>
      <c r="V204" s="25">
        <f t="shared" si="14"/>
        <v>1</v>
      </c>
      <c r="W204" s="46">
        <v>97343</v>
      </c>
      <c r="X204" s="50" t="s">
        <v>542</v>
      </c>
    </row>
    <row r="205" spans="10:24" x14ac:dyDescent="0.25">
      <c r="J205" s="46">
        <v>97737</v>
      </c>
      <c r="K205" s="50" t="s">
        <v>504</v>
      </c>
      <c r="L205" s="32" t="s">
        <v>218</v>
      </c>
      <c r="M205" s="26" t="s">
        <v>344</v>
      </c>
      <c r="N205" t="s">
        <v>1201</v>
      </c>
      <c r="R205" s="58" t="s">
        <v>657</v>
      </c>
      <c r="S205" s="25">
        <f t="shared" si="13"/>
        <v>0</v>
      </c>
      <c r="T205" s="25">
        <f t="shared" si="12"/>
        <v>1</v>
      </c>
      <c r="V205" s="25">
        <f t="shared" si="14"/>
        <v>1</v>
      </c>
      <c r="W205" s="46">
        <v>97344</v>
      </c>
      <c r="X205" s="50" t="s">
        <v>606</v>
      </c>
    </row>
    <row r="206" spans="10:24" x14ac:dyDescent="0.25">
      <c r="J206" s="46">
        <v>97620</v>
      </c>
      <c r="K206" s="50" t="s">
        <v>505</v>
      </c>
      <c r="L206" s="32" t="s">
        <v>221</v>
      </c>
      <c r="M206" s="26" t="s">
        <v>346</v>
      </c>
      <c r="N206" t="s">
        <v>1201</v>
      </c>
      <c r="R206" s="58" t="s">
        <v>620</v>
      </c>
      <c r="S206" s="25">
        <f t="shared" si="13"/>
        <v>0</v>
      </c>
      <c r="T206" s="25">
        <f t="shared" si="12"/>
        <v>1</v>
      </c>
      <c r="V206" s="25">
        <f t="shared" si="14"/>
        <v>1</v>
      </c>
      <c r="W206" s="46">
        <v>97345</v>
      </c>
      <c r="X206" s="50" t="s">
        <v>560</v>
      </c>
    </row>
    <row r="207" spans="10:24" x14ac:dyDescent="0.25">
      <c r="J207" s="46">
        <v>97630</v>
      </c>
      <c r="K207" s="50" t="s">
        <v>220</v>
      </c>
      <c r="L207" s="32" t="s">
        <v>221</v>
      </c>
      <c r="M207" s="26" t="s">
        <v>346</v>
      </c>
      <c r="N207" t="s">
        <v>1201</v>
      </c>
      <c r="R207" s="58" t="s">
        <v>527</v>
      </c>
      <c r="S207" s="25">
        <f t="shared" si="13"/>
        <v>0</v>
      </c>
      <c r="T207" s="25">
        <f t="shared" si="12"/>
        <v>1</v>
      </c>
      <c r="V207" s="25">
        <f t="shared" si="14"/>
        <v>1</v>
      </c>
      <c r="W207" s="46">
        <v>97346</v>
      </c>
      <c r="X207" s="50" t="s">
        <v>589</v>
      </c>
    </row>
    <row r="208" spans="10:24" x14ac:dyDescent="0.25">
      <c r="J208" s="46">
        <v>97635</v>
      </c>
      <c r="K208" s="50" t="s">
        <v>506</v>
      </c>
      <c r="L208" s="32" t="s">
        <v>221</v>
      </c>
      <c r="M208" s="26" t="s">
        <v>346</v>
      </c>
      <c r="N208" t="s">
        <v>1201</v>
      </c>
      <c r="R208" s="58" t="s">
        <v>528</v>
      </c>
      <c r="S208" s="25">
        <f t="shared" si="13"/>
        <v>0</v>
      </c>
      <c r="T208" s="25">
        <f t="shared" si="12"/>
        <v>1</v>
      </c>
      <c r="V208" s="25">
        <f t="shared" si="14"/>
        <v>1</v>
      </c>
      <c r="W208" s="46">
        <v>97347</v>
      </c>
      <c r="X208" s="50" t="s">
        <v>607</v>
      </c>
    </row>
    <row r="209" spans="10:24" x14ac:dyDescent="0.25">
      <c r="J209" s="46">
        <v>97636</v>
      </c>
      <c r="K209" s="50" t="s">
        <v>507</v>
      </c>
      <c r="L209" s="32" t="s">
        <v>221</v>
      </c>
      <c r="M209" s="26" t="s">
        <v>346</v>
      </c>
      <c r="N209" t="s">
        <v>1201</v>
      </c>
      <c r="R209" s="58" t="s">
        <v>78</v>
      </c>
      <c r="S209" s="25">
        <f t="shared" si="13"/>
        <v>0</v>
      </c>
      <c r="T209" s="25">
        <f t="shared" si="12"/>
        <v>1</v>
      </c>
      <c r="V209" s="25">
        <f t="shared" si="14"/>
        <v>1</v>
      </c>
      <c r="W209" s="46">
        <v>97348</v>
      </c>
      <c r="X209" s="50" t="s">
        <v>561</v>
      </c>
    </row>
    <row r="210" spans="10:24" x14ac:dyDescent="0.25">
      <c r="J210" s="46">
        <v>97637</v>
      </c>
      <c r="K210" s="50" t="s">
        <v>508</v>
      </c>
      <c r="L210" s="32" t="s">
        <v>221</v>
      </c>
      <c r="M210" s="26" t="s">
        <v>346</v>
      </c>
      <c r="N210" t="s">
        <v>1201</v>
      </c>
      <c r="R210" s="58" t="s">
        <v>377</v>
      </c>
      <c r="S210" s="25">
        <f t="shared" si="13"/>
        <v>0</v>
      </c>
      <c r="T210" s="25">
        <f t="shared" si="12"/>
        <v>1</v>
      </c>
      <c r="V210" s="25">
        <f t="shared" si="14"/>
        <v>1</v>
      </c>
      <c r="W210" s="46">
        <v>97350</v>
      </c>
      <c r="X210" s="50" t="s">
        <v>590</v>
      </c>
    </row>
    <row r="211" spans="10:24" x14ac:dyDescent="0.25">
      <c r="J211" s="46">
        <v>97638</v>
      </c>
      <c r="K211" s="50" t="s">
        <v>509</v>
      </c>
      <c r="L211" s="32" t="s">
        <v>221</v>
      </c>
      <c r="M211" s="26" t="s">
        <v>346</v>
      </c>
      <c r="N211" t="s">
        <v>1201</v>
      </c>
      <c r="R211" s="58" t="s">
        <v>647</v>
      </c>
      <c r="S211" s="25">
        <f t="shared" si="13"/>
        <v>0</v>
      </c>
      <c r="T211" s="25">
        <f t="shared" si="12"/>
        <v>1</v>
      </c>
      <c r="V211" s="25">
        <f t="shared" si="14"/>
        <v>1</v>
      </c>
      <c r="W211" s="46">
        <v>97351</v>
      </c>
      <c r="X211" s="50" t="s">
        <v>608</v>
      </c>
    </row>
    <row r="212" spans="10:24" x14ac:dyDescent="0.25">
      <c r="J212" s="46">
        <v>97640</v>
      </c>
      <c r="K212" s="50" t="s">
        <v>510</v>
      </c>
      <c r="L212" s="32" t="s">
        <v>221</v>
      </c>
      <c r="M212" s="26" t="s">
        <v>346</v>
      </c>
      <c r="N212" t="s">
        <v>1201</v>
      </c>
      <c r="R212" s="58" t="s">
        <v>126</v>
      </c>
      <c r="S212" s="25">
        <f t="shared" si="13"/>
        <v>0</v>
      </c>
      <c r="T212" s="25">
        <f t="shared" si="12"/>
        <v>1</v>
      </c>
      <c r="V212" s="25">
        <f t="shared" si="14"/>
        <v>1</v>
      </c>
      <c r="W212" s="46">
        <v>97352</v>
      </c>
      <c r="X212" s="50" t="s">
        <v>213</v>
      </c>
    </row>
    <row r="213" spans="10:24" x14ac:dyDescent="0.25">
      <c r="J213" s="46">
        <v>97641</v>
      </c>
      <c r="K213" s="50" t="s">
        <v>511</v>
      </c>
      <c r="L213" s="32" t="s">
        <v>221</v>
      </c>
      <c r="M213" s="26" t="s">
        <v>346</v>
      </c>
      <c r="N213" t="s">
        <v>1201</v>
      </c>
      <c r="R213" s="58" t="s">
        <v>631</v>
      </c>
      <c r="S213" s="25">
        <f t="shared" si="13"/>
        <v>0</v>
      </c>
      <c r="T213" s="25">
        <f t="shared" si="12"/>
        <v>2</v>
      </c>
      <c r="V213" s="25">
        <f t="shared" si="14"/>
        <v>1</v>
      </c>
      <c r="W213" s="46">
        <v>97355</v>
      </c>
      <c r="X213" s="50" t="s">
        <v>144</v>
      </c>
    </row>
    <row r="214" spans="10:24" x14ac:dyDescent="0.25">
      <c r="J214" s="46">
        <v>97735</v>
      </c>
      <c r="K214" s="50" t="s">
        <v>512</v>
      </c>
      <c r="L214" s="32" t="s">
        <v>221</v>
      </c>
      <c r="M214" s="26" t="s">
        <v>346</v>
      </c>
      <c r="N214" t="s">
        <v>1201</v>
      </c>
      <c r="R214" s="58" t="s">
        <v>171</v>
      </c>
      <c r="S214" s="25">
        <f t="shared" si="13"/>
        <v>0</v>
      </c>
      <c r="T214" s="25">
        <f t="shared" si="12"/>
        <v>1</v>
      </c>
      <c r="V214" s="25">
        <f t="shared" si="14"/>
        <v>1</v>
      </c>
      <c r="W214" s="46">
        <v>97357</v>
      </c>
      <c r="X214" s="50" t="s">
        <v>543</v>
      </c>
    </row>
    <row r="215" spans="10:24" x14ac:dyDescent="0.25">
      <c r="J215" s="46">
        <v>97401</v>
      </c>
      <c r="K215" s="50" t="s">
        <v>151</v>
      </c>
      <c r="L215" s="32" t="s">
        <v>149</v>
      </c>
      <c r="M215" s="26" t="s">
        <v>347</v>
      </c>
      <c r="N215" t="s">
        <v>1202</v>
      </c>
      <c r="R215" s="58" t="s">
        <v>596</v>
      </c>
      <c r="S215" s="25">
        <f t="shared" si="13"/>
        <v>0</v>
      </c>
      <c r="T215" s="25">
        <f t="shared" si="12"/>
        <v>1</v>
      </c>
      <c r="V215" s="25">
        <f t="shared" si="14"/>
        <v>1</v>
      </c>
      <c r="W215" s="46">
        <v>97358</v>
      </c>
      <c r="X215" s="50" t="s">
        <v>562</v>
      </c>
    </row>
    <row r="216" spans="10:24" x14ac:dyDescent="0.25">
      <c r="J216" s="46">
        <v>97402</v>
      </c>
      <c r="K216" s="50" t="s">
        <v>151</v>
      </c>
      <c r="L216" s="32" t="s">
        <v>149</v>
      </c>
      <c r="M216" s="26" t="s">
        <v>347</v>
      </c>
      <c r="N216" t="s">
        <v>1202</v>
      </c>
      <c r="R216" s="58" t="s">
        <v>483</v>
      </c>
      <c r="S216" s="25">
        <f t="shared" si="13"/>
        <v>0</v>
      </c>
      <c r="T216" s="25">
        <f t="shared" si="12"/>
        <v>1</v>
      </c>
      <c r="V216" s="25">
        <f t="shared" si="14"/>
        <v>1</v>
      </c>
      <c r="W216" s="46">
        <v>97359</v>
      </c>
      <c r="X216" s="50" t="s">
        <v>78</v>
      </c>
    </row>
    <row r="217" spans="10:24" x14ac:dyDescent="0.25">
      <c r="J217" s="46">
        <v>97403</v>
      </c>
      <c r="K217" s="50" t="s">
        <v>151</v>
      </c>
      <c r="L217" s="32" t="s">
        <v>149</v>
      </c>
      <c r="M217" s="26" t="s">
        <v>347</v>
      </c>
      <c r="N217" t="s">
        <v>1202</v>
      </c>
      <c r="R217" s="58" t="s">
        <v>499</v>
      </c>
      <c r="S217" s="25">
        <f t="shared" si="13"/>
        <v>0</v>
      </c>
      <c r="T217" s="25">
        <f t="shared" si="12"/>
        <v>1</v>
      </c>
      <c r="V217" s="25">
        <f t="shared" si="14"/>
        <v>1</v>
      </c>
      <c r="W217" s="46">
        <v>97360</v>
      </c>
      <c r="X217" s="50" t="s">
        <v>563</v>
      </c>
    </row>
    <row r="218" spans="10:24" x14ac:dyDescent="0.25">
      <c r="J218" s="46">
        <v>97404</v>
      </c>
      <c r="K218" s="50" t="s">
        <v>151</v>
      </c>
      <c r="L218" s="32" t="s">
        <v>149</v>
      </c>
      <c r="M218" s="26" t="s">
        <v>347</v>
      </c>
      <c r="N218" t="s">
        <v>1202</v>
      </c>
      <c r="R218" s="58" t="s">
        <v>500</v>
      </c>
      <c r="S218" s="25">
        <f t="shared" si="13"/>
        <v>0</v>
      </c>
      <c r="T218" s="25">
        <f t="shared" si="12"/>
        <v>1</v>
      </c>
      <c r="V218" s="25">
        <f t="shared" si="14"/>
        <v>1</v>
      </c>
      <c r="W218" s="46">
        <v>97361</v>
      </c>
      <c r="X218" s="50" t="s">
        <v>609</v>
      </c>
    </row>
    <row r="219" spans="10:24" x14ac:dyDescent="0.25">
      <c r="J219" s="46">
        <v>97405</v>
      </c>
      <c r="K219" s="50" t="s">
        <v>151</v>
      </c>
      <c r="L219" s="32" t="s">
        <v>149</v>
      </c>
      <c r="M219" s="26" t="s">
        <v>347</v>
      </c>
      <c r="N219" t="s">
        <v>1202</v>
      </c>
      <c r="R219" s="58" t="s">
        <v>445</v>
      </c>
      <c r="S219" s="25">
        <f t="shared" si="13"/>
        <v>0</v>
      </c>
      <c r="T219" s="25">
        <f t="shared" si="12"/>
        <v>1</v>
      </c>
      <c r="V219" s="25">
        <f t="shared" si="14"/>
        <v>1</v>
      </c>
      <c r="W219" s="46">
        <v>97362</v>
      </c>
      <c r="X219" s="50" t="s">
        <v>591</v>
      </c>
    </row>
    <row r="220" spans="10:24" x14ac:dyDescent="0.25">
      <c r="J220" s="46">
        <v>97408</v>
      </c>
      <c r="K220" s="50" t="s">
        <v>151</v>
      </c>
      <c r="L220" s="32" t="s">
        <v>149</v>
      </c>
      <c r="M220" s="26" t="s">
        <v>347</v>
      </c>
      <c r="N220" t="s">
        <v>1202</v>
      </c>
      <c r="R220" s="58" t="s">
        <v>563</v>
      </c>
      <c r="S220" s="25">
        <f t="shared" si="13"/>
        <v>0</v>
      </c>
      <c r="T220" s="25">
        <f t="shared" si="12"/>
        <v>1</v>
      </c>
      <c r="U220" s="29"/>
      <c r="V220" s="25">
        <f t="shared" si="14"/>
        <v>1</v>
      </c>
      <c r="W220" s="46">
        <v>97364</v>
      </c>
      <c r="X220" s="50" t="s">
        <v>544</v>
      </c>
    </row>
    <row r="221" spans="10:24" x14ac:dyDescent="0.25">
      <c r="J221" s="46">
        <v>97409</v>
      </c>
      <c r="K221" s="50" t="s">
        <v>513</v>
      </c>
      <c r="L221" s="32" t="s">
        <v>149</v>
      </c>
      <c r="M221" s="26" t="s">
        <v>347</v>
      </c>
      <c r="N221" t="s">
        <v>1202</v>
      </c>
      <c r="R221" s="58" t="s">
        <v>632</v>
      </c>
      <c r="S221" s="25">
        <f t="shared" si="13"/>
        <v>0</v>
      </c>
      <c r="T221" s="25">
        <f t="shared" ref="T221:T252" si="15">COUNTIF($K$12:$K$499,R223)</f>
        <v>1</v>
      </c>
      <c r="V221" s="25">
        <f t="shared" si="14"/>
        <v>1</v>
      </c>
      <c r="W221" s="46">
        <v>97365</v>
      </c>
      <c r="X221" s="50" t="s">
        <v>134</v>
      </c>
    </row>
    <row r="222" spans="10:24" x14ac:dyDescent="0.25">
      <c r="J222" s="46">
        <v>97412</v>
      </c>
      <c r="K222" s="50" t="s">
        <v>514</v>
      </c>
      <c r="L222" s="32" t="s">
        <v>149</v>
      </c>
      <c r="M222" s="26" t="s">
        <v>347</v>
      </c>
      <c r="N222" t="s">
        <v>1202</v>
      </c>
      <c r="R222" s="58" t="s">
        <v>270</v>
      </c>
      <c r="S222" s="25">
        <f t="shared" si="13"/>
        <v>0</v>
      </c>
      <c r="T222" s="25">
        <f t="shared" si="15"/>
        <v>1</v>
      </c>
      <c r="V222" s="25">
        <f t="shared" si="14"/>
        <v>1</v>
      </c>
      <c r="W222" s="46">
        <v>97366</v>
      </c>
      <c r="X222" s="50" t="s">
        <v>545</v>
      </c>
    </row>
    <row r="223" spans="10:24" x14ac:dyDescent="0.25">
      <c r="J223" s="46">
        <v>97413</v>
      </c>
      <c r="K223" s="50" t="s">
        <v>515</v>
      </c>
      <c r="L223" s="32" t="s">
        <v>149</v>
      </c>
      <c r="M223" s="26" t="s">
        <v>347</v>
      </c>
      <c r="N223" t="s">
        <v>1202</v>
      </c>
      <c r="R223" s="58" t="s">
        <v>661</v>
      </c>
      <c r="S223" s="25">
        <f t="shared" si="13"/>
        <v>0</v>
      </c>
      <c r="T223" s="25">
        <f t="shared" si="15"/>
        <v>1</v>
      </c>
      <c r="V223" s="25">
        <f t="shared" si="14"/>
        <v>1</v>
      </c>
      <c r="W223" s="46">
        <v>97367</v>
      </c>
      <c r="X223" s="50" t="s">
        <v>546</v>
      </c>
    </row>
    <row r="224" spans="10:24" x14ac:dyDescent="0.25">
      <c r="J224" s="46">
        <v>97419</v>
      </c>
      <c r="K224" s="50" t="s">
        <v>516</v>
      </c>
      <c r="L224" s="32" t="s">
        <v>149</v>
      </c>
      <c r="M224" s="26" t="s">
        <v>347</v>
      </c>
      <c r="N224" t="s">
        <v>1202</v>
      </c>
      <c r="R224" s="58" t="s">
        <v>378</v>
      </c>
      <c r="S224" s="25">
        <f t="shared" si="13"/>
        <v>0</v>
      </c>
      <c r="T224" s="25">
        <f t="shared" si="15"/>
        <v>1</v>
      </c>
      <c r="V224" s="25">
        <f t="shared" si="14"/>
        <v>1</v>
      </c>
      <c r="W224" s="46">
        <v>97368</v>
      </c>
      <c r="X224" s="50" t="s">
        <v>547</v>
      </c>
    </row>
    <row r="225" spans="10:24" x14ac:dyDescent="0.25">
      <c r="J225" s="46">
        <v>97424</v>
      </c>
      <c r="K225" s="50" t="s">
        <v>154</v>
      </c>
      <c r="L225" s="32" t="s">
        <v>149</v>
      </c>
      <c r="M225" s="26" t="s">
        <v>347</v>
      </c>
      <c r="N225" t="s">
        <v>1202</v>
      </c>
      <c r="R225" s="58" t="s">
        <v>609</v>
      </c>
      <c r="S225" s="25">
        <f t="shared" si="13"/>
        <v>0</v>
      </c>
      <c r="T225" s="25">
        <f t="shared" si="15"/>
        <v>1</v>
      </c>
      <c r="V225" s="25">
        <f t="shared" si="14"/>
        <v>1</v>
      </c>
      <c r="W225" s="46">
        <v>97369</v>
      </c>
      <c r="X225" s="50" t="s">
        <v>548</v>
      </c>
    </row>
    <row r="226" spans="10:24" x14ac:dyDescent="0.25">
      <c r="J226" s="46">
        <v>97426</v>
      </c>
      <c r="K226" s="50" t="s">
        <v>517</v>
      </c>
      <c r="L226" s="32" t="s">
        <v>149</v>
      </c>
      <c r="M226" s="26" t="s">
        <v>347</v>
      </c>
      <c r="N226" t="s">
        <v>1202</v>
      </c>
      <c r="R226" s="58" t="s">
        <v>353</v>
      </c>
      <c r="S226" s="25">
        <f t="shared" si="13"/>
        <v>0</v>
      </c>
      <c r="T226" s="25">
        <f t="shared" si="15"/>
        <v>1</v>
      </c>
      <c r="V226" s="25">
        <f t="shared" si="14"/>
        <v>1</v>
      </c>
      <c r="W226" s="46">
        <v>97370</v>
      </c>
      <c r="X226" s="50" t="s">
        <v>351</v>
      </c>
    </row>
    <row r="227" spans="10:24" x14ac:dyDescent="0.25">
      <c r="J227" s="46">
        <v>97427</v>
      </c>
      <c r="K227" s="50" t="s">
        <v>518</v>
      </c>
      <c r="L227" s="32" t="s">
        <v>149</v>
      </c>
      <c r="M227" s="26" t="s">
        <v>347</v>
      </c>
      <c r="N227" t="s">
        <v>1202</v>
      </c>
      <c r="R227" s="58" t="s">
        <v>451</v>
      </c>
      <c r="S227" s="25">
        <f t="shared" si="13"/>
        <v>0</v>
      </c>
      <c r="T227" s="25">
        <f t="shared" si="15"/>
        <v>1</v>
      </c>
      <c r="V227" s="25">
        <f t="shared" si="14"/>
        <v>1</v>
      </c>
      <c r="W227" s="46">
        <v>97371</v>
      </c>
      <c r="X227" s="50" t="s">
        <v>610</v>
      </c>
    </row>
    <row r="228" spans="10:24" x14ac:dyDescent="0.25">
      <c r="J228" s="46">
        <v>97430</v>
      </c>
      <c r="K228" s="50" t="s">
        <v>519</v>
      </c>
      <c r="L228" s="32" t="s">
        <v>149</v>
      </c>
      <c r="M228" s="26" t="s">
        <v>347</v>
      </c>
      <c r="N228" t="s">
        <v>1202</v>
      </c>
      <c r="R228" s="58" t="s">
        <v>613</v>
      </c>
      <c r="S228" s="25">
        <f t="shared" si="13"/>
        <v>0</v>
      </c>
      <c r="T228" s="25">
        <f t="shared" si="15"/>
        <v>1</v>
      </c>
      <c r="V228" s="25">
        <f t="shared" si="14"/>
        <v>1</v>
      </c>
      <c r="W228" s="46">
        <v>97372</v>
      </c>
      <c r="X228" s="50" t="s">
        <v>549</v>
      </c>
    </row>
    <row r="229" spans="10:24" x14ac:dyDescent="0.25">
      <c r="J229" s="46">
        <v>97431</v>
      </c>
      <c r="K229" s="50" t="s">
        <v>520</v>
      </c>
      <c r="L229" s="32" t="s">
        <v>149</v>
      </c>
      <c r="M229" s="26" t="s">
        <v>347</v>
      </c>
      <c r="N229" t="s">
        <v>1202</v>
      </c>
      <c r="R229" s="58" t="s">
        <v>648</v>
      </c>
      <c r="S229" s="25">
        <f t="shared" si="13"/>
        <v>0</v>
      </c>
      <c r="T229" s="25">
        <f t="shared" si="15"/>
        <v>1</v>
      </c>
      <c r="V229" s="25">
        <f t="shared" si="14"/>
        <v>1</v>
      </c>
      <c r="W229" s="46">
        <v>97373</v>
      </c>
      <c r="X229" s="50" t="s">
        <v>592</v>
      </c>
    </row>
    <row r="230" spans="10:24" x14ac:dyDescent="0.25">
      <c r="J230" s="46">
        <v>97434</v>
      </c>
      <c r="K230" s="50" t="s">
        <v>521</v>
      </c>
      <c r="L230" s="32" t="s">
        <v>149</v>
      </c>
      <c r="M230" s="26" t="s">
        <v>347</v>
      </c>
      <c r="N230" t="s">
        <v>1202</v>
      </c>
      <c r="R230" s="58" t="s">
        <v>591</v>
      </c>
      <c r="S230" s="25">
        <f t="shared" si="13"/>
        <v>0</v>
      </c>
      <c r="T230" s="25">
        <f t="shared" si="15"/>
        <v>1</v>
      </c>
      <c r="V230" s="25">
        <f t="shared" si="14"/>
        <v>1</v>
      </c>
      <c r="W230" s="46">
        <v>97374</v>
      </c>
      <c r="X230" s="50" t="s">
        <v>564</v>
      </c>
    </row>
    <row r="231" spans="10:24" x14ac:dyDescent="0.25">
      <c r="J231" s="46">
        <v>97437</v>
      </c>
      <c r="K231" s="50" t="s">
        <v>522</v>
      </c>
      <c r="L231" s="32" t="s">
        <v>149</v>
      </c>
      <c r="M231" s="26" t="s">
        <v>347</v>
      </c>
      <c r="N231" t="s">
        <v>1202</v>
      </c>
      <c r="R231" s="58" t="s">
        <v>464</v>
      </c>
      <c r="S231" s="25">
        <f t="shared" si="13"/>
        <v>0</v>
      </c>
      <c r="T231" s="25">
        <f t="shared" si="15"/>
        <v>1</v>
      </c>
      <c r="V231" s="25">
        <f t="shared" si="14"/>
        <v>1</v>
      </c>
      <c r="W231" s="46">
        <v>97375</v>
      </c>
      <c r="X231" s="50" t="s">
        <v>593</v>
      </c>
    </row>
    <row r="232" spans="10:24" x14ac:dyDescent="0.25">
      <c r="J232" s="46">
        <v>97438</v>
      </c>
      <c r="K232" s="50" t="s">
        <v>523</v>
      </c>
      <c r="L232" s="32" t="s">
        <v>149</v>
      </c>
      <c r="M232" s="26" t="s">
        <v>347</v>
      </c>
      <c r="N232" t="s">
        <v>1202</v>
      </c>
      <c r="R232" s="58" t="s">
        <v>452</v>
      </c>
      <c r="S232" s="25">
        <f t="shared" si="13"/>
        <v>0</v>
      </c>
      <c r="T232" s="25">
        <f t="shared" si="15"/>
        <v>1</v>
      </c>
      <c r="V232" s="25">
        <f t="shared" si="14"/>
        <v>1</v>
      </c>
      <c r="W232" s="46">
        <v>97376</v>
      </c>
      <c r="X232" s="50" t="s">
        <v>550</v>
      </c>
    </row>
    <row r="233" spans="10:24" x14ac:dyDescent="0.25">
      <c r="J233" s="46">
        <v>97439</v>
      </c>
      <c r="K233" s="50" t="s">
        <v>157</v>
      </c>
      <c r="L233" s="32" t="s">
        <v>149</v>
      </c>
      <c r="M233" s="26" t="s">
        <v>347</v>
      </c>
      <c r="N233" t="s">
        <v>1202</v>
      </c>
      <c r="R233" s="58" t="s">
        <v>379</v>
      </c>
      <c r="S233" s="25">
        <f t="shared" si="13"/>
        <v>0</v>
      </c>
      <c r="T233" s="25">
        <f t="shared" si="15"/>
        <v>1</v>
      </c>
      <c r="V233" s="25">
        <f t="shared" si="14"/>
        <v>1</v>
      </c>
      <c r="W233" s="46">
        <v>97377</v>
      </c>
      <c r="X233" s="50" t="s">
        <v>565</v>
      </c>
    </row>
    <row r="234" spans="10:24" x14ac:dyDescent="0.25">
      <c r="J234" s="46">
        <v>97440</v>
      </c>
      <c r="K234" s="50" t="s">
        <v>151</v>
      </c>
      <c r="L234" s="32" t="s">
        <v>149</v>
      </c>
      <c r="M234" s="26" t="s">
        <v>347</v>
      </c>
      <c r="N234" t="s">
        <v>1202</v>
      </c>
      <c r="R234" s="58" t="s">
        <v>484</v>
      </c>
      <c r="S234" s="25">
        <f t="shared" si="13"/>
        <v>0</v>
      </c>
      <c r="T234" s="25">
        <f t="shared" si="15"/>
        <v>1</v>
      </c>
      <c r="V234" s="25">
        <f t="shared" si="14"/>
        <v>1</v>
      </c>
      <c r="W234" s="46">
        <v>97378</v>
      </c>
      <c r="X234" s="50" t="s">
        <v>670</v>
      </c>
    </row>
    <row r="235" spans="10:24" x14ac:dyDescent="0.25">
      <c r="J235" s="46">
        <v>97448</v>
      </c>
      <c r="K235" s="50" t="s">
        <v>524</v>
      </c>
      <c r="L235" s="32" t="s">
        <v>149</v>
      </c>
      <c r="M235" s="26" t="s">
        <v>347</v>
      </c>
      <c r="N235" t="s">
        <v>1202</v>
      </c>
      <c r="R235" s="58" t="s">
        <v>431</v>
      </c>
      <c r="S235" s="25">
        <f t="shared" si="13"/>
        <v>0</v>
      </c>
      <c r="T235" s="25">
        <f t="shared" si="15"/>
        <v>1</v>
      </c>
      <c r="V235" s="25">
        <f t="shared" si="14"/>
        <v>1</v>
      </c>
      <c r="W235" s="46">
        <v>97380</v>
      </c>
      <c r="X235" s="50" t="s">
        <v>551</v>
      </c>
    </row>
    <row r="236" spans="10:24" x14ac:dyDescent="0.25">
      <c r="J236" s="46">
        <v>97451</v>
      </c>
      <c r="K236" s="50" t="s">
        <v>525</v>
      </c>
      <c r="L236" s="32" t="s">
        <v>149</v>
      </c>
      <c r="M236" s="26" t="s">
        <v>347</v>
      </c>
      <c r="N236" t="s">
        <v>1202</v>
      </c>
      <c r="R236" s="58" t="s">
        <v>404</v>
      </c>
      <c r="S236" s="25">
        <f t="shared" si="13"/>
        <v>0</v>
      </c>
      <c r="T236" s="25">
        <f t="shared" si="15"/>
        <v>1</v>
      </c>
      <c r="V236" s="25">
        <f t="shared" si="14"/>
        <v>1</v>
      </c>
      <c r="W236" s="46">
        <v>97381</v>
      </c>
      <c r="X236" s="50" t="s">
        <v>594</v>
      </c>
    </row>
    <row r="237" spans="10:24" x14ac:dyDescent="0.25">
      <c r="J237" s="46">
        <v>97452</v>
      </c>
      <c r="K237" s="50" t="s">
        <v>526</v>
      </c>
      <c r="L237" s="32" t="s">
        <v>149</v>
      </c>
      <c r="M237" s="26" t="s">
        <v>347</v>
      </c>
      <c r="N237" t="s">
        <v>1202</v>
      </c>
      <c r="R237" s="58" t="s">
        <v>621</v>
      </c>
      <c r="S237" s="25">
        <f t="shared" si="13"/>
        <v>0</v>
      </c>
      <c r="T237" s="25">
        <f t="shared" si="15"/>
        <v>1</v>
      </c>
      <c r="V237" s="25">
        <f t="shared" si="14"/>
        <v>1</v>
      </c>
      <c r="W237" s="46">
        <v>97383</v>
      </c>
      <c r="X237" s="50" t="s">
        <v>595</v>
      </c>
    </row>
    <row r="238" spans="10:24" x14ac:dyDescent="0.25">
      <c r="J238" s="46">
        <v>97453</v>
      </c>
      <c r="K238" s="50" t="s">
        <v>527</v>
      </c>
      <c r="L238" s="32" t="s">
        <v>149</v>
      </c>
      <c r="M238" s="26" t="s">
        <v>347</v>
      </c>
      <c r="N238" t="s">
        <v>1202</v>
      </c>
      <c r="R238" s="58" t="s">
        <v>544</v>
      </c>
      <c r="S238" s="25">
        <f t="shared" si="13"/>
        <v>0</v>
      </c>
      <c r="T238" s="25">
        <f t="shared" si="15"/>
        <v>1</v>
      </c>
      <c r="V238" s="25">
        <f t="shared" si="14"/>
        <v>1</v>
      </c>
      <c r="W238" s="46">
        <v>97384</v>
      </c>
      <c r="X238" s="50" t="s">
        <v>596</v>
      </c>
    </row>
    <row r="239" spans="10:24" x14ac:dyDescent="0.25">
      <c r="J239" s="46">
        <v>97454</v>
      </c>
      <c r="K239" s="50" t="s">
        <v>528</v>
      </c>
      <c r="L239" s="32" t="s">
        <v>149</v>
      </c>
      <c r="M239" s="26" t="s">
        <v>347</v>
      </c>
      <c r="N239" t="s">
        <v>1202</v>
      </c>
      <c r="R239" s="58" t="s">
        <v>626</v>
      </c>
      <c r="S239" s="25">
        <f t="shared" si="13"/>
        <v>0</v>
      </c>
      <c r="T239" s="25">
        <f t="shared" si="15"/>
        <v>1</v>
      </c>
      <c r="V239" s="25">
        <f t="shared" si="14"/>
        <v>1</v>
      </c>
      <c r="W239" s="46">
        <v>97385</v>
      </c>
      <c r="X239" s="50" t="s">
        <v>117</v>
      </c>
    </row>
    <row r="240" spans="10:24" x14ac:dyDescent="0.25">
      <c r="J240" s="46">
        <v>97455</v>
      </c>
      <c r="K240" s="50" t="s">
        <v>529</v>
      </c>
      <c r="L240" s="32" t="s">
        <v>149</v>
      </c>
      <c r="M240" s="26" t="s">
        <v>347</v>
      </c>
      <c r="N240" t="s">
        <v>1202</v>
      </c>
      <c r="R240" s="58" t="s">
        <v>625</v>
      </c>
      <c r="S240" s="25">
        <f t="shared" si="13"/>
        <v>0</v>
      </c>
      <c r="T240" s="25">
        <f t="shared" si="15"/>
        <v>1</v>
      </c>
      <c r="V240" s="25">
        <f t="shared" si="14"/>
        <v>1</v>
      </c>
      <c r="W240" s="46">
        <v>97386</v>
      </c>
      <c r="X240" s="50" t="s">
        <v>566</v>
      </c>
    </row>
    <row r="241" spans="10:24" x14ac:dyDescent="0.25">
      <c r="J241" s="46">
        <v>97461</v>
      </c>
      <c r="K241" s="50" t="s">
        <v>530</v>
      </c>
      <c r="L241" s="32" t="s">
        <v>149</v>
      </c>
      <c r="M241" s="26" t="s">
        <v>347</v>
      </c>
      <c r="N241" t="s">
        <v>1202</v>
      </c>
      <c r="R241" s="58" t="s">
        <v>506</v>
      </c>
      <c r="S241" s="25">
        <f t="shared" si="13"/>
        <v>0</v>
      </c>
      <c r="T241" s="25">
        <f t="shared" si="15"/>
        <v>1</v>
      </c>
      <c r="V241" s="25">
        <f t="shared" si="14"/>
        <v>1</v>
      </c>
      <c r="W241" s="46">
        <v>97388</v>
      </c>
      <c r="X241" s="50" t="s">
        <v>552</v>
      </c>
    </row>
    <row r="242" spans="10:24" x14ac:dyDescent="0.25">
      <c r="J242" s="46">
        <v>97463</v>
      </c>
      <c r="K242" s="50" t="s">
        <v>531</v>
      </c>
      <c r="L242" s="32" t="s">
        <v>149</v>
      </c>
      <c r="M242" s="26" t="s">
        <v>347</v>
      </c>
      <c r="N242" t="s">
        <v>1202</v>
      </c>
      <c r="R242" s="58" t="s">
        <v>669</v>
      </c>
      <c r="S242" s="25">
        <f t="shared" si="13"/>
        <v>0</v>
      </c>
      <c r="T242" s="25">
        <f t="shared" si="15"/>
        <v>1</v>
      </c>
      <c r="V242" s="25">
        <f t="shared" si="14"/>
        <v>1</v>
      </c>
      <c r="W242" s="46">
        <v>97389</v>
      </c>
      <c r="X242" s="50" t="s">
        <v>567</v>
      </c>
    </row>
    <row r="243" spans="10:24" x14ac:dyDescent="0.25">
      <c r="J243" s="46">
        <v>97472</v>
      </c>
      <c r="K243" s="50" t="s">
        <v>532</v>
      </c>
      <c r="L243" s="32" t="s">
        <v>149</v>
      </c>
      <c r="M243" s="26" t="s">
        <v>347</v>
      </c>
      <c r="N243" t="s">
        <v>1202</v>
      </c>
      <c r="R243" s="58" t="s">
        <v>134</v>
      </c>
      <c r="S243" s="25">
        <f t="shared" si="13"/>
        <v>0</v>
      </c>
      <c r="T243" s="25">
        <f t="shared" si="15"/>
        <v>1</v>
      </c>
      <c r="V243" s="25">
        <f t="shared" si="14"/>
        <v>1</v>
      </c>
      <c r="W243" s="46">
        <v>97390</v>
      </c>
      <c r="X243" s="50" t="s">
        <v>553</v>
      </c>
    </row>
    <row r="244" spans="10:24" x14ac:dyDescent="0.25">
      <c r="J244" s="46">
        <v>97475</v>
      </c>
      <c r="K244" s="50" t="s">
        <v>148</v>
      </c>
      <c r="L244" s="32" t="s">
        <v>149</v>
      </c>
      <c r="M244" s="26" t="s">
        <v>347</v>
      </c>
      <c r="N244" t="s">
        <v>1202</v>
      </c>
      <c r="R244" s="58" t="s">
        <v>164</v>
      </c>
      <c r="S244" s="25">
        <f t="shared" si="13"/>
        <v>0</v>
      </c>
      <c r="T244" s="25">
        <f t="shared" si="15"/>
        <v>1</v>
      </c>
      <c r="V244" s="25">
        <f t="shared" si="14"/>
        <v>1</v>
      </c>
      <c r="W244" s="46">
        <v>97391</v>
      </c>
      <c r="X244" s="50" t="s">
        <v>137</v>
      </c>
    </row>
    <row r="245" spans="10:24" x14ac:dyDescent="0.25">
      <c r="J245" s="46">
        <v>97477</v>
      </c>
      <c r="K245" s="50" t="s">
        <v>148</v>
      </c>
      <c r="L245" s="32" t="s">
        <v>149</v>
      </c>
      <c r="M245" s="26" t="s">
        <v>347</v>
      </c>
      <c r="N245" t="s">
        <v>1202</v>
      </c>
      <c r="R245" s="58" t="s">
        <v>658</v>
      </c>
      <c r="S245" s="25">
        <f t="shared" si="13"/>
        <v>0</v>
      </c>
      <c r="T245" s="25">
        <f t="shared" si="15"/>
        <v>1</v>
      </c>
      <c r="V245" s="25">
        <f t="shared" si="14"/>
        <v>1</v>
      </c>
      <c r="W245" s="46">
        <v>97392</v>
      </c>
      <c r="X245" s="50" t="s">
        <v>597</v>
      </c>
    </row>
    <row r="246" spans="10:24" x14ac:dyDescent="0.25">
      <c r="J246" s="46">
        <v>97478</v>
      </c>
      <c r="K246" s="50" t="s">
        <v>148</v>
      </c>
      <c r="L246" s="32" t="s">
        <v>149</v>
      </c>
      <c r="M246" s="26" t="s">
        <v>347</v>
      </c>
      <c r="N246" t="s">
        <v>1202</v>
      </c>
      <c r="R246" s="58" t="s">
        <v>640</v>
      </c>
      <c r="S246" s="25">
        <f t="shared" si="13"/>
        <v>0</v>
      </c>
      <c r="T246" s="25">
        <f t="shared" si="15"/>
        <v>1</v>
      </c>
      <c r="V246" s="25">
        <f t="shared" si="14"/>
        <v>1</v>
      </c>
      <c r="W246" s="46">
        <v>97394</v>
      </c>
      <c r="X246" s="50" t="s">
        <v>554</v>
      </c>
    </row>
    <row r="247" spans="10:24" x14ac:dyDescent="0.25">
      <c r="J247" s="46">
        <v>97480</v>
      </c>
      <c r="K247" s="50" t="s">
        <v>533</v>
      </c>
      <c r="L247" s="32" t="s">
        <v>149</v>
      </c>
      <c r="M247" s="26" t="s">
        <v>347</v>
      </c>
      <c r="N247" t="s">
        <v>1202</v>
      </c>
      <c r="R247" s="58" t="s">
        <v>530</v>
      </c>
      <c r="S247" s="25">
        <f t="shared" si="13"/>
        <v>0</v>
      </c>
      <c r="T247" s="25">
        <f t="shared" si="15"/>
        <v>1</v>
      </c>
      <c r="V247" s="25">
        <f t="shared" si="14"/>
        <v>1</v>
      </c>
      <c r="W247" s="46">
        <v>97396</v>
      </c>
      <c r="X247" s="50" t="s">
        <v>671</v>
      </c>
    </row>
    <row r="248" spans="10:24" x14ac:dyDescent="0.25">
      <c r="J248" s="46">
        <v>97482</v>
      </c>
      <c r="K248" s="50" t="s">
        <v>534</v>
      </c>
      <c r="L248" s="32" t="s">
        <v>149</v>
      </c>
      <c r="M248" s="26" t="s">
        <v>347</v>
      </c>
      <c r="N248" t="s">
        <v>1202</v>
      </c>
      <c r="R248" s="58" t="s">
        <v>577</v>
      </c>
      <c r="S248" s="25">
        <f t="shared" si="13"/>
        <v>0</v>
      </c>
      <c r="T248" s="25">
        <f t="shared" si="15"/>
        <v>1</v>
      </c>
      <c r="V248" s="25">
        <f t="shared" si="14"/>
        <v>1</v>
      </c>
      <c r="W248" s="46">
        <v>97401</v>
      </c>
      <c r="X248" s="50" t="s">
        <v>151</v>
      </c>
    </row>
    <row r="249" spans="10:24" x14ac:dyDescent="0.25">
      <c r="J249" s="46">
        <v>97487</v>
      </c>
      <c r="K249" s="50" t="s">
        <v>535</v>
      </c>
      <c r="L249" s="32" t="s">
        <v>149</v>
      </c>
      <c r="M249" s="26" t="s">
        <v>347</v>
      </c>
      <c r="N249" t="s">
        <v>1202</v>
      </c>
      <c r="R249" s="58" t="s">
        <v>485</v>
      </c>
      <c r="S249" s="25">
        <f t="shared" si="13"/>
        <v>0</v>
      </c>
      <c r="T249" s="25">
        <f t="shared" si="15"/>
        <v>1</v>
      </c>
      <c r="V249" s="25">
        <f t="shared" si="14"/>
        <v>1</v>
      </c>
      <c r="W249" s="46">
        <v>97402</v>
      </c>
      <c r="X249" s="50" t="s">
        <v>151</v>
      </c>
    </row>
    <row r="250" spans="10:24" x14ac:dyDescent="0.25">
      <c r="J250" s="46">
        <v>97488</v>
      </c>
      <c r="K250" s="50" t="s">
        <v>536</v>
      </c>
      <c r="L250" s="32" t="s">
        <v>149</v>
      </c>
      <c r="M250" s="26" t="s">
        <v>347</v>
      </c>
      <c r="N250" t="s">
        <v>1202</v>
      </c>
      <c r="R250" s="58" t="s">
        <v>432</v>
      </c>
      <c r="S250" s="25">
        <f t="shared" si="13"/>
        <v>0</v>
      </c>
      <c r="T250" s="25">
        <f t="shared" si="15"/>
        <v>1</v>
      </c>
      <c r="U250" s="29"/>
      <c r="V250" s="25">
        <f t="shared" si="14"/>
        <v>1</v>
      </c>
      <c r="W250" s="46">
        <v>97403</v>
      </c>
      <c r="X250" s="50" t="s">
        <v>151</v>
      </c>
    </row>
    <row r="251" spans="10:24" x14ac:dyDescent="0.25">
      <c r="J251" s="46">
        <v>97489</v>
      </c>
      <c r="K251" s="50" t="s">
        <v>537</v>
      </c>
      <c r="L251" s="32" t="s">
        <v>149</v>
      </c>
      <c r="M251" s="26" t="s">
        <v>347</v>
      </c>
      <c r="N251" t="s">
        <v>1202</v>
      </c>
      <c r="R251" s="58" t="s">
        <v>531</v>
      </c>
      <c r="S251" s="25">
        <f t="shared" si="13"/>
        <v>0</v>
      </c>
      <c r="T251" s="25">
        <f t="shared" si="15"/>
        <v>1</v>
      </c>
      <c r="V251" s="25">
        <f t="shared" si="14"/>
        <v>1</v>
      </c>
      <c r="W251" s="46">
        <v>97404</v>
      </c>
      <c r="X251" s="50" t="s">
        <v>151</v>
      </c>
    </row>
    <row r="252" spans="10:24" x14ac:dyDescent="0.25">
      <c r="J252" s="46">
        <v>97490</v>
      </c>
      <c r="K252" s="50" t="s">
        <v>538</v>
      </c>
      <c r="L252" s="32" t="s">
        <v>149</v>
      </c>
      <c r="M252" s="26" t="s">
        <v>347</v>
      </c>
      <c r="N252" t="s">
        <v>1202</v>
      </c>
      <c r="R252" s="58" t="s">
        <v>622</v>
      </c>
      <c r="S252" s="25">
        <f t="shared" si="13"/>
        <v>0</v>
      </c>
      <c r="T252" s="25">
        <f t="shared" si="15"/>
        <v>1</v>
      </c>
      <c r="V252" s="25">
        <f t="shared" si="14"/>
        <v>1</v>
      </c>
      <c r="W252" s="46">
        <v>97405</v>
      </c>
      <c r="X252" s="50" t="s">
        <v>151</v>
      </c>
    </row>
    <row r="253" spans="10:24" x14ac:dyDescent="0.25">
      <c r="J253" s="46">
        <v>97492</v>
      </c>
      <c r="K253" s="50" t="s">
        <v>539</v>
      </c>
      <c r="L253" s="32" t="s">
        <v>149</v>
      </c>
      <c r="M253" s="26" t="s">
        <v>347</v>
      </c>
      <c r="N253" t="s">
        <v>1202</v>
      </c>
      <c r="R253" s="58" t="s">
        <v>465</v>
      </c>
      <c r="S253" s="25">
        <f t="shared" si="13"/>
        <v>0</v>
      </c>
      <c r="T253" s="25">
        <f t="shared" ref="T253:T284" si="16">COUNTIF($K$12:$K$499,R255)</f>
        <v>1</v>
      </c>
      <c r="V253" s="25">
        <f t="shared" si="14"/>
        <v>1</v>
      </c>
      <c r="W253" s="46">
        <v>97406</v>
      </c>
      <c r="X253" s="50" t="s">
        <v>409</v>
      </c>
    </row>
    <row r="254" spans="10:24" x14ac:dyDescent="0.25">
      <c r="J254" s="46">
        <v>97493</v>
      </c>
      <c r="K254" s="50" t="s">
        <v>540</v>
      </c>
      <c r="L254" s="32" t="s">
        <v>149</v>
      </c>
      <c r="M254" s="26" t="s">
        <v>347</v>
      </c>
      <c r="N254" t="s">
        <v>1202</v>
      </c>
      <c r="R254" s="58" t="s">
        <v>259</v>
      </c>
      <c r="S254" s="25">
        <f t="shared" si="13"/>
        <v>0</v>
      </c>
      <c r="T254" s="25">
        <f t="shared" si="16"/>
        <v>1</v>
      </c>
      <c r="V254" s="25">
        <f t="shared" si="14"/>
        <v>1</v>
      </c>
      <c r="W254" s="46">
        <v>97407</v>
      </c>
      <c r="X254" s="50" t="s">
        <v>398</v>
      </c>
    </row>
    <row r="255" spans="10:24" x14ac:dyDescent="0.25">
      <c r="J255" s="46">
        <v>97341</v>
      </c>
      <c r="K255" s="50" t="s">
        <v>541</v>
      </c>
      <c r="L255" s="32" t="s">
        <v>135</v>
      </c>
      <c r="M255" s="26" t="s">
        <v>348</v>
      </c>
      <c r="N255" t="s">
        <v>1193</v>
      </c>
      <c r="R255" s="58" t="s">
        <v>412</v>
      </c>
      <c r="S255" s="25">
        <f t="shared" si="13"/>
        <v>0</v>
      </c>
      <c r="T255" s="25">
        <f t="shared" si="16"/>
        <v>1</v>
      </c>
      <c r="V255" s="25">
        <f t="shared" si="14"/>
        <v>1</v>
      </c>
      <c r="W255" s="46">
        <v>97408</v>
      </c>
      <c r="X255" s="50" t="s">
        <v>151</v>
      </c>
    </row>
    <row r="256" spans="10:24" x14ac:dyDescent="0.25">
      <c r="J256" s="46">
        <v>97343</v>
      </c>
      <c r="K256" s="50" t="s">
        <v>542</v>
      </c>
      <c r="L256" s="32" t="s">
        <v>135</v>
      </c>
      <c r="M256" s="26" t="s">
        <v>348</v>
      </c>
      <c r="N256" t="s">
        <v>1193</v>
      </c>
      <c r="R256" s="58" t="s">
        <v>263</v>
      </c>
      <c r="S256" s="25">
        <f t="shared" si="13"/>
        <v>0</v>
      </c>
      <c r="T256" s="25">
        <f t="shared" si="16"/>
        <v>1</v>
      </c>
      <c r="V256" s="25">
        <f t="shared" si="14"/>
        <v>1</v>
      </c>
      <c r="W256" s="46">
        <v>97409</v>
      </c>
      <c r="X256" s="50" t="s">
        <v>513</v>
      </c>
    </row>
    <row r="257" spans="10:24" x14ac:dyDescent="0.25">
      <c r="J257" s="46">
        <v>97357</v>
      </c>
      <c r="K257" s="50" t="s">
        <v>543</v>
      </c>
      <c r="L257" s="32" t="s">
        <v>135</v>
      </c>
      <c r="M257" s="26" t="s">
        <v>348</v>
      </c>
      <c r="N257" t="s">
        <v>1193</v>
      </c>
      <c r="R257" s="58" t="s">
        <v>547</v>
      </c>
      <c r="S257" s="25">
        <f t="shared" si="13"/>
        <v>0</v>
      </c>
      <c r="T257" s="25">
        <f t="shared" si="16"/>
        <v>1</v>
      </c>
      <c r="V257" s="25">
        <f t="shared" si="14"/>
        <v>1</v>
      </c>
      <c r="W257" s="46">
        <v>97410</v>
      </c>
      <c r="X257" s="50" t="s">
        <v>419</v>
      </c>
    </row>
    <row r="258" spans="10:24" x14ac:dyDescent="0.25">
      <c r="J258" s="46">
        <v>97364</v>
      </c>
      <c r="K258" s="50" t="s">
        <v>544</v>
      </c>
      <c r="L258" s="32" t="s">
        <v>135</v>
      </c>
      <c r="M258" s="26" t="s">
        <v>348</v>
      </c>
      <c r="N258" t="s">
        <v>1193</v>
      </c>
      <c r="R258" s="58" t="s">
        <v>548</v>
      </c>
      <c r="S258" s="25">
        <f t="shared" si="13"/>
        <v>0</v>
      </c>
      <c r="T258" s="25">
        <f t="shared" si="16"/>
        <v>1</v>
      </c>
      <c r="V258" s="25">
        <f t="shared" si="14"/>
        <v>1</v>
      </c>
      <c r="W258" s="46">
        <v>97411</v>
      </c>
      <c r="X258" s="50" t="s">
        <v>399</v>
      </c>
    </row>
    <row r="259" spans="10:24" x14ac:dyDescent="0.25">
      <c r="J259" s="46">
        <v>97365</v>
      </c>
      <c r="K259" s="50" t="s">
        <v>134</v>
      </c>
      <c r="L259" s="32" t="s">
        <v>135</v>
      </c>
      <c r="M259" s="26" t="s">
        <v>348</v>
      </c>
      <c r="N259" t="s">
        <v>1193</v>
      </c>
      <c r="R259" s="58" t="s">
        <v>331</v>
      </c>
      <c r="S259" s="25">
        <f t="shared" si="13"/>
        <v>0</v>
      </c>
      <c r="T259" s="25">
        <f t="shared" si="16"/>
        <v>1</v>
      </c>
      <c r="V259" s="25">
        <f t="shared" si="14"/>
        <v>1</v>
      </c>
      <c r="W259" s="46">
        <v>97412</v>
      </c>
      <c r="X259" s="50" t="s">
        <v>514</v>
      </c>
    </row>
    <row r="260" spans="10:24" x14ac:dyDescent="0.25">
      <c r="J260" s="46">
        <v>97366</v>
      </c>
      <c r="K260" s="50" t="s">
        <v>545</v>
      </c>
      <c r="L260" s="32" t="s">
        <v>135</v>
      </c>
      <c r="M260" s="26" t="s">
        <v>348</v>
      </c>
      <c r="N260" t="s">
        <v>1193</v>
      </c>
      <c r="R260" s="58" t="s">
        <v>623</v>
      </c>
      <c r="S260" s="25">
        <f t="shared" ref="S260:S323" si="17">COUNTIF($L$12:$L$499,Q260)</f>
        <v>0</v>
      </c>
      <c r="T260" s="25">
        <f t="shared" si="16"/>
        <v>1</v>
      </c>
      <c r="V260" s="25">
        <f t="shared" si="14"/>
        <v>1</v>
      </c>
      <c r="W260" s="46">
        <v>97413</v>
      </c>
      <c r="X260" s="50" t="s">
        <v>515</v>
      </c>
    </row>
    <row r="261" spans="10:24" x14ac:dyDescent="0.25">
      <c r="J261" s="46">
        <v>97367</v>
      </c>
      <c r="K261" s="50" t="s">
        <v>546</v>
      </c>
      <c r="L261" s="32" t="s">
        <v>135</v>
      </c>
      <c r="M261" s="26" t="s">
        <v>348</v>
      </c>
      <c r="N261" t="s">
        <v>1193</v>
      </c>
      <c r="R261" s="58" t="s">
        <v>507</v>
      </c>
      <c r="S261" s="25">
        <f t="shared" si="17"/>
        <v>0</v>
      </c>
      <c r="T261" s="25">
        <f t="shared" si="16"/>
        <v>1</v>
      </c>
      <c r="V261" s="25">
        <f t="shared" ref="V261:V324" si="18">COUNTIF($W$5:$W$485,W261)</f>
        <v>1</v>
      </c>
      <c r="W261" s="46">
        <v>97414</v>
      </c>
      <c r="X261" s="50" t="s">
        <v>400</v>
      </c>
    </row>
    <row r="262" spans="10:24" x14ac:dyDescent="0.25">
      <c r="J262" s="46">
        <v>97368</v>
      </c>
      <c r="K262" s="50" t="s">
        <v>547</v>
      </c>
      <c r="L262" s="32" t="s">
        <v>135</v>
      </c>
      <c r="M262" s="26" t="s">
        <v>348</v>
      </c>
      <c r="N262" t="s">
        <v>1193</v>
      </c>
      <c r="R262" s="58" t="s">
        <v>406</v>
      </c>
      <c r="S262" s="25">
        <f t="shared" si="17"/>
        <v>0</v>
      </c>
      <c r="T262" s="25">
        <f t="shared" si="16"/>
        <v>1</v>
      </c>
      <c r="V262" s="25">
        <f t="shared" si="18"/>
        <v>1</v>
      </c>
      <c r="W262" s="46">
        <v>97415</v>
      </c>
      <c r="X262" s="50" t="s">
        <v>410</v>
      </c>
    </row>
    <row r="263" spans="10:24" x14ac:dyDescent="0.25">
      <c r="J263" s="46">
        <v>97369</v>
      </c>
      <c r="K263" s="50" t="s">
        <v>548</v>
      </c>
      <c r="L263" s="32" t="s">
        <v>135</v>
      </c>
      <c r="M263" s="26" t="s">
        <v>348</v>
      </c>
      <c r="N263" t="s">
        <v>1193</v>
      </c>
      <c r="R263" s="58" t="s">
        <v>223</v>
      </c>
      <c r="S263" s="25">
        <f t="shared" si="17"/>
        <v>0</v>
      </c>
      <c r="T263" s="25">
        <f t="shared" si="16"/>
        <v>1</v>
      </c>
      <c r="V263" s="25">
        <f t="shared" si="18"/>
        <v>1</v>
      </c>
      <c r="W263" s="46">
        <v>97416</v>
      </c>
      <c r="X263" s="50" t="s">
        <v>420</v>
      </c>
    </row>
    <row r="264" spans="10:24" x14ac:dyDescent="0.25">
      <c r="J264" s="46">
        <v>97372</v>
      </c>
      <c r="K264" s="50" t="s">
        <v>549</v>
      </c>
      <c r="L264" s="32" t="s">
        <v>135</v>
      </c>
      <c r="M264" s="26" t="s">
        <v>348</v>
      </c>
      <c r="N264" t="s">
        <v>1193</v>
      </c>
      <c r="R264" s="58" t="s">
        <v>351</v>
      </c>
      <c r="S264" s="25">
        <f t="shared" si="17"/>
        <v>0</v>
      </c>
      <c r="T264" s="25">
        <f t="shared" si="16"/>
        <v>1</v>
      </c>
      <c r="V264" s="25">
        <f t="shared" si="18"/>
        <v>1</v>
      </c>
      <c r="W264" s="46">
        <v>97417</v>
      </c>
      <c r="X264" s="50" t="s">
        <v>421</v>
      </c>
    </row>
    <row r="265" spans="10:24" x14ac:dyDescent="0.25">
      <c r="J265" s="46">
        <v>97376</v>
      </c>
      <c r="K265" s="50" t="s">
        <v>550</v>
      </c>
      <c r="L265" s="32" t="s">
        <v>135</v>
      </c>
      <c r="M265" s="26" t="s">
        <v>348</v>
      </c>
      <c r="N265" t="s">
        <v>1193</v>
      </c>
      <c r="R265" s="58" t="s">
        <v>471</v>
      </c>
      <c r="S265" s="25">
        <f t="shared" si="17"/>
        <v>0</v>
      </c>
      <c r="T265" s="25">
        <f t="shared" si="16"/>
        <v>1</v>
      </c>
      <c r="V265" s="25">
        <f t="shared" si="18"/>
        <v>1</v>
      </c>
      <c r="W265" s="46">
        <v>97419</v>
      </c>
      <c r="X265" s="50" t="s">
        <v>516</v>
      </c>
    </row>
    <row r="266" spans="10:24" x14ac:dyDescent="0.25">
      <c r="J266" s="46">
        <v>97380</v>
      </c>
      <c r="K266" s="50" t="s">
        <v>551</v>
      </c>
      <c r="L266" s="32" t="s">
        <v>135</v>
      </c>
      <c r="M266" s="26" t="s">
        <v>348</v>
      </c>
      <c r="N266" t="s">
        <v>1193</v>
      </c>
      <c r="R266" s="58" t="s">
        <v>633</v>
      </c>
      <c r="S266" s="25">
        <f t="shared" si="17"/>
        <v>0</v>
      </c>
      <c r="T266" s="25">
        <f t="shared" si="16"/>
        <v>1</v>
      </c>
      <c r="V266" s="25">
        <f t="shared" si="18"/>
        <v>1</v>
      </c>
      <c r="W266" s="46">
        <v>97420</v>
      </c>
      <c r="X266" s="50" t="s">
        <v>401</v>
      </c>
    </row>
    <row r="267" spans="10:24" x14ac:dyDescent="0.25">
      <c r="J267" s="46">
        <v>97388</v>
      </c>
      <c r="K267" s="50" t="s">
        <v>552</v>
      </c>
      <c r="L267" s="32" t="s">
        <v>135</v>
      </c>
      <c r="M267" s="26" t="s">
        <v>348</v>
      </c>
      <c r="N267" t="s">
        <v>1193</v>
      </c>
      <c r="R267" s="58" t="s">
        <v>529</v>
      </c>
      <c r="S267" s="25">
        <f t="shared" si="17"/>
        <v>0</v>
      </c>
      <c r="T267" s="25">
        <f t="shared" si="16"/>
        <v>1</v>
      </c>
      <c r="V267" s="25">
        <f t="shared" si="18"/>
        <v>1</v>
      </c>
      <c r="W267" s="46">
        <v>97423</v>
      </c>
      <c r="X267" s="50" t="s">
        <v>402</v>
      </c>
    </row>
    <row r="268" spans="10:24" x14ac:dyDescent="0.25">
      <c r="J268" s="46">
        <v>97390</v>
      </c>
      <c r="K268" s="50" t="s">
        <v>553</v>
      </c>
      <c r="L268" s="32" t="s">
        <v>135</v>
      </c>
      <c r="M268" s="26" t="s">
        <v>348</v>
      </c>
      <c r="N268" t="s">
        <v>1193</v>
      </c>
      <c r="R268" s="58" t="s">
        <v>508</v>
      </c>
      <c r="S268" s="25">
        <f t="shared" si="17"/>
        <v>0</v>
      </c>
      <c r="T268" s="25">
        <f t="shared" si="16"/>
        <v>59</v>
      </c>
      <c r="V268" s="25">
        <f t="shared" si="18"/>
        <v>1</v>
      </c>
      <c r="W268" s="46">
        <v>97424</v>
      </c>
      <c r="X268" s="50" t="s">
        <v>154</v>
      </c>
    </row>
    <row r="269" spans="10:24" x14ac:dyDescent="0.25">
      <c r="J269" s="46">
        <v>97391</v>
      </c>
      <c r="K269" s="50" t="s">
        <v>137</v>
      </c>
      <c r="L269" s="32" t="s">
        <v>135</v>
      </c>
      <c r="M269" s="26" t="s">
        <v>348</v>
      </c>
      <c r="N269" t="s">
        <v>1193</v>
      </c>
      <c r="R269" s="58" t="s">
        <v>413</v>
      </c>
      <c r="S269" s="25">
        <f t="shared" si="17"/>
        <v>0</v>
      </c>
      <c r="T269" s="25">
        <f t="shared" si="16"/>
        <v>1</v>
      </c>
      <c r="V269" s="25">
        <f t="shared" si="18"/>
        <v>1</v>
      </c>
      <c r="W269" s="46">
        <v>97425</v>
      </c>
      <c r="X269" s="50" t="s">
        <v>489</v>
      </c>
    </row>
    <row r="270" spans="10:24" x14ac:dyDescent="0.25">
      <c r="J270" s="46">
        <v>97394</v>
      </c>
      <c r="K270" s="50" t="s">
        <v>554</v>
      </c>
      <c r="L270" s="32" t="s">
        <v>135</v>
      </c>
      <c r="M270" s="26" t="s">
        <v>348</v>
      </c>
      <c r="N270" t="s">
        <v>1193</v>
      </c>
      <c r="R270" s="58" t="s">
        <v>97</v>
      </c>
      <c r="S270" s="25">
        <f t="shared" si="17"/>
        <v>0</v>
      </c>
      <c r="T270" s="25">
        <f t="shared" si="16"/>
        <v>1</v>
      </c>
      <c r="V270" s="25">
        <f t="shared" si="18"/>
        <v>1</v>
      </c>
      <c r="W270" s="46">
        <v>97426</v>
      </c>
      <c r="X270" s="50" t="s">
        <v>517</v>
      </c>
    </row>
    <row r="271" spans="10:24" x14ac:dyDescent="0.25">
      <c r="J271" s="46">
        <v>97498</v>
      </c>
      <c r="K271" s="50" t="s">
        <v>555</v>
      </c>
      <c r="L271" s="32" t="s">
        <v>135</v>
      </c>
      <c r="M271" s="26" t="s">
        <v>348</v>
      </c>
      <c r="N271" t="s">
        <v>1193</v>
      </c>
      <c r="R271" s="58" t="s">
        <v>407</v>
      </c>
      <c r="S271" s="25">
        <f t="shared" si="17"/>
        <v>0</v>
      </c>
      <c r="T271" s="25">
        <f t="shared" si="16"/>
        <v>1</v>
      </c>
      <c r="V271" s="25">
        <f t="shared" si="18"/>
        <v>1</v>
      </c>
      <c r="W271" s="46">
        <v>97427</v>
      </c>
      <c r="X271" s="50" t="s">
        <v>518</v>
      </c>
    </row>
    <row r="272" spans="10:24" x14ac:dyDescent="0.25">
      <c r="J272" s="46">
        <v>97321</v>
      </c>
      <c r="K272" s="50" t="s">
        <v>139</v>
      </c>
      <c r="L272" s="32" t="s">
        <v>140</v>
      </c>
      <c r="M272" s="26" t="s">
        <v>349</v>
      </c>
      <c r="N272" t="s">
        <v>1193</v>
      </c>
      <c r="R272" s="58" t="s">
        <v>408</v>
      </c>
      <c r="S272" s="25">
        <f t="shared" si="17"/>
        <v>0</v>
      </c>
      <c r="T272" s="25">
        <f t="shared" si="16"/>
        <v>1</v>
      </c>
      <c r="V272" s="25">
        <f t="shared" si="18"/>
        <v>1</v>
      </c>
      <c r="W272" s="46">
        <v>97428</v>
      </c>
      <c r="X272" s="50" t="s">
        <v>422</v>
      </c>
    </row>
    <row r="273" spans="10:24" x14ac:dyDescent="0.25">
      <c r="J273" s="46">
        <v>97327</v>
      </c>
      <c r="K273" s="50" t="s">
        <v>556</v>
      </c>
      <c r="L273" s="32" t="s">
        <v>140</v>
      </c>
      <c r="M273" s="26" t="s">
        <v>349</v>
      </c>
      <c r="N273" t="s">
        <v>1193</v>
      </c>
      <c r="R273" s="58" t="s">
        <v>405</v>
      </c>
      <c r="S273" s="25">
        <f t="shared" si="17"/>
        <v>0</v>
      </c>
      <c r="T273" s="25">
        <f t="shared" si="16"/>
        <v>1</v>
      </c>
      <c r="V273" s="25">
        <f t="shared" si="18"/>
        <v>1</v>
      </c>
      <c r="W273" s="46">
        <v>97429</v>
      </c>
      <c r="X273" s="50" t="s">
        <v>423</v>
      </c>
    </row>
    <row r="274" spans="10:24" x14ac:dyDescent="0.25">
      <c r="J274" s="46">
        <v>97329</v>
      </c>
      <c r="K274" s="50" t="s">
        <v>557</v>
      </c>
      <c r="L274" s="32" t="s">
        <v>140</v>
      </c>
      <c r="M274" s="26" t="s">
        <v>349</v>
      </c>
      <c r="N274" t="s">
        <v>1193</v>
      </c>
      <c r="R274" s="58" t="s">
        <v>453</v>
      </c>
      <c r="S274" s="25">
        <f t="shared" si="17"/>
        <v>0</v>
      </c>
      <c r="T274" s="25">
        <f t="shared" si="16"/>
        <v>1</v>
      </c>
      <c r="V274" s="25">
        <f t="shared" si="18"/>
        <v>1</v>
      </c>
      <c r="W274" s="46">
        <v>97430</v>
      </c>
      <c r="X274" s="50" t="s">
        <v>519</v>
      </c>
    </row>
    <row r="275" spans="10:24" x14ac:dyDescent="0.25">
      <c r="J275" s="46">
        <v>97335</v>
      </c>
      <c r="K275" s="50" t="s">
        <v>558</v>
      </c>
      <c r="L275" s="32" t="s">
        <v>140</v>
      </c>
      <c r="M275" s="26" t="s">
        <v>349</v>
      </c>
      <c r="N275" t="s">
        <v>1193</v>
      </c>
      <c r="R275" s="58" t="s">
        <v>456</v>
      </c>
      <c r="S275" s="25">
        <f t="shared" si="17"/>
        <v>0</v>
      </c>
      <c r="T275" s="25">
        <f t="shared" si="16"/>
        <v>1</v>
      </c>
      <c r="V275" s="25">
        <f t="shared" si="18"/>
        <v>1</v>
      </c>
      <c r="W275" s="46">
        <v>97431</v>
      </c>
      <c r="X275" s="50" t="s">
        <v>520</v>
      </c>
    </row>
    <row r="276" spans="10:24" x14ac:dyDescent="0.25">
      <c r="J276" s="46">
        <v>97336</v>
      </c>
      <c r="K276" s="50" t="s">
        <v>559</v>
      </c>
      <c r="L276" s="32" t="s">
        <v>140</v>
      </c>
      <c r="M276" s="26" t="s">
        <v>349</v>
      </c>
      <c r="N276" t="s">
        <v>1193</v>
      </c>
      <c r="R276" s="58" t="s">
        <v>207</v>
      </c>
      <c r="S276" s="25">
        <f t="shared" si="17"/>
        <v>0</v>
      </c>
      <c r="T276" s="25">
        <f t="shared" si="16"/>
        <v>1</v>
      </c>
      <c r="V276" s="25">
        <f t="shared" si="18"/>
        <v>1</v>
      </c>
      <c r="W276" s="46">
        <v>97432</v>
      </c>
      <c r="X276" s="50" t="s">
        <v>424</v>
      </c>
    </row>
    <row r="277" spans="10:24" x14ac:dyDescent="0.25">
      <c r="J277" s="46">
        <v>97345</v>
      </c>
      <c r="K277" s="50" t="s">
        <v>560</v>
      </c>
      <c r="L277" s="32" t="s">
        <v>140</v>
      </c>
      <c r="M277" s="26" t="s">
        <v>349</v>
      </c>
      <c r="N277" t="s">
        <v>1193</v>
      </c>
      <c r="R277" s="58" t="s">
        <v>472</v>
      </c>
      <c r="S277" s="25">
        <f t="shared" si="17"/>
        <v>0</v>
      </c>
      <c r="T277" s="25">
        <f t="shared" si="16"/>
        <v>1</v>
      </c>
      <c r="V277" s="25">
        <f t="shared" si="18"/>
        <v>1</v>
      </c>
      <c r="W277" s="46">
        <v>97434</v>
      </c>
      <c r="X277" s="50" t="s">
        <v>521</v>
      </c>
    </row>
    <row r="278" spans="10:24" x14ac:dyDescent="0.25">
      <c r="J278" s="46">
        <v>97348</v>
      </c>
      <c r="K278" s="50" t="s">
        <v>561</v>
      </c>
      <c r="L278" s="32" t="s">
        <v>140</v>
      </c>
      <c r="M278" s="26" t="s">
        <v>349</v>
      </c>
      <c r="N278" t="s">
        <v>1193</v>
      </c>
      <c r="R278" s="58" t="s">
        <v>392</v>
      </c>
      <c r="S278" s="25">
        <f t="shared" si="17"/>
        <v>0</v>
      </c>
      <c r="T278" s="25">
        <f t="shared" si="16"/>
        <v>1</v>
      </c>
      <c r="V278" s="25">
        <f t="shared" si="18"/>
        <v>1</v>
      </c>
      <c r="W278" s="46">
        <v>97435</v>
      </c>
      <c r="X278" s="50" t="s">
        <v>425</v>
      </c>
    </row>
    <row r="279" spans="10:24" x14ac:dyDescent="0.25">
      <c r="J279" s="46">
        <v>97355</v>
      </c>
      <c r="K279" s="50" t="s">
        <v>144</v>
      </c>
      <c r="L279" s="32" t="s">
        <v>140</v>
      </c>
      <c r="M279" s="26" t="s">
        <v>349</v>
      </c>
      <c r="N279" t="s">
        <v>1193</v>
      </c>
      <c r="R279" s="58" t="s">
        <v>200</v>
      </c>
      <c r="S279" s="25">
        <f t="shared" si="17"/>
        <v>0</v>
      </c>
      <c r="T279" s="25">
        <f t="shared" si="16"/>
        <v>1</v>
      </c>
      <c r="V279" s="25">
        <f t="shared" si="18"/>
        <v>1</v>
      </c>
      <c r="W279" s="46">
        <v>97436</v>
      </c>
      <c r="X279" s="50" t="s">
        <v>426</v>
      </c>
    </row>
    <row r="280" spans="10:24" x14ac:dyDescent="0.25">
      <c r="J280" s="46">
        <v>97358</v>
      </c>
      <c r="K280" s="50" t="s">
        <v>562</v>
      </c>
      <c r="L280" s="32" t="s">
        <v>140</v>
      </c>
      <c r="M280" s="26" t="s">
        <v>349</v>
      </c>
      <c r="N280" t="s">
        <v>1193</v>
      </c>
      <c r="R280" s="58" t="s">
        <v>308</v>
      </c>
      <c r="S280" s="25">
        <f t="shared" si="17"/>
        <v>0</v>
      </c>
      <c r="T280" s="25">
        <f t="shared" si="16"/>
        <v>1</v>
      </c>
      <c r="U280" s="29"/>
      <c r="V280" s="25">
        <f t="shared" si="18"/>
        <v>1</v>
      </c>
      <c r="W280" s="46">
        <v>97437</v>
      </c>
      <c r="X280" s="50" t="s">
        <v>522</v>
      </c>
    </row>
    <row r="281" spans="10:24" x14ac:dyDescent="0.25">
      <c r="J281" s="46">
        <v>97360</v>
      </c>
      <c r="K281" s="50" t="s">
        <v>563</v>
      </c>
      <c r="L281" s="32" t="s">
        <v>140</v>
      </c>
      <c r="M281" s="26" t="s">
        <v>349</v>
      </c>
      <c r="N281" t="s">
        <v>1193</v>
      </c>
      <c r="R281" s="58" t="s">
        <v>380</v>
      </c>
      <c r="S281" s="25">
        <f t="shared" si="17"/>
        <v>0</v>
      </c>
      <c r="T281" s="25">
        <f t="shared" si="16"/>
        <v>1</v>
      </c>
      <c r="V281" s="25">
        <f t="shared" si="18"/>
        <v>1</v>
      </c>
      <c r="W281" s="46">
        <v>97438</v>
      </c>
      <c r="X281" s="50" t="s">
        <v>523</v>
      </c>
    </row>
    <row r="282" spans="10:24" x14ac:dyDescent="0.25">
      <c r="J282" s="46">
        <v>97374</v>
      </c>
      <c r="K282" s="50" t="s">
        <v>564</v>
      </c>
      <c r="L282" s="32" t="s">
        <v>140</v>
      </c>
      <c r="M282" s="26" t="s">
        <v>349</v>
      </c>
      <c r="N282" t="s">
        <v>1193</v>
      </c>
      <c r="R282" s="58" t="s">
        <v>333</v>
      </c>
      <c r="S282" s="25">
        <f t="shared" si="17"/>
        <v>0</v>
      </c>
      <c r="T282" s="25">
        <f t="shared" si="16"/>
        <v>1</v>
      </c>
      <c r="V282" s="25">
        <f t="shared" si="18"/>
        <v>1</v>
      </c>
      <c r="W282" s="46">
        <v>97439</v>
      </c>
      <c r="X282" s="50" t="s">
        <v>157</v>
      </c>
    </row>
    <row r="283" spans="10:24" x14ac:dyDescent="0.25">
      <c r="J283" s="46">
        <v>97377</v>
      </c>
      <c r="K283" s="50" t="s">
        <v>565</v>
      </c>
      <c r="L283" s="32" t="s">
        <v>140</v>
      </c>
      <c r="M283" s="26" t="s">
        <v>349</v>
      </c>
      <c r="N283" t="s">
        <v>1193</v>
      </c>
      <c r="R283" s="58" t="s">
        <v>610</v>
      </c>
      <c r="S283" s="25">
        <f t="shared" si="17"/>
        <v>0</v>
      </c>
      <c r="T283" s="25">
        <f t="shared" si="16"/>
        <v>1</v>
      </c>
      <c r="V283" s="25">
        <f t="shared" si="18"/>
        <v>1</v>
      </c>
      <c r="W283" s="46">
        <v>97440</v>
      </c>
      <c r="X283" s="50" t="s">
        <v>151</v>
      </c>
    </row>
    <row r="284" spans="10:24" x14ac:dyDescent="0.25">
      <c r="J284" s="46">
        <v>97386</v>
      </c>
      <c r="K284" s="50" t="s">
        <v>566</v>
      </c>
      <c r="L284" s="32" t="s">
        <v>140</v>
      </c>
      <c r="M284" s="26" t="s">
        <v>349</v>
      </c>
      <c r="N284" t="s">
        <v>1193</v>
      </c>
      <c r="R284" s="58" t="s">
        <v>433</v>
      </c>
      <c r="S284" s="25">
        <f t="shared" si="17"/>
        <v>0</v>
      </c>
      <c r="T284" s="25">
        <f t="shared" si="16"/>
        <v>1</v>
      </c>
      <c r="V284" s="25">
        <f t="shared" si="18"/>
        <v>1</v>
      </c>
      <c r="W284" s="46">
        <v>97441</v>
      </c>
      <c r="X284" s="50" t="s">
        <v>427</v>
      </c>
    </row>
    <row r="285" spans="10:24" x14ac:dyDescent="0.25">
      <c r="J285" s="46">
        <v>97389</v>
      </c>
      <c r="K285" s="50" t="s">
        <v>567</v>
      </c>
      <c r="L285" s="32" t="s">
        <v>140</v>
      </c>
      <c r="M285" s="26" t="s">
        <v>349</v>
      </c>
      <c r="N285" t="s">
        <v>1193</v>
      </c>
      <c r="R285" s="58" t="s">
        <v>461</v>
      </c>
      <c r="S285" s="25">
        <f t="shared" si="17"/>
        <v>0</v>
      </c>
      <c r="T285" s="25">
        <f t="shared" ref="T285:T316" si="19">COUNTIF($K$12:$K$499,R287)</f>
        <v>1</v>
      </c>
      <c r="V285" s="25">
        <f t="shared" si="18"/>
        <v>1</v>
      </c>
      <c r="W285" s="46">
        <v>97442</v>
      </c>
      <c r="X285" s="50" t="s">
        <v>428</v>
      </c>
    </row>
    <row r="286" spans="10:24" x14ac:dyDescent="0.25">
      <c r="J286" s="46">
        <v>97446</v>
      </c>
      <c r="K286" s="50" t="s">
        <v>568</v>
      </c>
      <c r="L286" s="32" t="s">
        <v>140</v>
      </c>
      <c r="M286" s="26" t="s">
        <v>349</v>
      </c>
      <c r="N286" t="s">
        <v>1193</v>
      </c>
      <c r="R286" s="58" t="s">
        <v>578</v>
      </c>
      <c r="S286" s="25">
        <f t="shared" si="17"/>
        <v>0</v>
      </c>
      <c r="T286" s="25">
        <f t="shared" si="19"/>
        <v>1</v>
      </c>
      <c r="V286" s="25">
        <f t="shared" si="18"/>
        <v>1</v>
      </c>
      <c r="W286" s="46">
        <v>97443</v>
      </c>
      <c r="X286" s="50" t="s">
        <v>429</v>
      </c>
    </row>
    <row r="287" spans="10:24" x14ac:dyDescent="0.25">
      <c r="J287" s="46">
        <v>97901</v>
      </c>
      <c r="K287" s="50" t="s">
        <v>569</v>
      </c>
      <c r="L287" s="32" t="s">
        <v>260</v>
      </c>
      <c r="M287" s="26" t="s">
        <v>350</v>
      </c>
      <c r="N287" t="s">
        <v>1199</v>
      </c>
      <c r="R287" s="58" t="s">
        <v>624</v>
      </c>
      <c r="S287" s="25">
        <f t="shared" si="17"/>
        <v>0</v>
      </c>
      <c r="T287" s="25">
        <f t="shared" si="19"/>
        <v>1</v>
      </c>
      <c r="V287" s="25">
        <f t="shared" si="18"/>
        <v>1</v>
      </c>
      <c r="W287" s="46">
        <v>97444</v>
      </c>
      <c r="X287" s="50" t="s">
        <v>168</v>
      </c>
    </row>
    <row r="288" spans="10:24" x14ac:dyDescent="0.25">
      <c r="J288" s="46">
        <v>97902</v>
      </c>
      <c r="K288" s="50" t="s">
        <v>570</v>
      </c>
      <c r="L288" s="32" t="s">
        <v>260</v>
      </c>
      <c r="M288" s="26" t="s">
        <v>350</v>
      </c>
      <c r="N288" t="s">
        <v>1199</v>
      </c>
      <c r="R288" s="58" t="s">
        <v>473</v>
      </c>
      <c r="S288" s="25">
        <f t="shared" si="17"/>
        <v>0</v>
      </c>
      <c r="T288" s="25">
        <f t="shared" si="19"/>
        <v>1</v>
      </c>
      <c r="V288" s="25">
        <f t="shared" si="18"/>
        <v>1</v>
      </c>
      <c r="W288" s="46">
        <v>97446</v>
      </c>
      <c r="X288" s="50" t="s">
        <v>568</v>
      </c>
    </row>
    <row r="289" spans="10:24" x14ac:dyDescent="0.25">
      <c r="J289" s="46">
        <v>97903</v>
      </c>
      <c r="K289" s="50" t="s">
        <v>571</v>
      </c>
      <c r="L289" s="32" t="s">
        <v>260</v>
      </c>
      <c r="M289" s="26" t="s">
        <v>350</v>
      </c>
      <c r="N289" t="s">
        <v>1199</v>
      </c>
      <c r="R289" s="58" t="s">
        <v>549</v>
      </c>
      <c r="S289" s="25">
        <f t="shared" si="17"/>
        <v>0</v>
      </c>
      <c r="T289" s="25">
        <f t="shared" si="19"/>
        <v>1</v>
      </c>
      <c r="V289" s="25">
        <f t="shared" si="18"/>
        <v>1</v>
      </c>
      <c r="W289" s="46">
        <v>97447</v>
      </c>
      <c r="X289" s="50" t="s">
        <v>430</v>
      </c>
    </row>
    <row r="290" spans="10:24" x14ac:dyDescent="0.25">
      <c r="J290" s="46">
        <v>97906</v>
      </c>
      <c r="K290" s="50" t="s">
        <v>572</v>
      </c>
      <c r="L290" s="32" t="s">
        <v>260</v>
      </c>
      <c r="M290" s="26" t="s">
        <v>350</v>
      </c>
      <c r="N290" t="s">
        <v>1199</v>
      </c>
      <c r="R290" s="58" t="s">
        <v>160</v>
      </c>
      <c r="S290" s="25">
        <f t="shared" si="17"/>
        <v>0</v>
      </c>
      <c r="T290" s="25">
        <f t="shared" si="19"/>
        <v>1</v>
      </c>
      <c r="V290" s="25">
        <f t="shared" si="18"/>
        <v>1</v>
      </c>
      <c r="W290" s="46">
        <v>97448</v>
      </c>
      <c r="X290" s="50" t="s">
        <v>524</v>
      </c>
    </row>
    <row r="291" spans="10:24" x14ac:dyDescent="0.25">
      <c r="J291" s="46">
        <v>97908</v>
      </c>
      <c r="K291" s="50" t="s">
        <v>573</v>
      </c>
      <c r="L291" s="32" t="s">
        <v>260</v>
      </c>
      <c r="M291" s="26" t="s">
        <v>350</v>
      </c>
      <c r="N291" t="s">
        <v>1199</v>
      </c>
      <c r="R291" s="58" t="s">
        <v>614</v>
      </c>
      <c r="S291" s="25">
        <f t="shared" si="17"/>
        <v>0</v>
      </c>
      <c r="T291" s="25">
        <f t="shared" si="19"/>
        <v>1</v>
      </c>
      <c r="V291" s="25">
        <f t="shared" si="18"/>
        <v>1</v>
      </c>
      <c r="W291" s="46">
        <v>97449</v>
      </c>
      <c r="X291" s="50" t="s">
        <v>403</v>
      </c>
    </row>
    <row r="292" spans="10:24" x14ac:dyDescent="0.25">
      <c r="J292" s="46">
        <v>97909</v>
      </c>
      <c r="K292" s="50" t="s">
        <v>574</v>
      </c>
      <c r="L292" s="32" t="s">
        <v>260</v>
      </c>
      <c r="M292" s="26" t="s">
        <v>350</v>
      </c>
      <c r="N292" t="s">
        <v>1199</v>
      </c>
      <c r="R292" s="58" t="s">
        <v>532</v>
      </c>
      <c r="S292" s="25">
        <f t="shared" si="17"/>
        <v>0</v>
      </c>
      <c r="T292" s="25">
        <f t="shared" si="19"/>
        <v>1</v>
      </c>
      <c r="V292" s="25">
        <f t="shared" si="18"/>
        <v>1</v>
      </c>
      <c r="W292" s="46">
        <v>97450</v>
      </c>
      <c r="X292" s="50" t="s">
        <v>411</v>
      </c>
    </row>
    <row r="293" spans="10:24" x14ac:dyDescent="0.25">
      <c r="J293" s="46">
        <v>97910</v>
      </c>
      <c r="K293" s="50" t="s">
        <v>575</v>
      </c>
      <c r="L293" s="32" t="s">
        <v>260</v>
      </c>
      <c r="M293" s="26" t="s">
        <v>350</v>
      </c>
      <c r="N293" t="s">
        <v>1199</v>
      </c>
      <c r="R293" s="58" t="s">
        <v>592</v>
      </c>
      <c r="S293" s="25">
        <f t="shared" si="17"/>
        <v>0</v>
      </c>
      <c r="T293" s="25">
        <f t="shared" si="19"/>
        <v>1</v>
      </c>
      <c r="V293" s="25">
        <f t="shared" si="18"/>
        <v>1</v>
      </c>
      <c r="W293" s="46">
        <v>97451</v>
      </c>
      <c r="X293" s="50" t="s">
        <v>525</v>
      </c>
    </row>
    <row r="294" spans="10:24" x14ac:dyDescent="0.25">
      <c r="J294" s="46">
        <v>97911</v>
      </c>
      <c r="K294" s="50" t="s">
        <v>576</v>
      </c>
      <c r="L294" s="32" t="s">
        <v>260</v>
      </c>
      <c r="M294" s="26" t="s">
        <v>350</v>
      </c>
      <c r="N294" t="s">
        <v>1199</v>
      </c>
      <c r="R294" s="58" t="s">
        <v>393</v>
      </c>
      <c r="S294" s="25">
        <f t="shared" si="17"/>
        <v>0</v>
      </c>
      <c r="T294" s="25">
        <f t="shared" si="19"/>
        <v>14</v>
      </c>
      <c r="V294" s="25">
        <f t="shared" si="18"/>
        <v>1</v>
      </c>
      <c r="W294" s="46">
        <v>97452</v>
      </c>
      <c r="X294" s="50" t="s">
        <v>526</v>
      </c>
    </row>
    <row r="295" spans="10:24" x14ac:dyDescent="0.25">
      <c r="J295" s="46">
        <v>97913</v>
      </c>
      <c r="K295" s="50" t="s">
        <v>577</v>
      </c>
      <c r="L295" s="32" t="s">
        <v>260</v>
      </c>
      <c r="M295" s="26" t="s">
        <v>350</v>
      </c>
      <c r="N295" t="s">
        <v>1199</v>
      </c>
      <c r="R295" s="58" t="s">
        <v>585</v>
      </c>
      <c r="S295" s="25">
        <f t="shared" si="17"/>
        <v>0</v>
      </c>
      <c r="T295" s="25">
        <f t="shared" si="19"/>
        <v>1</v>
      </c>
      <c r="V295" s="25">
        <f t="shared" si="18"/>
        <v>1</v>
      </c>
      <c r="W295" s="46">
        <v>97453</v>
      </c>
      <c r="X295" s="50" t="s">
        <v>527</v>
      </c>
    </row>
    <row r="296" spans="10:24" x14ac:dyDescent="0.25">
      <c r="J296" s="46">
        <v>97914</v>
      </c>
      <c r="K296" s="50" t="s">
        <v>259</v>
      </c>
      <c r="L296" s="32" t="s">
        <v>260</v>
      </c>
      <c r="M296" s="26" t="s">
        <v>350</v>
      </c>
      <c r="N296" t="s">
        <v>1199</v>
      </c>
      <c r="R296" s="58" t="s">
        <v>40</v>
      </c>
      <c r="S296" s="25">
        <f t="shared" si="17"/>
        <v>0</v>
      </c>
      <c r="T296" s="25">
        <f t="shared" si="19"/>
        <v>1</v>
      </c>
      <c r="V296" s="25">
        <f t="shared" si="18"/>
        <v>1</v>
      </c>
      <c r="W296" s="46">
        <v>97454</v>
      </c>
      <c r="X296" s="50" t="s">
        <v>528</v>
      </c>
    </row>
    <row r="297" spans="10:24" x14ac:dyDescent="0.25">
      <c r="J297" s="46">
        <v>97917</v>
      </c>
      <c r="K297" s="50" t="s">
        <v>578</v>
      </c>
      <c r="L297" s="32" t="s">
        <v>260</v>
      </c>
      <c r="M297" s="26" t="s">
        <v>350</v>
      </c>
      <c r="N297" t="s">
        <v>1199</v>
      </c>
      <c r="R297" s="58" t="s">
        <v>381</v>
      </c>
      <c r="S297" s="25">
        <f t="shared" si="17"/>
        <v>0</v>
      </c>
      <c r="T297" s="25">
        <f t="shared" si="19"/>
        <v>1</v>
      </c>
      <c r="V297" s="25">
        <f t="shared" si="18"/>
        <v>1</v>
      </c>
      <c r="W297" s="46">
        <v>97455</v>
      </c>
      <c r="X297" s="50" t="s">
        <v>529</v>
      </c>
    </row>
    <row r="298" spans="10:24" x14ac:dyDescent="0.25">
      <c r="J298" s="46">
        <v>97918</v>
      </c>
      <c r="K298" s="50" t="s">
        <v>579</v>
      </c>
      <c r="L298" s="32" t="s">
        <v>260</v>
      </c>
      <c r="M298" s="26" t="s">
        <v>350</v>
      </c>
      <c r="N298" t="s">
        <v>1199</v>
      </c>
      <c r="R298" s="58" t="s">
        <v>396</v>
      </c>
      <c r="S298" s="25">
        <f t="shared" si="17"/>
        <v>0</v>
      </c>
      <c r="T298" s="25">
        <f t="shared" si="19"/>
        <v>1</v>
      </c>
      <c r="V298" s="25">
        <f t="shared" si="18"/>
        <v>1</v>
      </c>
      <c r="W298" s="46">
        <v>97456</v>
      </c>
      <c r="X298" s="50" t="s">
        <v>353</v>
      </c>
    </row>
    <row r="299" spans="10:24" x14ac:dyDescent="0.25">
      <c r="J299" s="46">
        <v>97920</v>
      </c>
      <c r="K299" s="50" t="s">
        <v>580</v>
      </c>
      <c r="L299" s="32" t="s">
        <v>260</v>
      </c>
      <c r="M299" s="26" t="s">
        <v>350</v>
      </c>
      <c r="N299" t="s">
        <v>1199</v>
      </c>
      <c r="R299" s="58" t="s">
        <v>564</v>
      </c>
      <c r="S299" s="25">
        <f t="shared" si="17"/>
        <v>0</v>
      </c>
      <c r="T299" s="25">
        <f t="shared" si="19"/>
        <v>1</v>
      </c>
      <c r="V299" s="25">
        <f t="shared" si="18"/>
        <v>1</v>
      </c>
      <c r="W299" s="46">
        <v>97457</v>
      </c>
      <c r="X299" s="50" t="s">
        <v>431</v>
      </c>
    </row>
    <row r="300" spans="10:24" x14ac:dyDescent="0.25">
      <c r="J300" s="46">
        <v>97002</v>
      </c>
      <c r="K300" s="50" t="s">
        <v>581</v>
      </c>
      <c r="L300" s="32" t="s">
        <v>78</v>
      </c>
      <c r="M300" s="26" t="s">
        <v>352</v>
      </c>
      <c r="N300" t="s">
        <v>1203</v>
      </c>
      <c r="R300" s="58" t="s">
        <v>593</v>
      </c>
      <c r="S300" s="25">
        <f t="shared" si="17"/>
        <v>0</v>
      </c>
      <c r="T300" s="25">
        <f t="shared" si="19"/>
        <v>1</v>
      </c>
      <c r="V300" s="25">
        <f t="shared" si="18"/>
        <v>1</v>
      </c>
      <c r="W300" s="46">
        <v>97458</v>
      </c>
      <c r="X300" s="50" t="s">
        <v>404</v>
      </c>
    </row>
    <row r="301" spans="10:24" x14ac:dyDescent="0.25">
      <c r="J301" s="46">
        <v>97020</v>
      </c>
      <c r="K301" s="50" t="s">
        <v>582</v>
      </c>
      <c r="L301" s="32" t="s">
        <v>78</v>
      </c>
      <c r="M301" s="26" t="s">
        <v>352</v>
      </c>
      <c r="N301" t="s">
        <v>1203</v>
      </c>
      <c r="R301" s="58" t="s">
        <v>434</v>
      </c>
      <c r="S301" s="25">
        <f t="shared" si="17"/>
        <v>0</v>
      </c>
      <c r="T301" s="25">
        <f t="shared" si="19"/>
        <v>1</v>
      </c>
      <c r="V301" s="25">
        <f t="shared" si="18"/>
        <v>1</v>
      </c>
      <c r="W301" s="46">
        <v>97459</v>
      </c>
      <c r="X301" s="50" t="s">
        <v>164</v>
      </c>
    </row>
    <row r="302" spans="10:24" x14ac:dyDescent="0.25">
      <c r="J302" s="46">
        <v>97026</v>
      </c>
      <c r="K302" s="50" t="s">
        <v>583</v>
      </c>
      <c r="L302" s="32" t="s">
        <v>78</v>
      </c>
      <c r="M302" s="26" t="s">
        <v>352</v>
      </c>
      <c r="N302" t="s">
        <v>1203</v>
      </c>
      <c r="R302" s="58" t="s">
        <v>550</v>
      </c>
      <c r="S302" s="25">
        <f t="shared" si="17"/>
        <v>0</v>
      </c>
      <c r="T302" s="25">
        <f t="shared" si="19"/>
        <v>1</v>
      </c>
      <c r="V302" s="25">
        <f t="shared" si="18"/>
        <v>1</v>
      </c>
      <c r="W302" s="46">
        <v>97461</v>
      </c>
      <c r="X302" s="50" t="s">
        <v>530</v>
      </c>
    </row>
    <row r="303" spans="10:24" x14ac:dyDescent="0.25">
      <c r="J303" s="46">
        <v>97032</v>
      </c>
      <c r="K303" s="50" t="s">
        <v>584</v>
      </c>
      <c r="L303" s="32" t="s">
        <v>78</v>
      </c>
      <c r="M303" s="26" t="s">
        <v>352</v>
      </c>
      <c r="N303" t="s">
        <v>1203</v>
      </c>
      <c r="R303" s="58" t="s">
        <v>388</v>
      </c>
      <c r="S303" s="25">
        <f t="shared" si="17"/>
        <v>0</v>
      </c>
      <c r="T303" s="25">
        <f t="shared" si="19"/>
        <v>1</v>
      </c>
      <c r="V303" s="25">
        <f t="shared" si="18"/>
        <v>1</v>
      </c>
      <c r="W303" s="46">
        <v>97462</v>
      </c>
      <c r="X303" s="50" t="s">
        <v>432</v>
      </c>
    </row>
    <row r="304" spans="10:24" x14ac:dyDescent="0.25">
      <c r="J304" s="46">
        <v>97071</v>
      </c>
      <c r="K304" s="50" t="s">
        <v>110</v>
      </c>
      <c r="L304" s="32" t="s">
        <v>78</v>
      </c>
      <c r="M304" s="26" t="s">
        <v>352</v>
      </c>
      <c r="N304" t="s">
        <v>1203</v>
      </c>
      <c r="R304" s="58" t="s">
        <v>486</v>
      </c>
      <c r="S304" s="25">
        <f t="shared" si="17"/>
        <v>0</v>
      </c>
      <c r="T304" s="25">
        <f t="shared" si="19"/>
        <v>1</v>
      </c>
      <c r="V304" s="25">
        <f t="shared" si="18"/>
        <v>1</v>
      </c>
      <c r="W304" s="46">
        <v>97463</v>
      </c>
      <c r="X304" s="50" t="s">
        <v>531</v>
      </c>
    </row>
    <row r="305" spans="10:24" x14ac:dyDescent="0.25">
      <c r="J305" s="46">
        <v>97137</v>
      </c>
      <c r="K305" s="50" t="s">
        <v>585</v>
      </c>
      <c r="L305" s="32" t="s">
        <v>78</v>
      </c>
      <c r="M305" s="26" t="s">
        <v>352</v>
      </c>
      <c r="N305" t="s">
        <v>1203</v>
      </c>
      <c r="R305" s="58" t="s">
        <v>454</v>
      </c>
      <c r="S305" s="25">
        <f t="shared" si="17"/>
        <v>0</v>
      </c>
      <c r="T305" s="25">
        <f t="shared" si="19"/>
        <v>1</v>
      </c>
      <c r="V305" s="25">
        <f t="shared" si="18"/>
        <v>1</v>
      </c>
      <c r="W305" s="46">
        <v>97464</v>
      </c>
      <c r="X305" s="50" t="s">
        <v>412</v>
      </c>
    </row>
    <row r="306" spans="10:24" x14ac:dyDescent="0.25">
      <c r="J306" s="46">
        <v>97301</v>
      </c>
      <c r="K306" s="50" t="s">
        <v>40</v>
      </c>
      <c r="L306" s="32" t="s">
        <v>78</v>
      </c>
      <c r="M306" s="26" t="s">
        <v>352</v>
      </c>
      <c r="N306" t="s">
        <v>1203</v>
      </c>
      <c r="R306" s="58" t="s">
        <v>474</v>
      </c>
      <c r="S306" s="25">
        <f t="shared" si="17"/>
        <v>0</v>
      </c>
      <c r="T306" s="25">
        <f t="shared" si="19"/>
        <v>1</v>
      </c>
      <c r="V306" s="25">
        <f t="shared" si="18"/>
        <v>1</v>
      </c>
      <c r="W306" s="46">
        <v>97465</v>
      </c>
      <c r="X306" s="50" t="s">
        <v>413</v>
      </c>
    </row>
    <row r="307" spans="10:24" x14ac:dyDescent="0.25">
      <c r="J307" s="46">
        <v>97302</v>
      </c>
      <c r="K307" s="50" t="s">
        <v>40</v>
      </c>
      <c r="L307" s="32" t="s">
        <v>78</v>
      </c>
      <c r="M307" s="26" t="s">
        <v>352</v>
      </c>
      <c r="N307" t="s">
        <v>1203</v>
      </c>
      <c r="R307" s="58" t="s">
        <v>314</v>
      </c>
      <c r="S307" s="25">
        <f t="shared" si="17"/>
        <v>0</v>
      </c>
      <c r="T307" s="25">
        <f t="shared" si="19"/>
        <v>1</v>
      </c>
      <c r="V307" s="25">
        <f t="shared" si="18"/>
        <v>1</v>
      </c>
      <c r="W307" s="46">
        <v>97466</v>
      </c>
      <c r="X307" s="50" t="s">
        <v>405</v>
      </c>
    </row>
    <row r="308" spans="10:24" x14ac:dyDescent="0.25">
      <c r="J308" s="46">
        <v>97303</v>
      </c>
      <c r="K308" s="50" t="s">
        <v>40</v>
      </c>
      <c r="L308" s="32" t="s">
        <v>78</v>
      </c>
      <c r="M308" s="26" t="s">
        <v>352</v>
      </c>
      <c r="N308" t="s">
        <v>1203</v>
      </c>
      <c r="R308" s="58" t="s">
        <v>565</v>
      </c>
      <c r="S308" s="25">
        <f t="shared" si="17"/>
        <v>0</v>
      </c>
      <c r="T308" s="25">
        <f t="shared" si="19"/>
        <v>1</v>
      </c>
      <c r="V308" s="25">
        <f t="shared" si="18"/>
        <v>1</v>
      </c>
      <c r="W308" s="46">
        <v>97467</v>
      </c>
      <c r="X308" s="50" t="s">
        <v>308</v>
      </c>
    </row>
    <row r="309" spans="10:24" x14ac:dyDescent="0.25">
      <c r="J309" s="46">
        <v>97305</v>
      </c>
      <c r="K309" s="50" t="s">
        <v>40</v>
      </c>
      <c r="L309" s="32" t="s">
        <v>78</v>
      </c>
      <c r="M309" s="26" t="s">
        <v>352</v>
      </c>
      <c r="N309" t="s">
        <v>1203</v>
      </c>
      <c r="R309" s="58" t="s">
        <v>670</v>
      </c>
      <c r="S309" s="25">
        <f t="shared" si="17"/>
        <v>0</v>
      </c>
      <c r="T309" s="25">
        <f t="shared" si="19"/>
        <v>1</v>
      </c>
      <c r="V309" s="25">
        <f t="shared" si="18"/>
        <v>1</v>
      </c>
      <c r="W309" s="46">
        <v>97469</v>
      </c>
      <c r="X309" s="50" t="s">
        <v>433</v>
      </c>
    </row>
    <row r="310" spans="10:24" x14ac:dyDescent="0.25">
      <c r="J310" s="46">
        <v>97306</v>
      </c>
      <c r="K310" s="50" t="s">
        <v>40</v>
      </c>
      <c r="L310" s="32" t="s">
        <v>78</v>
      </c>
      <c r="M310" s="26" t="s">
        <v>352</v>
      </c>
      <c r="N310" t="s">
        <v>1203</v>
      </c>
      <c r="R310" s="58" t="s">
        <v>659</v>
      </c>
      <c r="S310" s="25">
        <f t="shared" si="17"/>
        <v>0</v>
      </c>
      <c r="T310" s="25">
        <f t="shared" si="19"/>
        <v>1</v>
      </c>
      <c r="U310" s="29"/>
      <c r="V310" s="25">
        <f t="shared" si="18"/>
        <v>1</v>
      </c>
      <c r="W310" s="46">
        <v>97470</v>
      </c>
      <c r="X310" s="50" t="s">
        <v>160</v>
      </c>
    </row>
    <row r="311" spans="10:24" x14ac:dyDescent="0.25">
      <c r="J311" s="46">
        <v>97307</v>
      </c>
      <c r="K311" s="50" t="s">
        <v>586</v>
      </c>
      <c r="L311" s="32" t="s">
        <v>78</v>
      </c>
      <c r="M311" s="26" t="s">
        <v>352</v>
      </c>
      <c r="N311" t="s">
        <v>1203</v>
      </c>
      <c r="R311" s="58" t="s">
        <v>551</v>
      </c>
      <c r="S311" s="25">
        <f t="shared" si="17"/>
        <v>0</v>
      </c>
      <c r="T311" s="25">
        <f t="shared" si="19"/>
        <v>1</v>
      </c>
      <c r="V311" s="25">
        <f t="shared" si="18"/>
        <v>1</v>
      </c>
      <c r="W311" s="46">
        <v>97472</v>
      </c>
      <c r="X311" s="50" t="s">
        <v>532</v>
      </c>
    </row>
    <row r="312" spans="10:24" x14ac:dyDescent="0.25">
      <c r="J312" s="46">
        <v>97308</v>
      </c>
      <c r="K312" s="50" t="s">
        <v>40</v>
      </c>
      <c r="L312" s="32" t="s">
        <v>78</v>
      </c>
      <c r="M312" s="26" t="s">
        <v>352</v>
      </c>
      <c r="N312" t="s">
        <v>1203</v>
      </c>
      <c r="R312" s="58" t="s">
        <v>509</v>
      </c>
      <c r="S312" s="25">
        <f t="shared" si="17"/>
        <v>0</v>
      </c>
      <c r="T312" s="25">
        <f t="shared" si="19"/>
        <v>1</v>
      </c>
      <c r="V312" s="25">
        <f t="shared" si="18"/>
        <v>1</v>
      </c>
      <c r="W312" s="46">
        <v>97473</v>
      </c>
      <c r="X312" s="50" t="s">
        <v>434</v>
      </c>
    </row>
    <row r="313" spans="10:24" x14ac:dyDescent="0.25">
      <c r="J313" s="46">
        <v>97309</v>
      </c>
      <c r="K313" s="50" t="s">
        <v>40</v>
      </c>
      <c r="L313" s="32" t="s">
        <v>78</v>
      </c>
      <c r="M313" s="26" t="s">
        <v>352</v>
      </c>
      <c r="N313" t="s">
        <v>1203</v>
      </c>
      <c r="R313" s="58" t="s">
        <v>594</v>
      </c>
      <c r="S313" s="25">
        <f t="shared" si="17"/>
        <v>0</v>
      </c>
      <c r="T313" s="25">
        <f t="shared" si="19"/>
        <v>1</v>
      </c>
      <c r="V313" s="25">
        <f t="shared" si="18"/>
        <v>1</v>
      </c>
      <c r="W313" s="46">
        <v>97476</v>
      </c>
      <c r="X313" s="50" t="s">
        <v>414</v>
      </c>
    </row>
    <row r="314" spans="10:24" x14ac:dyDescent="0.25">
      <c r="J314" s="46">
        <v>97310</v>
      </c>
      <c r="K314" s="50" t="s">
        <v>40</v>
      </c>
      <c r="L314" s="32" t="s">
        <v>78</v>
      </c>
      <c r="M314" s="26" t="s">
        <v>352</v>
      </c>
      <c r="N314" t="s">
        <v>1203</v>
      </c>
      <c r="R314" s="58" t="s">
        <v>418</v>
      </c>
      <c r="S314" s="25">
        <f t="shared" si="17"/>
        <v>0</v>
      </c>
      <c r="T314" s="25">
        <f t="shared" si="19"/>
        <v>1</v>
      </c>
      <c r="V314" s="25">
        <f t="shared" si="18"/>
        <v>1</v>
      </c>
      <c r="W314" s="46">
        <v>97477</v>
      </c>
      <c r="X314" s="50" t="s">
        <v>148</v>
      </c>
    </row>
    <row r="315" spans="10:24" x14ac:dyDescent="0.25">
      <c r="J315" s="46">
        <v>97311</v>
      </c>
      <c r="K315" s="50" t="s">
        <v>40</v>
      </c>
      <c r="L315" s="32" t="s">
        <v>78</v>
      </c>
      <c r="M315" s="26" t="s">
        <v>352</v>
      </c>
      <c r="N315" t="s">
        <v>1203</v>
      </c>
      <c r="R315" s="58" t="s">
        <v>414</v>
      </c>
      <c r="S315" s="25">
        <f t="shared" si="17"/>
        <v>0</v>
      </c>
      <c r="T315" s="25">
        <f t="shared" si="19"/>
        <v>1</v>
      </c>
      <c r="V315" s="25">
        <f t="shared" si="18"/>
        <v>1</v>
      </c>
      <c r="W315" s="46">
        <v>97478</v>
      </c>
      <c r="X315" s="50" t="s">
        <v>148</v>
      </c>
    </row>
    <row r="316" spans="10:24" x14ac:dyDescent="0.25">
      <c r="J316" s="46">
        <v>97312</v>
      </c>
      <c r="K316" s="50" t="s">
        <v>40</v>
      </c>
      <c r="L316" s="32" t="s">
        <v>78</v>
      </c>
      <c r="M316" s="26" t="s">
        <v>352</v>
      </c>
      <c r="N316" t="s">
        <v>1203</v>
      </c>
      <c r="R316" s="58" t="s">
        <v>545</v>
      </c>
      <c r="S316" s="25">
        <f t="shared" si="17"/>
        <v>0</v>
      </c>
      <c r="T316" s="25">
        <f t="shared" si="19"/>
        <v>1</v>
      </c>
      <c r="V316" s="25">
        <f t="shared" si="18"/>
        <v>1</v>
      </c>
      <c r="W316" s="46">
        <v>97479</v>
      </c>
      <c r="X316" s="50" t="s">
        <v>435</v>
      </c>
    </row>
    <row r="317" spans="10:24" x14ac:dyDescent="0.25">
      <c r="J317" s="46">
        <v>97313</v>
      </c>
      <c r="K317" s="50" t="s">
        <v>40</v>
      </c>
      <c r="L317" s="32" t="s">
        <v>78</v>
      </c>
      <c r="M317" s="26" t="s">
        <v>352</v>
      </c>
      <c r="N317" t="s">
        <v>1203</v>
      </c>
      <c r="R317" s="58" t="s">
        <v>501</v>
      </c>
      <c r="S317" s="25">
        <f t="shared" si="17"/>
        <v>0</v>
      </c>
      <c r="T317" s="25">
        <f t="shared" ref="T317:T333" si="20">COUNTIF($K$12:$K$499,R319)</f>
        <v>3</v>
      </c>
      <c r="V317" s="25">
        <f t="shared" si="18"/>
        <v>1</v>
      </c>
      <c r="W317" s="46">
        <v>97480</v>
      </c>
      <c r="X317" s="50" t="s">
        <v>533</v>
      </c>
    </row>
    <row r="318" spans="10:24" x14ac:dyDescent="0.25">
      <c r="J318" s="46">
        <v>97314</v>
      </c>
      <c r="K318" s="50" t="s">
        <v>40</v>
      </c>
      <c r="L318" s="32" t="s">
        <v>78</v>
      </c>
      <c r="M318" s="26" t="s">
        <v>352</v>
      </c>
      <c r="N318" t="s">
        <v>1203</v>
      </c>
      <c r="R318" s="58" t="s">
        <v>663</v>
      </c>
      <c r="S318" s="25">
        <f t="shared" si="17"/>
        <v>0</v>
      </c>
      <c r="T318" s="25">
        <f t="shared" si="20"/>
        <v>1</v>
      </c>
      <c r="V318" s="25">
        <f t="shared" si="18"/>
        <v>1</v>
      </c>
      <c r="W318" s="46">
        <v>97481</v>
      </c>
      <c r="X318" s="50" t="s">
        <v>436</v>
      </c>
    </row>
    <row r="319" spans="10:24" x14ac:dyDescent="0.25">
      <c r="J319" s="46">
        <v>97317</v>
      </c>
      <c r="K319" s="50" t="s">
        <v>40</v>
      </c>
      <c r="L319" s="32" t="s">
        <v>78</v>
      </c>
      <c r="M319" s="26" t="s">
        <v>352</v>
      </c>
      <c r="N319" t="s">
        <v>1203</v>
      </c>
      <c r="R319" s="58" t="s">
        <v>148</v>
      </c>
      <c r="S319" s="25">
        <f t="shared" si="17"/>
        <v>0</v>
      </c>
      <c r="T319" s="25">
        <f t="shared" si="20"/>
        <v>1</v>
      </c>
      <c r="V319" s="25">
        <f t="shared" si="18"/>
        <v>1</v>
      </c>
      <c r="W319" s="46">
        <v>97482</v>
      </c>
      <c r="X319" s="50" t="s">
        <v>534</v>
      </c>
    </row>
    <row r="320" spans="10:24" x14ac:dyDescent="0.25">
      <c r="J320" s="46">
        <v>97325</v>
      </c>
      <c r="K320" s="50" t="s">
        <v>587</v>
      </c>
      <c r="L320" s="32" t="s">
        <v>78</v>
      </c>
      <c r="M320" s="26" t="s">
        <v>352</v>
      </c>
      <c r="N320" t="s">
        <v>1203</v>
      </c>
      <c r="R320" s="58" t="s">
        <v>634</v>
      </c>
      <c r="S320" s="25">
        <f t="shared" si="17"/>
        <v>0</v>
      </c>
      <c r="T320" s="25">
        <f t="shared" si="20"/>
        <v>1</v>
      </c>
      <c r="V320" s="25">
        <f t="shared" si="18"/>
        <v>1</v>
      </c>
      <c r="W320" s="46">
        <v>97484</v>
      </c>
      <c r="X320" s="50" t="s">
        <v>437</v>
      </c>
    </row>
    <row r="321" spans="10:24" x14ac:dyDescent="0.25">
      <c r="J321" s="46">
        <v>97342</v>
      </c>
      <c r="K321" s="50" t="s">
        <v>588</v>
      </c>
      <c r="L321" s="32" t="s">
        <v>78</v>
      </c>
      <c r="M321" s="26" t="s">
        <v>352</v>
      </c>
      <c r="N321" t="s">
        <v>1203</v>
      </c>
      <c r="R321" s="58" t="s">
        <v>595</v>
      </c>
      <c r="S321" s="25">
        <f t="shared" si="17"/>
        <v>0</v>
      </c>
      <c r="T321" s="25">
        <f t="shared" si="20"/>
        <v>1</v>
      </c>
      <c r="V321" s="25">
        <f t="shared" si="18"/>
        <v>1</v>
      </c>
      <c r="W321" s="46">
        <v>97486</v>
      </c>
      <c r="X321" s="50" t="s">
        <v>438</v>
      </c>
    </row>
    <row r="322" spans="10:24" x14ac:dyDescent="0.25">
      <c r="J322" s="46">
        <v>97346</v>
      </c>
      <c r="K322" s="50" t="s">
        <v>589</v>
      </c>
      <c r="L322" s="32" t="s">
        <v>78</v>
      </c>
      <c r="M322" s="26" t="s">
        <v>352</v>
      </c>
      <c r="N322" t="s">
        <v>1203</v>
      </c>
      <c r="R322" s="58" t="s">
        <v>117</v>
      </c>
      <c r="S322" s="25">
        <f t="shared" si="17"/>
        <v>0</v>
      </c>
      <c r="T322" s="25">
        <f t="shared" si="20"/>
        <v>1</v>
      </c>
      <c r="V322" s="25">
        <f t="shared" si="18"/>
        <v>1</v>
      </c>
      <c r="W322" s="46">
        <v>97487</v>
      </c>
      <c r="X322" s="50" t="s">
        <v>535</v>
      </c>
    </row>
    <row r="323" spans="10:24" x14ac:dyDescent="0.25">
      <c r="J323" s="46">
        <v>97350</v>
      </c>
      <c r="K323" s="50" t="s">
        <v>590</v>
      </c>
      <c r="L323" s="32" t="s">
        <v>78</v>
      </c>
      <c r="M323" s="26" t="s">
        <v>352</v>
      </c>
      <c r="N323" t="s">
        <v>1203</v>
      </c>
      <c r="R323" s="58" t="s">
        <v>510</v>
      </c>
      <c r="S323" s="25">
        <f t="shared" si="17"/>
        <v>0</v>
      </c>
      <c r="T323" s="25">
        <f t="shared" si="20"/>
        <v>1</v>
      </c>
      <c r="V323" s="25">
        <f t="shared" si="18"/>
        <v>1</v>
      </c>
      <c r="W323" s="46">
        <v>97488</v>
      </c>
      <c r="X323" s="50" t="s">
        <v>536</v>
      </c>
    </row>
    <row r="324" spans="10:24" x14ac:dyDescent="0.25">
      <c r="J324" s="46">
        <v>97352</v>
      </c>
      <c r="K324" s="50" t="s">
        <v>213</v>
      </c>
      <c r="L324" s="32" t="s">
        <v>78</v>
      </c>
      <c r="M324" s="26" t="s">
        <v>352</v>
      </c>
      <c r="N324" t="s">
        <v>1203</v>
      </c>
      <c r="R324" s="58" t="s">
        <v>641</v>
      </c>
      <c r="S324" s="25">
        <f t="shared" ref="S324:S381" si="21">COUNTIF($L$12:$L$499,Q324)</f>
        <v>0</v>
      </c>
      <c r="T324" s="25">
        <f t="shared" si="20"/>
        <v>1</v>
      </c>
      <c r="V324" s="25">
        <f t="shared" si="18"/>
        <v>1</v>
      </c>
      <c r="W324" s="46">
        <v>97489</v>
      </c>
      <c r="X324" s="50" t="s">
        <v>537</v>
      </c>
    </row>
    <row r="325" spans="10:24" x14ac:dyDescent="0.25">
      <c r="J325" s="46">
        <v>97359</v>
      </c>
      <c r="K325" s="50" t="s">
        <v>78</v>
      </c>
      <c r="L325" s="32" t="s">
        <v>78</v>
      </c>
      <c r="M325" s="26" t="s">
        <v>352</v>
      </c>
      <c r="N325" t="s">
        <v>1203</v>
      </c>
      <c r="R325" s="58" t="s">
        <v>335</v>
      </c>
      <c r="S325" s="25">
        <f t="shared" si="21"/>
        <v>0</v>
      </c>
      <c r="T325" s="25">
        <f t="shared" si="20"/>
        <v>1</v>
      </c>
      <c r="V325" s="25">
        <f t="shared" ref="V325:V388" si="22">COUNTIF($W$5:$W$485,W325)</f>
        <v>1</v>
      </c>
      <c r="W325" s="46">
        <v>97490</v>
      </c>
      <c r="X325" s="50" t="s">
        <v>538</v>
      </c>
    </row>
    <row r="326" spans="10:24" x14ac:dyDescent="0.25">
      <c r="J326" s="46">
        <v>97362</v>
      </c>
      <c r="K326" s="50" t="s">
        <v>591</v>
      </c>
      <c r="L326" s="32" t="s">
        <v>78</v>
      </c>
      <c r="M326" s="26" t="s">
        <v>352</v>
      </c>
      <c r="N326" t="s">
        <v>1203</v>
      </c>
      <c r="R326" s="58" t="s">
        <v>435</v>
      </c>
      <c r="S326" s="25">
        <f t="shared" si="21"/>
        <v>0</v>
      </c>
      <c r="T326" s="25">
        <f t="shared" si="20"/>
        <v>1</v>
      </c>
      <c r="V326" s="25">
        <f t="shared" si="22"/>
        <v>1</v>
      </c>
      <c r="W326" s="46">
        <v>97491</v>
      </c>
      <c r="X326" s="50" t="s">
        <v>415</v>
      </c>
    </row>
    <row r="327" spans="10:24" x14ac:dyDescent="0.25">
      <c r="J327" s="46">
        <v>97373</v>
      </c>
      <c r="K327" s="50" t="s">
        <v>592</v>
      </c>
      <c r="L327" s="32" t="s">
        <v>78</v>
      </c>
      <c r="M327" s="26" t="s">
        <v>352</v>
      </c>
      <c r="N327" t="s">
        <v>1203</v>
      </c>
      <c r="R327" s="58" t="s">
        <v>566</v>
      </c>
      <c r="S327" s="25">
        <f t="shared" si="21"/>
        <v>0</v>
      </c>
      <c r="T327" s="25">
        <f t="shared" si="20"/>
        <v>1</v>
      </c>
      <c r="V327" s="25">
        <f t="shared" si="22"/>
        <v>1</v>
      </c>
      <c r="W327" s="46">
        <v>97492</v>
      </c>
      <c r="X327" s="50" t="s">
        <v>539</v>
      </c>
    </row>
    <row r="328" spans="10:24" x14ac:dyDescent="0.25">
      <c r="J328" s="46">
        <v>97375</v>
      </c>
      <c r="K328" s="50" t="s">
        <v>593</v>
      </c>
      <c r="L328" s="32" t="s">
        <v>78</v>
      </c>
      <c r="M328" s="26" t="s">
        <v>352</v>
      </c>
      <c r="N328" t="s">
        <v>1203</v>
      </c>
      <c r="R328" s="58" t="s">
        <v>533</v>
      </c>
      <c r="S328" s="25">
        <f t="shared" si="21"/>
        <v>0</v>
      </c>
      <c r="T328" s="25">
        <f t="shared" si="20"/>
        <v>1</v>
      </c>
      <c r="V328" s="25">
        <f t="shared" si="22"/>
        <v>1</v>
      </c>
      <c r="W328" s="46">
        <v>97493</v>
      </c>
      <c r="X328" s="50" t="s">
        <v>540</v>
      </c>
    </row>
    <row r="329" spans="10:24" x14ac:dyDescent="0.25">
      <c r="J329" s="46">
        <v>97381</v>
      </c>
      <c r="K329" s="50" t="s">
        <v>594</v>
      </c>
      <c r="L329" s="32" t="s">
        <v>78</v>
      </c>
      <c r="M329" s="26" t="s">
        <v>352</v>
      </c>
      <c r="N329" t="s">
        <v>1203</v>
      </c>
      <c r="R329" s="58" t="s">
        <v>475</v>
      </c>
      <c r="S329" s="25">
        <f t="shared" si="21"/>
        <v>0</v>
      </c>
      <c r="T329" s="25">
        <f t="shared" si="20"/>
        <v>1</v>
      </c>
      <c r="V329" s="25">
        <f t="shared" si="22"/>
        <v>1</v>
      </c>
      <c r="W329" s="46">
        <v>97494</v>
      </c>
      <c r="X329" s="50" t="s">
        <v>439</v>
      </c>
    </row>
    <row r="330" spans="10:24" x14ac:dyDescent="0.25">
      <c r="J330" s="46">
        <v>97383</v>
      </c>
      <c r="K330" s="50" t="s">
        <v>595</v>
      </c>
      <c r="L330" s="32" t="s">
        <v>78</v>
      </c>
      <c r="M330" s="26" t="s">
        <v>352</v>
      </c>
      <c r="N330" t="s">
        <v>1203</v>
      </c>
      <c r="R330" s="58" t="s">
        <v>567</v>
      </c>
      <c r="S330" s="25">
        <f t="shared" si="21"/>
        <v>0</v>
      </c>
      <c r="T330" s="25">
        <f t="shared" si="20"/>
        <v>1</v>
      </c>
      <c r="V330" s="25">
        <f t="shared" si="22"/>
        <v>1</v>
      </c>
      <c r="W330" s="46">
        <v>97495</v>
      </c>
      <c r="X330" s="50" t="s">
        <v>440</v>
      </c>
    </row>
    <row r="331" spans="10:24" x14ac:dyDescent="0.25">
      <c r="J331" s="46">
        <v>97384</v>
      </c>
      <c r="K331" s="50" t="s">
        <v>596</v>
      </c>
      <c r="L331" s="32" t="s">
        <v>78</v>
      </c>
      <c r="M331" s="26" t="s">
        <v>352</v>
      </c>
      <c r="N331" t="s">
        <v>1203</v>
      </c>
      <c r="R331" s="58" t="s">
        <v>436</v>
      </c>
      <c r="S331" s="25">
        <f t="shared" si="21"/>
        <v>0</v>
      </c>
      <c r="T331" s="25">
        <f t="shared" si="20"/>
        <v>1</v>
      </c>
      <c r="V331" s="25">
        <f t="shared" si="22"/>
        <v>1</v>
      </c>
      <c r="W331" s="46">
        <v>97496</v>
      </c>
      <c r="X331" s="50" t="s">
        <v>441</v>
      </c>
    </row>
    <row r="332" spans="10:24" x14ac:dyDescent="0.25">
      <c r="J332" s="46">
        <v>97385</v>
      </c>
      <c r="K332" s="50" t="s">
        <v>117</v>
      </c>
      <c r="L332" s="32" t="s">
        <v>78</v>
      </c>
      <c r="M332" s="26" t="s">
        <v>352</v>
      </c>
      <c r="N332" t="s">
        <v>1203</v>
      </c>
      <c r="R332" s="58" t="s">
        <v>480</v>
      </c>
      <c r="S332" s="25">
        <f t="shared" si="21"/>
        <v>0</v>
      </c>
      <c r="T332" s="25">
        <f t="shared" si="20"/>
        <v>1</v>
      </c>
      <c r="V332" s="25">
        <f t="shared" si="22"/>
        <v>1</v>
      </c>
      <c r="W332" s="46">
        <v>97497</v>
      </c>
      <c r="X332" s="50" t="s">
        <v>481</v>
      </c>
    </row>
    <row r="333" spans="10:24" x14ac:dyDescent="0.25">
      <c r="J333" s="46">
        <v>97392</v>
      </c>
      <c r="K333" s="50" t="s">
        <v>597</v>
      </c>
      <c r="L333" s="32" t="s">
        <v>78</v>
      </c>
      <c r="M333" s="26" t="s">
        <v>352</v>
      </c>
      <c r="N333" t="s">
        <v>1203</v>
      </c>
      <c r="R333" s="58" t="s">
        <v>188</v>
      </c>
      <c r="S333" s="25">
        <f t="shared" si="21"/>
        <v>0</v>
      </c>
      <c r="T333" s="25">
        <f t="shared" si="20"/>
        <v>1</v>
      </c>
      <c r="V333" s="25">
        <f t="shared" si="22"/>
        <v>1</v>
      </c>
      <c r="W333" s="46">
        <v>97498</v>
      </c>
      <c r="X333" s="50" t="s">
        <v>555</v>
      </c>
    </row>
    <row r="334" spans="10:24" x14ac:dyDescent="0.25">
      <c r="J334" s="46">
        <v>97818</v>
      </c>
      <c r="K334" s="50" t="s">
        <v>307</v>
      </c>
      <c r="L334" s="32" t="s">
        <v>354</v>
      </c>
      <c r="M334" s="26" t="s">
        <v>355</v>
      </c>
      <c r="N334" t="s">
        <v>1204</v>
      </c>
      <c r="R334" s="58" t="s">
        <v>534</v>
      </c>
      <c r="S334" s="25">
        <f t="shared" si="21"/>
        <v>0</v>
      </c>
      <c r="T334" s="25">
        <f t="shared" ref="T334:T381" si="23">COUNTIF($K$12:$K$499,R337)</f>
        <v>1</v>
      </c>
      <c r="V334" s="25">
        <f t="shared" si="22"/>
        <v>1</v>
      </c>
      <c r="W334" s="46">
        <v>97499</v>
      </c>
      <c r="X334" s="50" t="s">
        <v>442</v>
      </c>
    </row>
    <row r="335" spans="10:24" x14ac:dyDescent="0.25">
      <c r="J335" s="46">
        <v>97836</v>
      </c>
      <c r="K335" s="50" t="s">
        <v>598</v>
      </c>
      <c r="L335" s="32" t="s">
        <v>354</v>
      </c>
      <c r="M335" s="26" t="s">
        <v>355</v>
      </c>
      <c r="N335" t="s">
        <v>1204</v>
      </c>
      <c r="R335" s="58" t="s">
        <v>553</v>
      </c>
      <c r="S335" s="25">
        <f t="shared" si="21"/>
        <v>0</v>
      </c>
      <c r="T335" s="25">
        <f t="shared" si="23"/>
        <v>1</v>
      </c>
      <c r="V335" s="25">
        <f t="shared" si="22"/>
        <v>1</v>
      </c>
      <c r="W335" s="46">
        <v>97501</v>
      </c>
      <c r="X335" s="50" t="s">
        <v>171</v>
      </c>
    </row>
    <row r="336" spans="10:24" x14ac:dyDescent="0.25">
      <c r="J336" s="46">
        <v>97839</v>
      </c>
      <c r="K336" s="50" t="s">
        <v>599</v>
      </c>
      <c r="L336" s="32" t="s">
        <v>354</v>
      </c>
      <c r="M336" s="26" t="s">
        <v>355</v>
      </c>
      <c r="N336" t="s">
        <v>1204</v>
      </c>
      <c r="R336" s="58" t="s">
        <v>279</v>
      </c>
      <c r="S336" s="25">
        <f t="shared" si="21"/>
        <v>0</v>
      </c>
      <c r="T336" s="25">
        <f t="shared" si="23"/>
        <v>1</v>
      </c>
      <c r="V336" s="25">
        <f t="shared" si="22"/>
        <v>1</v>
      </c>
      <c r="W336" s="46">
        <v>97502</v>
      </c>
      <c r="X336" s="50" t="s">
        <v>466</v>
      </c>
    </row>
    <row r="337" spans="10:24" x14ac:dyDescent="0.25">
      <c r="J337" s="46">
        <v>97843</v>
      </c>
      <c r="K337" s="50" t="s">
        <v>600</v>
      </c>
      <c r="L337" s="32" t="s">
        <v>354</v>
      </c>
      <c r="M337" s="26" t="s">
        <v>355</v>
      </c>
      <c r="N337" t="s">
        <v>1204</v>
      </c>
      <c r="R337" s="58" t="s">
        <v>93</v>
      </c>
      <c r="S337" s="25">
        <f t="shared" si="21"/>
        <v>0</v>
      </c>
      <c r="T337" s="25">
        <f t="shared" si="23"/>
        <v>1</v>
      </c>
      <c r="V337" s="25">
        <f t="shared" si="22"/>
        <v>1</v>
      </c>
      <c r="W337" s="46">
        <v>97503</v>
      </c>
      <c r="X337" s="50" t="s">
        <v>176</v>
      </c>
    </row>
    <row r="338" spans="10:24" x14ac:dyDescent="0.25">
      <c r="J338" s="46">
        <v>97844</v>
      </c>
      <c r="K338" s="50" t="s">
        <v>601</v>
      </c>
      <c r="L338" s="32" t="s">
        <v>354</v>
      </c>
      <c r="M338" s="26" t="s">
        <v>355</v>
      </c>
      <c r="N338" t="s">
        <v>1204</v>
      </c>
      <c r="R338" s="58" t="s">
        <v>437</v>
      </c>
      <c r="S338" s="25">
        <f t="shared" si="21"/>
        <v>0</v>
      </c>
      <c r="T338" s="25">
        <f t="shared" si="23"/>
        <v>1</v>
      </c>
      <c r="V338" s="25">
        <f t="shared" si="22"/>
        <v>1</v>
      </c>
      <c r="W338" s="46">
        <v>97504</v>
      </c>
      <c r="X338" s="50" t="s">
        <v>171</v>
      </c>
    </row>
    <row r="339" spans="10:24" x14ac:dyDescent="0.25">
      <c r="J339" s="46">
        <v>97010</v>
      </c>
      <c r="K339" s="50" t="s">
        <v>602</v>
      </c>
      <c r="L339" s="32" t="s">
        <v>98</v>
      </c>
      <c r="M339" s="26" t="s">
        <v>357</v>
      </c>
      <c r="N339" t="s">
        <v>1205</v>
      </c>
      <c r="R339" s="58" t="s">
        <v>660</v>
      </c>
      <c r="S339" s="25">
        <f t="shared" si="21"/>
        <v>0</v>
      </c>
      <c r="T339" s="25">
        <f t="shared" si="23"/>
        <v>1</v>
      </c>
      <c r="V339" s="25">
        <f t="shared" si="22"/>
        <v>1</v>
      </c>
      <c r="W339" s="46">
        <v>97520</v>
      </c>
      <c r="X339" s="50" t="s">
        <v>174</v>
      </c>
    </row>
    <row r="340" spans="10:24" x14ac:dyDescent="0.25">
      <c r="J340" s="46">
        <v>97019</v>
      </c>
      <c r="K340" s="50" t="s">
        <v>603</v>
      </c>
      <c r="L340" s="32" t="s">
        <v>98</v>
      </c>
      <c r="M340" s="26" t="s">
        <v>357</v>
      </c>
      <c r="N340" t="s">
        <v>1205</v>
      </c>
      <c r="R340" s="58" t="s">
        <v>137</v>
      </c>
      <c r="S340" s="25">
        <f t="shared" si="21"/>
        <v>0</v>
      </c>
      <c r="T340" s="25">
        <f t="shared" si="23"/>
        <v>1</v>
      </c>
      <c r="U340" s="29"/>
      <c r="V340" s="25">
        <f t="shared" si="22"/>
        <v>1</v>
      </c>
      <c r="W340" s="46">
        <v>97522</v>
      </c>
      <c r="X340" s="50" t="s">
        <v>467</v>
      </c>
    </row>
    <row r="341" spans="10:24" x14ac:dyDescent="0.25">
      <c r="J341" s="46">
        <v>97024</v>
      </c>
      <c r="K341" s="50" t="s">
        <v>604</v>
      </c>
      <c r="L341" s="32" t="s">
        <v>98</v>
      </c>
      <c r="M341" s="26" t="s">
        <v>357</v>
      </c>
      <c r="N341" t="s">
        <v>1205</v>
      </c>
      <c r="R341" s="58" t="s">
        <v>389</v>
      </c>
      <c r="S341" s="25">
        <f t="shared" si="21"/>
        <v>0</v>
      </c>
      <c r="T341" s="25">
        <f t="shared" si="23"/>
        <v>1</v>
      </c>
      <c r="V341" s="25">
        <f t="shared" si="22"/>
        <v>1</v>
      </c>
      <c r="W341" s="46">
        <v>97523</v>
      </c>
      <c r="X341" s="50" t="s">
        <v>185</v>
      </c>
    </row>
    <row r="342" spans="10:24" x14ac:dyDescent="0.25">
      <c r="J342" s="46">
        <v>97030</v>
      </c>
      <c r="K342" s="50" t="s">
        <v>306</v>
      </c>
      <c r="L342" s="32" t="s">
        <v>98</v>
      </c>
      <c r="M342" s="26" t="s">
        <v>357</v>
      </c>
      <c r="N342" t="s">
        <v>1205</v>
      </c>
      <c r="R342" s="58" t="s">
        <v>476</v>
      </c>
      <c r="S342" s="25">
        <f t="shared" si="21"/>
        <v>0</v>
      </c>
      <c r="T342" s="25">
        <f t="shared" si="23"/>
        <v>1</v>
      </c>
      <c r="V342" s="25">
        <f t="shared" si="22"/>
        <v>1</v>
      </c>
      <c r="W342" s="46">
        <v>97524</v>
      </c>
      <c r="X342" s="50" t="s">
        <v>468</v>
      </c>
    </row>
    <row r="343" spans="10:24" x14ac:dyDescent="0.25">
      <c r="J343" s="46">
        <v>97060</v>
      </c>
      <c r="K343" s="50" t="s">
        <v>605</v>
      </c>
      <c r="L343" s="32" t="s">
        <v>98</v>
      </c>
      <c r="M343" s="26" t="s">
        <v>357</v>
      </c>
      <c r="N343" t="s">
        <v>1205</v>
      </c>
      <c r="R343" s="58" t="s">
        <v>605</v>
      </c>
      <c r="S343" s="25">
        <f t="shared" si="21"/>
        <v>0</v>
      </c>
      <c r="T343" s="25">
        <f t="shared" si="23"/>
        <v>1</v>
      </c>
      <c r="V343" s="25">
        <f t="shared" si="22"/>
        <v>1</v>
      </c>
      <c r="W343" s="46">
        <v>97525</v>
      </c>
      <c r="X343" s="50" t="s">
        <v>469</v>
      </c>
    </row>
    <row r="344" spans="10:24" x14ac:dyDescent="0.25">
      <c r="J344" s="46">
        <v>97080</v>
      </c>
      <c r="K344" s="50" t="s">
        <v>306</v>
      </c>
      <c r="L344" s="32" t="s">
        <v>98</v>
      </c>
      <c r="M344" s="26" t="s">
        <v>357</v>
      </c>
      <c r="N344" t="s">
        <v>1205</v>
      </c>
      <c r="R344" s="58" t="s">
        <v>650</v>
      </c>
      <c r="S344" s="25">
        <f t="shared" si="21"/>
        <v>0</v>
      </c>
      <c r="T344" s="25">
        <f t="shared" si="23"/>
        <v>1</v>
      </c>
      <c r="V344" s="25">
        <f t="shared" si="22"/>
        <v>1</v>
      </c>
      <c r="W344" s="46">
        <v>97526</v>
      </c>
      <c r="X344" s="50" t="s">
        <v>181</v>
      </c>
    </row>
    <row r="345" spans="10:24" x14ac:dyDescent="0.25">
      <c r="J345" s="46">
        <v>97201</v>
      </c>
      <c r="K345" s="50" t="s">
        <v>97</v>
      </c>
      <c r="L345" s="32" t="s">
        <v>98</v>
      </c>
      <c r="M345" s="26" t="s">
        <v>357</v>
      </c>
      <c r="N345" t="s">
        <v>1205</v>
      </c>
      <c r="R345" s="58" t="s">
        <v>597</v>
      </c>
      <c r="S345" s="25">
        <f t="shared" si="21"/>
        <v>0</v>
      </c>
      <c r="T345" s="25">
        <f t="shared" si="23"/>
        <v>1</v>
      </c>
      <c r="V345" s="25">
        <f t="shared" si="22"/>
        <v>1</v>
      </c>
      <c r="W345" s="46">
        <v>97527</v>
      </c>
      <c r="X345" s="50" t="s">
        <v>181</v>
      </c>
    </row>
    <row r="346" spans="10:24" x14ac:dyDescent="0.25">
      <c r="J346" s="46">
        <v>97202</v>
      </c>
      <c r="K346" s="50" t="s">
        <v>97</v>
      </c>
      <c r="L346" s="32" t="s">
        <v>98</v>
      </c>
      <c r="M346" s="26" t="s">
        <v>357</v>
      </c>
      <c r="N346" t="s">
        <v>1205</v>
      </c>
      <c r="R346" s="58" t="s">
        <v>649</v>
      </c>
      <c r="S346" s="25">
        <f t="shared" si="21"/>
        <v>0</v>
      </c>
      <c r="T346" s="25">
        <f t="shared" si="23"/>
        <v>1</v>
      </c>
      <c r="V346" s="25">
        <f t="shared" si="22"/>
        <v>1</v>
      </c>
      <c r="W346" s="46">
        <v>97528</v>
      </c>
      <c r="X346" s="50" t="s">
        <v>181</v>
      </c>
    </row>
    <row r="347" spans="10:24" x14ac:dyDescent="0.25">
      <c r="J347" s="46">
        <v>97203</v>
      </c>
      <c r="K347" s="50" t="s">
        <v>97</v>
      </c>
      <c r="L347" s="32" t="s">
        <v>98</v>
      </c>
      <c r="M347" s="26" t="s">
        <v>357</v>
      </c>
      <c r="N347" t="s">
        <v>1205</v>
      </c>
      <c r="R347" s="58" t="s">
        <v>635</v>
      </c>
      <c r="S347" s="25">
        <f t="shared" si="21"/>
        <v>0</v>
      </c>
      <c r="T347" s="25">
        <f t="shared" si="23"/>
        <v>1</v>
      </c>
      <c r="V347" s="25">
        <f t="shared" si="22"/>
        <v>1</v>
      </c>
      <c r="W347" s="46">
        <v>97530</v>
      </c>
      <c r="X347" s="50" t="s">
        <v>470</v>
      </c>
    </row>
    <row r="348" spans="10:24" x14ac:dyDescent="0.25">
      <c r="J348" s="46">
        <v>97204</v>
      </c>
      <c r="K348" s="50" t="s">
        <v>97</v>
      </c>
      <c r="L348" s="32" t="s">
        <v>98</v>
      </c>
      <c r="M348" s="26" t="s">
        <v>357</v>
      </c>
      <c r="N348" t="s">
        <v>1205</v>
      </c>
      <c r="R348" s="58" t="s">
        <v>224</v>
      </c>
      <c r="S348" s="25">
        <f t="shared" si="21"/>
        <v>0</v>
      </c>
      <c r="T348" s="25">
        <f t="shared" si="23"/>
        <v>1</v>
      </c>
      <c r="V348" s="25">
        <f t="shared" si="22"/>
        <v>1</v>
      </c>
      <c r="W348" s="46">
        <v>97531</v>
      </c>
      <c r="X348" s="50" t="s">
        <v>482</v>
      </c>
    </row>
    <row r="349" spans="10:24" x14ac:dyDescent="0.25">
      <c r="J349" s="46">
        <v>97205</v>
      </c>
      <c r="K349" s="50" t="s">
        <v>97</v>
      </c>
      <c r="L349" s="32" t="s">
        <v>98</v>
      </c>
      <c r="M349" s="26" t="s">
        <v>357</v>
      </c>
      <c r="N349" t="s">
        <v>1205</v>
      </c>
      <c r="R349" s="58" t="s">
        <v>438</v>
      </c>
      <c r="S349" s="25">
        <f t="shared" si="21"/>
        <v>0</v>
      </c>
      <c r="T349" s="25">
        <f t="shared" si="23"/>
        <v>1</v>
      </c>
      <c r="V349" s="25">
        <f t="shared" si="22"/>
        <v>1</v>
      </c>
      <c r="W349" s="46">
        <v>97532</v>
      </c>
      <c r="X349" s="50" t="s">
        <v>483</v>
      </c>
    </row>
    <row r="350" spans="10:24" x14ac:dyDescent="0.25">
      <c r="J350" s="46">
        <v>97206</v>
      </c>
      <c r="K350" s="50" t="s">
        <v>97</v>
      </c>
      <c r="L350" s="32" t="s">
        <v>98</v>
      </c>
      <c r="M350" s="26" t="s">
        <v>357</v>
      </c>
      <c r="N350" t="s">
        <v>1205</v>
      </c>
      <c r="R350" s="58" t="s">
        <v>239</v>
      </c>
      <c r="S350" s="25">
        <f t="shared" si="21"/>
        <v>0</v>
      </c>
      <c r="T350" s="25">
        <f t="shared" si="23"/>
        <v>1</v>
      </c>
      <c r="V350" s="25">
        <f t="shared" si="22"/>
        <v>1</v>
      </c>
      <c r="W350" s="46">
        <v>97533</v>
      </c>
      <c r="X350" s="50" t="s">
        <v>484</v>
      </c>
    </row>
    <row r="351" spans="10:24" x14ac:dyDescent="0.25">
      <c r="J351" s="46">
        <v>97207</v>
      </c>
      <c r="K351" s="50" t="s">
        <v>97</v>
      </c>
      <c r="L351" s="32" t="s">
        <v>98</v>
      </c>
      <c r="M351" s="26" t="s">
        <v>357</v>
      </c>
      <c r="N351" t="s">
        <v>1205</v>
      </c>
      <c r="R351" s="58" t="s">
        <v>337</v>
      </c>
      <c r="S351" s="25">
        <f t="shared" si="21"/>
        <v>0</v>
      </c>
      <c r="T351" s="25">
        <f t="shared" si="23"/>
        <v>1</v>
      </c>
      <c r="V351" s="25">
        <f t="shared" si="22"/>
        <v>1</v>
      </c>
      <c r="W351" s="46">
        <v>97534</v>
      </c>
      <c r="X351" s="50" t="s">
        <v>485</v>
      </c>
    </row>
    <row r="352" spans="10:24" x14ac:dyDescent="0.25">
      <c r="J352" s="46">
        <v>97208</v>
      </c>
      <c r="K352" s="50" t="s">
        <v>97</v>
      </c>
      <c r="L352" s="32" t="s">
        <v>98</v>
      </c>
      <c r="M352" s="26" t="s">
        <v>357</v>
      </c>
      <c r="N352" t="s">
        <v>1205</v>
      </c>
      <c r="R352" s="58" t="s">
        <v>579</v>
      </c>
      <c r="S352" s="25">
        <f t="shared" si="21"/>
        <v>0</v>
      </c>
      <c r="T352" s="25">
        <f t="shared" si="23"/>
        <v>1</v>
      </c>
      <c r="V352" s="25">
        <f t="shared" si="22"/>
        <v>1</v>
      </c>
      <c r="W352" s="46">
        <v>97535</v>
      </c>
      <c r="X352" s="50" t="s">
        <v>471</v>
      </c>
    </row>
    <row r="353" spans="10:24" x14ac:dyDescent="0.25">
      <c r="J353" s="46">
        <v>97209</v>
      </c>
      <c r="K353" s="50" t="s">
        <v>97</v>
      </c>
      <c r="L353" s="32" t="s">
        <v>98</v>
      </c>
      <c r="M353" s="26" t="s">
        <v>357</v>
      </c>
      <c r="N353" t="s">
        <v>1205</v>
      </c>
      <c r="R353" s="58" t="s">
        <v>535</v>
      </c>
      <c r="S353" s="25">
        <f t="shared" si="21"/>
        <v>0</v>
      </c>
      <c r="T353" s="25">
        <f t="shared" si="23"/>
        <v>1</v>
      </c>
      <c r="V353" s="25">
        <f t="shared" si="22"/>
        <v>1</v>
      </c>
      <c r="W353" s="46">
        <v>97536</v>
      </c>
      <c r="X353" s="50" t="s">
        <v>472</v>
      </c>
    </row>
    <row r="354" spans="10:24" x14ac:dyDescent="0.25">
      <c r="J354" s="46">
        <v>97210</v>
      </c>
      <c r="K354" s="50" t="s">
        <v>97</v>
      </c>
      <c r="L354" s="32" t="s">
        <v>98</v>
      </c>
      <c r="M354" s="26" t="s">
        <v>357</v>
      </c>
      <c r="N354" t="s">
        <v>1205</v>
      </c>
      <c r="R354" s="58" t="s">
        <v>397</v>
      </c>
      <c r="S354" s="25">
        <f t="shared" si="21"/>
        <v>0</v>
      </c>
      <c r="T354" s="25">
        <f t="shared" si="23"/>
        <v>1</v>
      </c>
      <c r="V354" s="25">
        <f t="shared" si="22"/>
        <v>1</v>
      </c>
      <c r="W354" s="46">
        <v>97537</v>
      </c>
      <c r="X354" s="50" t="s">
        <v>473</v>
      </c>
    </row>
    <row r="355" spans="10:24" x14ac:dyDescent="0.25">
      <c r="J355" s="46">
        <v>97211</v>
      </c>
      <c r="K355" s="50" t="s">
        <v>97</v>
      </c>
      <c r="L355" s="32" t="s">
        <v>98</v>
      </c>
      <c r="M355" s="26" t="s">
        <v>357</v>
      </c>
      <c r="N355" t="s">
        <v>1205</v>
      </c>
      <c r="R355" s="58" t="s">
        <v>536</v>
      </c>
      <c r="S355" s="25">
        <f t="shared" si="21"/>
        <v>0</v>
      </c>
      <c r="T355" s="25">
        <f t="shared" si="23"/>
        <v>1</v>
      </c>
      <c r="V355" s="25">
        <f t="shared" si="22"/>
        <v>1</v>
      </c>
      <c r="W355" s="46">
        <v>97538</v>
      </c>
      <c r="X355" s="50" t="s">
        <v>486</v>
      </c>
    </row>
    <row r="356" spans="10:24" x14ac:dyDescent="0.25">
      <c r="J356" s="46">
        <v>97212</v>
      </c>
      <c r="K356" s="50" t="s">
        <v>97</v>
      </c>
      <c r="L356" s="32" t="s">
        <v>98</v>
      </c>
      <c r="M356" s="26" t="s">
        <v>357</v>
      </c>
      <c r="N356" t="s">
        <v>1205</v>
      </c>
      <c r="R356" s="58" t="s">
        <v>554</v>
      </c>
      <c r="S356" s="25">
        <f t="shared" si="21"/>
        <v>0</v>
      </c>
      <c r="T356" s="25">
        <f t="shared" si="23"/>
        <v>1</v>
      </c>
      <c r="V356" s="25">
        <f t="shared" si="22"/>
        <v>1</v>
      </c>
      <c r="W356" s="46">
        <v>97539</v>
      </c>
      <c r="X356" s="50" t="s">
        <v>474</v>
      </c>
    </row>
    <row r="357" spans="10:24" x14ac:dyDescent="0.25">
      <c r="J357" s="46">
        <v>97213</v>
      </c>
      <c r="K357" s="50" t="s">
        <v>97</v>
      </c>
      <c r="L357" s="32" t="s">
        <v>98</v>
      </c>
      <c r="M357" s="26" t="s">
        <v>357</v>
      </c>
      <c r="N357" t="s">
        <v>1205</v>
      </c>
      <c r="R357" s="58" t="s">
        <v>243</v>
      </c>
      <c r="S357" s="25">
        <f t="shared" si="21"/>
        <v>0</v>
      </c>
      <c r="T357" s="25">
        <f t="shared" si="23"/>
        <v>1</v>
      </c>
      <c r="V357" s="25">
        <f t="shared" si="22"/>
        <v>1</v>
      </c>
      <c r="W357" s="46">
        <v>97540</v>
      </c>
      <c r="X357" s="50" t="s">
        <v>475</v>
      </c>
    </row>
    <row r="358" spans="10:24" x14ac:dyDescent="0.25">
      <c r="J358" s="46">
        <v>97214</v>
      </c>
      <c r="K358" s="50" t="s">
        <v>97</v>
      </c>
      <c r="L358" s="32" t="s">
        <v>98</v>
      </c>
      <c r="M358" s="26" t="s">
        <v>357</v>
      </c>
      <c r="N358" t="s">
        <v>1205</v>
      </c>
      <c r="R358" s="58" t="s">
        <v>537</v>
      </c>
      <c r="S358" s="25">
        <f t="shared" si="21"/>
        <v>0</v>
      </c>
      <c r="T358" s="25">
        <f t="shared" si="23"/>
        <v>1</v>
      </c>
      <c r="V358" s="25">
        <f t="shared" si="22"/>
        <v>1</v>
      </c>
      <c r="W358" s="46">
        <v>97541</v>
      </c>
      <c r="X358" s="50" t="s">
        <v>476</v>
      </c>
    </row>
    <row r="359" spans="10:24" x14ac:dyDescent="0.25">
      <c r="J359" s="46">
        <v>97215</v>
      </c>
      <c r="K359" s="50" t="s">
        <v>97</v>
      </c>
      <c r="L359" s="32" t="s">
        <v>98</v>
      </c>
      <c r="M359" s="26" t="s">
        <v>357</v>
      </c>
      <c r="N359" t="s">
        <v>1205</v>
      </c>
      <c r="R359" s="58" t="s">
        <v>538</v>
      </c>
      <c r="S359" s="25">
        <f t="shared" si="21"/>
        <v>0</v>
      </c>
      <c r="T359" s="25">
        <f t="shared" si="23"/>
        <v>1</v>
      </c>
      <c r="V359" s="25">
        <f t="shared" si="22"/>
        <v>1</v>
      </c>
      <c r="W359" s="46">
        <v>97543</v>
      </c>
      <c r="X359" s="50" t="s">
        <v>487</v>
      </c>
    </row>
    <row r="360" spans="10:24" x14ac:dyDescent="0.25">
      <c r="J360" s="46">
        <v>97216</v>
      </c>
      <c r="K360" s="50" t="s">
        <v>97</v>
      </c>
      <c r="L360" s="32" t="s">
        <v>98</v>
      </c>
      <c r="M360" s="26" t="s">
        <v>357</v>
      </c>
      <c r="N360" t="s">
        <v>1205</v>
      </c>
      <c r="R360" s="58" t="s">
        <v>214</v>
      </c>
      <c r="S360" s="25">
        <f t="shared" si="21"/>
        <v>0</v>
      </c>
      <c r="T360" s="25">
        <f t="shared" si="23"/>
        <v>1</v>
      </c>
      <c r="V360" s="25">
        <f t="shared" si="22"/>
        <v>1</v>
      </c>
      <c r="W360" s="46">
        <v>97544</v>
      </c>
      <c r="X360" s="50" t="s">
        <v>488</v>
      </c>
    </row>
    <row r="361" spans="10:24" x14ac:dyDescent="0.25">
      <c r="J361" s="46">
        <v>97217</v>
      </c>
      <c r="K361" s="50" t="s">
        <v>97</v>
      </c>
      <c r="L361" s="32" t="s">
        <v>98</v>
      </c>
      <c r="M361" s="26" t="s">
        <v>357</v>
      </c>
      <c r="N361" t="s">
        <v>1205</v>
      </c>
      <c r="R361" s="58" t="s">
        <v>394</v>
      </c>
      <c r="S361" s="25">
        <f t="shared" si="21"/>
        <v>0</v>
      </c>
      <c r="T361" s="25">
        <f t="shared" si="23"/>
        <v>1</v>
      </c>
      <c r="V361" s="25">
        <f t="shared" si="22"/>
        <v>1</v>
      </c>
      <c r="W361" s="46">
        <v>97601</v>
      </c>
      <c r="X361" s="50" t="s">
        <v>217</v>
      </c>
    </row>
    <row r="362" spans="10:24" x14ac:dyDescent="0.25">
      <c r="J362" s="46">
        <v>97218</v>
      </c>
      <c r="K362" s="50" t="s">
        <v>97</v>
      </c>
      <c r="L362" s="32" t="s">
        <v>98</v>
      </c>
      <c r="M362" s="26" t="s">
        <v>357</v>
      </c>
      <c r="N362" t="s">
        <v>1205</v>
      </c>
      <c r="R362" s="58" t="s">
        <v>82</v>
      </c>
      <c r="S362" s="25">
        <f t="shared" si="21"/>
        <v>0</v>
      </c>
      <c r="T362" s="25">
        <f t="shared" si="23"/>
        <v>1</v>
      </c>
      <c r="V362" s="25">
        <f t="shared" si="22"/>
        <v>1</v>
      </c>
      <c r="W362" s="46">
        <v>97602</v>
      </c>
      <c r="X362" s="50" t="s">
        <v>217</v>
      </c>
    </row>
    <row r="363" spans="10:24" x14ac:dyDescent="0.25">
      <c r="J363" s="46">
        <v>97219</v>
      </c>
      <c r="K363" s="50" t="s">
        <v>97</v>
      </c>
      <c r="L363" s="32" t="s">
        <v>98</v>
      </c>
      <c r="M363" s="26" t="s">
        <v>357</v>
      </c>
      <c r="N363" t="s">
        <v>1205</v>
      </c>
      <c r="R363" s="58" t="s">
        <v>189</v>
      </c>
      <c r="S363" s="25">
        <f t="shared" si="21"/>
        <v>0</v>
      </c>
      <c r="T363" s="25">
        <f t="shared" si="23"/>
        <v>1</v>
      </c>
      <c r="V363" s="25">
        <f t="shared" si="22"/>
        <v>1</v>
      </c>
      <c r="W363" s="46">
        <v>97603</v>
      </c>
      <c r="X363" s="50" t="s">
        <v>217</v>
      </c>
    </row>
    <row r="364" spans="10:24" x14ac:dyDescent="0.25">
      <c r="J364" s="46">
        <v>97220</v>
      </c>
      <c r="K364" s="50" t="s">
        <v>97</v>
      </c>
      <c r="L364" s="32" t="s">
        <v>98</v>
      </c>
      <c r="M364" s="26" t="s">
        <v>357</v>
      </c>
      <c r="N364" t="s">
        <v>1205</v>
      </c>
      <c r="R364" s="58" t="s">
        <v>415</v>
      </c>
      <c r="S364" s="25">
        <f t="shared" si="21"/>
        <v>0</v>
      </c>
      <c r="T364" s="25">
        <f t="shared" si="23"/>
        <v>1</v>
      </c>
      <c r="V364" s="25">
        <f t="shared" si="22"/>
        <v>1</v>
      </c>
      <c r="W364" s="46">
        <v>97604</v>
      </c>
      <c r="X364" s="50" t="s">
        <v>490</v>
      </c>
    </row>
    <row r="365" spans="10:24" x14ac:dyDescent="0.25">
      <c r="J365" s="46">
        <v>97221</v>
      </c>
      <c r="K365" s="50" t="s">
        <v>97</v>
      </c>
      <c r="L365" s="32" t="s">
        <v>98</v>
      </c>
      <c r="M365" s="26" t="s">
        <v>357</v>
      </c>
      <c r="N365" t="s">
        <v>1205</v>
      </c>
      <c r="R365" s="58" t="s">
        <v>382</v>
      </c>
      <c r="S365" s="25">
        <f t="shared" si="21"/>
        <v>0</v>
      </c>
      <c r="T365" s="25">
        <f t="shared" si="23"/>
        <v>1</v>
      </c>
      <c r="V365" s="25">
        <f t="shared" si="22"/>
        <v>1</v>
      </c>
      <c r="W365" s="46">
        <v>97620</v>
      </c>
      <c r="X365" s="50" t="s">
        <v>505</v>
      </c>
    </row>
    <row r="366" spans="10:24" x14ac:dyDescent="0.25">
      <c r="J366" s="46">
        <v>97227</v>
      </c>
      <c r="K366" s="50" t="s">
        <v>97</v>
      </c>
      <c r="L366" s="32" t="s">
        <v>98</v>
      </c>
      <c r="M366" s="26" t="s">
        <v>357</v>
      </c>
      <c r="N366" t="s">
        <v>1205</v>
      </c>
      <c r="R366" s="58" t="s">
        <v>383</v>
      </c>
      <c r="S366" s="25">
        <f t="shared" si="21"/>
        <v>0</v>
      </c>
      <c r="T366" s="25">
        <f t="shared" si="23"/>
        <v>1</v>
      </c>
      <c r="V366" s="25">
        <f t="shared" si="22"/>
        <v>1</v>
      </c>
      <c r="W366" s="46">
        <v>97621</v>
      </c>
      <c r="X366" s="50" t="s">
        <v>491</v>
      </c>
    </row>
    <row r="367" spans="10:24" x14ac:dyDescent="0.25">
      <c r="J367" s="46">
        <v>97228</v>
      </c>
      <c r="K367" s="50" t="s">
        <v>97</v>
      </c>
      <c r="L367" s="32" t="s">
        <v>98</v>
      </c>
      <c r="M367" s="26" t="s">
        <v>357</v>
      </c>
      <c r="N367" t="s">
        <v>1205</v>
      </c>
      <c r="R367" s="58" t="s">
        <v>580</v>
      </c>
      <c r="S367" s="25">
        <f t="shared" si="21"/>
        <v>0</v>
      </c>
      <c r="T367" s="25">
        <f t="shared" si="23"/>
        <v>1</v>
      </c>
      <c r="V367" s="25">
        <f t="shared" si="22"/>
        <v>1</v>
      </c>
      <c r="W367" s="46">
        <v>97622</v>
      </c>
      <c r="X367" s="50" t="s">
        <v>492</v>
      </c>
    </row>
    <row r="368" spans="10:24" x14ac:dyDescent="0.25">
      <c r="J368" s="46">
        <v>97230</v>
      </c>
      <c r="K368" s="50" t="s">
        <v>97</v>
      </c>
      <c r="L368" s="32" t="s">
        <v>98</v>
      </c>
      <c r="M368" s="26" t="s">
        <v>357</v>
      </c>
      <c r="N368" t="s">
        <v>1205</v>
      </c>
      <c r="R368" s="58" t="s">
        <v>539</v>
      </c>
      <c r="S368" s="25">
        <f t="shared" si="21"/>
        <v>0</v>
      </c>
      <c r="T368" s="25">
        <f t="shared" si="23"/>
        <v>1</v>
      </c>
      <c r="V368" s="25">
        <f t="shared" si="22"/>
        <v>1</v>
      </c>
      <c r="W368" s="46">
        <v>97623</v>
      </c>
      <c r="X368" s="50" t="s">
        <v>493</v>
      </c>
    </row>
    <row r="369" spans="10:24" x14ac:dyDescent="0.25">
      <c r="J369" s="46">
        <v>97231</v>
      </c>
      <c r="K369" s="50" t="s">
        <v>97</v>
      </c>
      <c r="L369" s="32" t="s">
        <v>98</v>
      </c>
      <c r="M369" s="26" t="s">
        <v>357</v>
      </c>
      <c r="N369" t="s">
        <v>1205</v>
      </c>
      <c r="R369" s="58" t="s">
        <v>540</v>
      </c>
      <c r="S369" s="25">
        <f t="shared" si="21"/>
        <v>0</v>
      </c>
      <c r="T369" s="25">
        <f t="shared" si="23"/>
        <v>1</v>
      </c>
      <c r="V369" s="25">
        <f t="shared" si="22"/>
        <v>1</v>
      </c>
      <c r="W369" s="46">
        <v>97624</v>
      </c>
      <c r="X369" s="50" t="s">
        <v>494</v>
      </c>
    </row>
    <row r="370" spans="10:24" x14ac:dyDescent="0.25">
      <c r="J370" s="46">
        <v>97232</v>
      </c>
      <c r="K370" s="50" t="s">
        <v>97</v>
      </c>
      <c r="L370" s="32" t="s">
        <v>98</v>
      </c>
      <c r="M370" s="26" t="s">
        <v>357</v>
      </c>
      <c r="N370" t="s">
        <v>1205</v>
      </c>
      <c r="R370" s="58" t="s">
        <v>636</v>
      </c>
      <c r="S370" s="25">
        <f t="shared" si="21"/>
        <v>0</v>
      </c>
      <c r="T370" s="25">
        <f t="shared" si="23"/>
        <v>1</v>
      </c>
      <c r="U370" s="29"/>
      <c r="V370" s="25">
        <f t="shared" si="22"/>
        <v>1</v>
      </c>
      <c r="W370" s="46">
        <v>97625</v>
      </c>
      <c r="X370" s="50" t="s">
        <v>495</v>
      </c>
    </row>
    <row r="371" spans="10:24" x14ac:dyDescent="0.25">
      <c r="J371" s="46">
        <v>97233</v>
      </c>
      <c r="K371" s="50" t="s">
        <v>97</v>
      </c>
      <c r="L371" s="32" t="s">
        <v>98</v>
      </c>
      <c r="M371" s="26" t="s">
        <v>357</v>
      </c>
      <c r="N371" t="s">
        <v>1205</v>
      </c>
      <c r="R371" s="58" t="s">
        <v>373</v>
      </c>
      <c r="S371" s="25">
        <f t="shared" si="21"/>
        <v>0</v>
      </c>
      <c r="T371" s="25">
        <f t="shared" si="23"/>
        <v>1</v>
      </c>
      <c r="V371" s="25">
        <f t="shared" si="22"/>
        <v>1</v>
      </c>
      <c r="W371" s="46">
        <v>97626</v>
      </c>
      <c r="X371" s="50" t="s">
        <v>496</v>
      </c>
    </row>
    <row r="372" spans="10:24" x14ac:dyDescent="0.25">
      <c r="J372" s="46">
        <v>97236</v>
      </c>
      <c r="K372" s="50" t="s">
        <v>97</v>
      </c>
      <c r="L372" s="32" t="s">
        <v>98</v>
      </c>
      <c r="M372" s="26" t="s">
        <v>357</v>
      </c>
      <c r="N372" t="s">
        <v>1205</v>
      </c>
      <c r="R372" s="58" t="s">
        <v>176</v>
      </c>
      <c r="S372" s="25">
        <f t="shared" si="21"/>
        <v>0</v>
      </c>
      <c r="T372" s="25">
        <f t="shared" si="23"/>
        <v>1</v>
      </c>
      <c r="V372" s="25">
        <f t="shared" si="22"/>
        <v>1</v>
      </c>
      <c r="W372" s="46">
        <v>97627</v>
      </c>
      <c r="X372" s="50" t="s">
        <v>497</v>
      </c>
    </row>
    <row r="373" spans="10:24" x14ac:dyDescent="0.25">
      <c r="J373" s="46">
        <v>97238</v>
      </c>
      <c r="K373" s="50" t="s">
        <v>97</v>
      </c>
      <c r="L373" s="32" t="s">
        <v>98</v>
      </c>
      <c r="M373" s="26" t="s">
        <v>357</v>
      </c>
      <c r="N373" t="s">
        <v>1205</v>
      </c>
      <c r="R373" s="58" t="s">
        <v>439</v>
      </c>
      <c r="S373" s="25">
        <f t="shared" si="21"/>
        <v>0</v>
      </c>
      <c r="T373" s="25">
        <f t="shared" si="23"/>
        <v>1</v>
      </c>
      <c r="V373" s="25">
        <f t="shared" si="22"/>
        <v>1</v>
      </c>
      <c r="W373" s="46">
        <v>97630</v>
      </c>
      <c r="X373" s="50" t="s">
        <v>220</v>
      </c>
    </row>
    <row r="374" spans="10:24" x14ac:dyDescent="0.25">
      <c r="J374" s="46">
        <v>97240</v>
      </c>
      <c r="K374" s="50" t="s">
        <v>97</v>
      </c>
      <c r="L374" s="32" t="s">
        <v>98</v>
      </c>
      <c r="M374" s="26" t="s">
        <v>357</v>
      </c>
      <c r="N374" t="s">
        <v>1205</v>
      </c>
      <c r="R374" s="58" t="s">
        <v>487</v>
      </c>
      <c r="S374" s="25">
        <f t="shared" si="21"/>
        <v>0</v>
      </c>
      <c r="T374" s="25">
        <f t="shared" si="23"/>
        <v>1</v>
      </c>
      <c r="V374" s="25">
        <f t="shared" si="22"/>
        <v>1</v>
      </c>
      <c r="W374" s="46">
        <v>97632</v>
      </c>
      <c r="X374" s="50" t="s">
        <v>498</v>
      </c>
    </row>
    <row r="375" spans="10:24" x14ac:dyDescent="0.25">
      <c r="J375" s="46">
        <v>97242</v>
      </c>
      <c r="K375" s="50" t="s">
        <v>97</v>
      </c>
      <c r="L375" s="32" t="s">
        <v>98</v>
      </c>
      <c r="M375" s="26" t="s">
        <v>357</v>
      </c>
      <c r="N375" t="s">
        <v>1205</v>
      </c>
      <c r="R375" s="58" t="s">
        <v>671</v>
      </c>
      <c r="S375" s="25">
        <f t="shared" si="21"/>
        <v>0</v>
      </c>
      <c r="T375" s="25">
        <f t="shared" si="23"/>
        <v>1</v>
      </c>
      <c r="V375" s="25">
        <f t="shared" si="22"/>
        <v>1</v>
      </c>
      <c r="W375" s="46">
        <v>97633</v>
      </c>
      <c r="X375" s="50" t="s">
        <v>499</v>
      </c>
    </row>
    <row r="376" spans="10:24" x14ac:dyDescent="0.25">
      <c r="J376" s="46">
        <v>97250</v>
      </c>
      <c r="K376" s="50" t="s">
        <v>97</v>
      </c>
      <c r="L376" s="32" t="s">
        <v>98</v>
      </c>
      <c r="M376" s="26" t="s">
        <v>357</v>
      </c>
      <c r="N376" t="s">
        <v>1205</v>
      </c>
      <c r="R376" s="58" t="s">
        <v>488</v>
      </c>
      <c r="S376" s="25">
        <f t="shared" si="21"/>
        <v>0</v>
      </c>
      <c r="T376" s="25">
        <f t="shared" si="23"/>
        <v>1</v>
      </c>
      <c r="V376" s="25">
        <f t="shared" si="22"/>
        <v>1</v>
      </c>
      <c r="W376" s="46">
        <v>97634</v>
      </c>
      <c r="X376" s="50" t="s">
        <v>500</v>
      </c>
    </row>
    <row r="377" spans="10:24" x14ac:dyDescent="0.25">
      <c r="J377" s="46">
        <v>97251</v>
      </c>
      <c r="K377" s="50" t="s">
        <v>97</v>
      </c>
      <c r="L377" s="32" t="s">
        <v>98</v>
      </c>
      <c r="M377" s="26" t="s">
        <v>357</v>
      </c>
      <c r="N377" t="s">
        <v>1205</v>
      </c>
      <c r="R377" s="58" t="s">
        <v>384</v>
      </c>
      <c r="S377" s="25">
        <f t="shared" si="21"/>
        <v>0</v>
      </c>
      <c r="T377" s="25">
        <f t="shared" si="23"/>
        <v>1</v>
      </c>
      <c r="V377" s="25">
        <f t="shared" si="22"/>
        <v>1</v>
      </c>
      <c r="W377" s="46">
        <v>97635</v>
      </c>
      <c r="X377" s="50" t="s">
        <v>506</v>
      </c>
    </row>
    <row r="378" spans="10:24" x14ac:dyDescent="0.25">
      <c r="J378" s="46">
        <v>97252</v>
      </c>
      <c r="K378" s="50" t="s">
        <v>97</v>
      </c>
      <c r="L378" s="32" t="s">
        <v>98</v>
      </c>
      <c r="M378" s="26" t="s">
        <v>357</v>
      </c>
      <c r="N378" t="s">
        <v>1205</v>
      </c>
      <c r="R378" s="58" t="s">
        <v>440</v>
      </c>
      <c r="S378" s="25">
        <f t="shared" si="21"/>
        <v>0</v>
      </c>
      <c r="T378" s="25">
        <f t="shared" si="23"/>
        <v>1</v>
      </c>
      <c r="V378" s="25">
        <f t="shared" si="22"/>
        <v>1</v>
      </c>
      <c r="W378" s="46">
        <v>97636</v>
      </c>
      <c r="X378" s="50" t="s">
        <v>507</v>
      </c>
    </row>
    <row r="379" spans="10:24" x14ac:dyDescent="0.25">
      <c r="J379" s="46">
        <v>97253</v>
      </c>
      <c r="K379" s="50" t="s">
        <v>97</v>
      </c>
      <c r="L379" s="32" t="s">
        <v>98</v>
      </c>
      <c r="M379" s="26" t="s">
        <v>357</v>
      </c>
      <c r="N379" t="s">
        <v>1205</v>
      </c>
      <c r="R379" s="58" t="s">
        <v>441</v>
      </c>
      <c r="S379" s="25">
        <f t="shared" si="21"/>
        <v>0</v>
      </c>
      <c r="T379" s="25">
        <f t="shared" si="23"/>
        <v>1</v>
      </c>
      <c r="V379" s="25">
        <f t="shared" si="22"/>
        <v>1</v>
      </c>
      <c r="W379" s="46">
        <v>97637</v>
      </c>
      <c r="X379" s="50" t="s">
        <v>508</v>
      </c>
    </row>
    <row r="380" spans="10:24" x14ac:dyDescent="0.25">
      <c r="J380" s="46">
        <v>97254</v>
      </c>
      <c r="K380" s="50" t="s">
        <v>97</v>
      </c>
      <c r="L380" s="32" t="s">
        <v>98</v>
      </c>
      <c r="M380" s="26" t="s">
        <v>357</v>
      </c>
      <c r="N380" t="s">
        <v>1205</v>
      </c>
      <c r="R380" s="58" t="s">
        <v>481</v>
      </c>
      <c r="S380" s="25">
        <f t="shared" si="21"/>
        <v>0</v>
      </c>
      <c r="T380" s="25">
        <f t="shared" si="23"/>
        <v>1</v>
      </c>
      <c r="V380" s="25">
        <f t="shared" si="22"/>
        <v>1</v>
      </c>
      <c r="W380" s="46">
        <v>97638</v>
      </c>
      <c r="X380" s="50" t="s">
        <v>509</v>
      </c>
    </row>
    <row r="381" spans="10:24" x14ac:dyDescent="0.25">
      <c r="J381" s="46">
        <v>97255</v>
      </c>
      <c r="K381" s="50" t="s">
        <v>97</v>
      </c>
      <c r="L381" s="32" t="s">
        <v>98</v>
      </c>
      <c r="M381" s="26" t="s">
        <v>357</v>
      </c>
      <c r="N381" t="s">
        <v>1205</v>
      </c>
      <c r="R381" s="58" t="s">
        <v>110</v>
      </c>
      <c r="S381" s="25">
        <f t="shared" si="21"/>
        <v>0</v>
      </c>
      <c r="T381" s="25">
        <f t="shared" si="23"/>
        <v>1</v>
      </c>
      <c r="V381" s="25">
        <f t="shared" si="22"/>
        <v>1</v>
      </c>
      <c r="W381" s="46">
        <v>97639</v>
      </c>
      <c r="X381" s="50" t="s">
        <v>501</v>
      </c>
    </row>
    <row r="382" spans="10:24" x14ac:dyDescent="0.25">
      <c r="J382" s="46">
        <v>97256</v>
      </c>
      <c r="K382" s="50" t="s">
        <v>97</v>
      </c>
      <c r="L382" s="32" t="s">
        <v>98</v>
      </c>
      <c r="M382" s="26" t="s">
        <v>357</v>
      </c>
      <c r="N382" t="s">
        <v>1205</v>
      </c>
      <c r="R382" s="58" t="s">
        <v>555</v>
      </c>
      <c r="V382" s="25">
        <f t="shared" si="22"/>
        <v>1</v>
      </c>
      <c r="W382" s="46">
        <v>97640</v>
      </c>
      <c r="X382" s="50" t="s">
        <v>510</v>
      </c>
    </row>
    <row r="383" spans="10:24" x14ac:dyDescent="0.25">
      <c r="J383" s="46">
        <v>97258</v>
      </c>
      <c r="K383" s="50" t="s">
        <v>97</v>
      </c>
      <c r="L383" s="32" t="s">
        <v>98</v>
      </c>
      <c r="M383" s="26" t="s">
        <v>357</v>
      </c>
      <c r="N383" t="s">
        <v>1205</v>
      </c>
      <c r="R383" s="58" t="s">
        <v>127</v>
      </c>
      <c r="V383" s="25">
        <f t="shared" si="22"/>
        <v>1</v>
      </c>
      <c r="W383" s="46">
        <v>97641</v>
      </c>
      <c r="X383" s="50" t="s">
        <v>511</v>
      </c>
    </row>
    <row r="384" spans="10:24" x14ac:dyDescent="0.25">
      <c r="J384" s="46">
        <v>97259</v>
      </c>
      <c r="K384" s="50" t="s">
        <v>97</v>
      </c>
      <c r="L384" s="32" t="s">
        <v>98</v>
      </c>
      <c r="M384" s="26" t="s">
        <v>357</v>
      </c>
      <c r="N384" t="s">
        <v>1205</v>
      </c>
      <c r="R384" s="58" t="s">
        <v>442</v>
      </c>
      <c r="V384" s="25">
        <f t="shared" si="22"/>
        <v>1</v>
      </c>
      <c r="W384" s="46">
        <v>97701</v>
      </c>
      <c r="X384" s="50" t="s">
        <v>196</v>
      </c>
    </row>
    <row r="385" spans="10:24" x14ac:dyDescent="0.25">
      <c r="J385" s="46">
        <v>97266</v>
      </c>
      <c r="K385" s="50" t="s">
        <v>97</v>
      </c>
      <c r="L385" s="32" t="s">
        <v>98</v>
      </c>
      <c r="M385" s="26" t="s">
        <v>357</v>
      </c>
      <c r="N385" t="s">
        <v>1205</v>
      </c>
      <c r="V385" s="25">
        <f t="shared" si="22"/>
        <v>1</v>
      </c>
      <c r="W385" s="46">
        <v>97702</v>
      </c>
      <c r="X385" s="50" t="s">
        <v>196</v>
      </c>
    </row>
    <row r="386" spans="10:24" x14ac:dyDescent="0.25">
      <c r="J386" s="46">
        <v>97271</v>
      </c>
      <c r="K386" s="50" t="s">
        <v>97</v>
      </c>
      <c r="L386" s="32" t="s">
        <v>98</v>
      </c>
      <c r="M386" s="26" t="s">
        <v>357</v>
      </c>
      <c r="N386" t="s">
        <v>1205</v>
      </c>
      <c r="V386" s="25">
        <f t="shared" si="22"/>
        <v>1</v>
      </c>
      <c r="W386" s="46">
        <v>97707</v>
      </c>
      <c r="X386" s="50" t="s">
        <v>196</v>
      </c>
    </row>
    <row r="387" spans="10:24" x14ac:dyDescent="0.25">
      <c r="J387" s="46">
        <v>97272</v>
      </c>
      <c r="K387" s="50" t="s">
        <v>97</v>
      </c>
      <c r="L387" s="32" t="s">
        <v>98</v>
      </c>
      <c r="M387" s="26" t="s">
        <v>357</v>
      </c>
      <c r="N387" t="s">
        <v>1205</v>
      </c>
      <c r="V387" s="25">
        <f t="shared" si="22"/>
        <v>1</v>
      </c>
      <c r="W387" s="46">
        <v>97708</v>
      </c>
      <c r="X387" s="50" t="s">
        <v>196</v>
      </c>
    </row>
    <row r="388" spans="10:24" x14ac:dyDescent="0.25">
      <c r="J388" s="46">
        <v>97280</v>
      </c>
      <c r="K388" s="50" t="s">
        <v>97</v>
      </c>
      <c r="L388" s="32" t="s">
        <v>98</v>
      </c>
      <c r="M388" s="26" t="s">
        <v>357</v>
      </c>
      <c r="N388" t="s">
        <v>1205</v>
      </c>
      <c r="V388" s="25">
        <f t="shared" si="22"/>
        <v>1</v>
      </c>
      <c r="W388" s="46">
        <v>97709</v>
      </c>
      <c r="X388" s="50" t="s">
        <v>196</v>
      </c>
    </row>
    <row r="389" spans="10:24" x14ac:dyDescent="0.25">
      <c r="J389" s="46">
        <v>97282</v>
      </c>
      <c r="K389" s="50" t="s">
        <v>97</v>
      </c>
      <c r="L389" s="32" t="s">
        <v>98</v>
      </c>
      <c r="M389" s="26" t="s">
        <v>357</v>
      </c>
      <c r="N389" t="s">
        <v>1205</v>
      </c>
      <c r="V389" s="25">
        <f t="shared" ref="V389:V452" si="24">COUNTIF($W$5:$W$485,W389)</f>
        <v>1</v>
      </c>
      <c r="W389" s="46">
        <v>97710</v>
      </c>
      <c r="X389" s="50" t="s">
        <v>455</v>
      </c>
    </row>
    <row r="390" spans="10:24" x14ac:dyDescent="0.25">
      <c r="J390" s="46">
        <v>97283</v>
      </c>
      <c r="K390" s="50" t="s">
        <v>97</v>
      </c>
      <c r="L390" s="32" t="s">
        <v>98</v>
      </c>
      <c r="M390" s="26" t="s">
        <v>357</v>
      </c>
      <c r="N390" t="s">
        <v>1205</v>
      </c>
      <c r="V390" s="25">
        <f t="shared" si="24"/>
        <v>1</v>
      </c>
      <c r="W390" s="46">
        <v>97711</v>
      </c>
      <c r="X390" s="50" t="s">
        <v>477</v>
      </c>
    </row>
    <row r="391" spans="10:24" x14ac:dyDescent="0.25">
      <c r="J391" s="46">
        <v>97286</v>
      </c>
      <c r="K391" s="50" t="s">
        <v>97</v>
      </c>
      <c r="L391" s="32" t="s">
        <v>98</v>
      </c>
      <c r="M391" s="26" t="s">
        <v>357</v>
      </c>
      <c r="N391" t="s">
        <v>1205</v>
      </c>
      <c r="V391" s="25">
        <f t="shared" si="24"/>
        <v>1</v>
      </c>
      <c r="W391" s="46">
        <v>97712</v>
      </c>
      <c r="X391" s="50" t="s">
        <v>416</v>
      </c>
    </row>
    <row r="392" spans="10:24" x14ac:dyDescent="0.25">
      <c r="J392" s="46">
        <v>97290</v>
      </c>
      <c r="K392" s="50" t="s">
        <v>97</v>
      </c>
      <c r="L392" s="32" t="s">
        <v>98</v>
      </c>
      <c r="M392" s="26" t="s">
        <v>357</v>
      </c>
      <c r="N392" t="s">
        <v>1205</v>
      </c>
      <c r="V392" s="25">
        <f t="shared" si="24"/>
        <v>1</v>
      </c>
      <c r="W392" s="46">
        <v>97720</v>
      </c>
      <c r="X392" s="50" t="s">
        <v>251</v>
      </c>
    </row>
    <row r="393" spans="10:24" x14ac:dyDescent="0.25">
      <c r="J393" s="46">
        <v>97292</v>
      </c>
      <c r="K393" s="50" t="s">
        <v>97</v>
      </c>
      <c r="L393" s="32" t="s">
        <v>98</v>
      </c>
      <c r="M393" s="26" t="s">
        <v>357</v>
      </c>
      <c r="N393" t="s">
        <v>1205</v>
      </c>
      <c r="V393" s="25">
        <f t="shared" si="24"/>
        <v>1</v>
      </c>
      <c r="W393" s="46">
        <v>97721</v>
      </c>
      <c r="X393" s="50" t="s">
        <v>456</v>
      </c>
    </row>
    <row r="394" spans="10:24" x14ac:dyDescent="0.25">
      <c r="J394" s="46">
        <v>97293</v>
      </c>
      <c r="K394" s="50" t="s">
        <v>97</v>
      </c>
      <c r="L394" s="32" t="s">
        <v>98</v>
      </c>
      <c r="M394" s="26" t="s">
        <v>357</v>
      </c>
      <c r="N394" t="s">
        <v>1205</v>
      </c>
      <c r="V394" s="25">
        <f t="shared" si="24"/>
        <v>1</v>
      </c>
      <c r="W394" s="46">
        <v>97722</v>
      </c>
      <c r="X394" s="50" t="s">
        <v>457</v>
      </c>
    </row>
    <row r="395" spans="10:24" x14ac:dyDescent="0.25">
      <c r="J395" s="46">
        <v>97294</v>
      </c>
      <c r="K395" s="50" t="s">
        <v>97</v>
      </c>
      <c r="L395" s="32" t="s">
        <v>98</v>
      </c>
      <c r="M395" s="26" t="s">
        <v>357</v>
      </c>
      <c r="N395" t="s">
        <v>1205</v>
      </c>
      <c r="V395" s="25">
        <f t="shared" si="24"/>
        <v>1</v>
      </c>
      <c r="W395" s="46">
        <v>97730</v>
      </c>
      <c r="X395" s="50" t="s">
        <v>478</v>
      </c>
    </row>
    <row r="396" spans="10:24" x14ac:dyDescent="0.25">
      <c r="J396" s="46">
        <v>97296</v>
      </c>
      <c r="K396" s="50" t="s">
        <v>97</v>
      </c>
      <c r="L396" s="32" t="s">
        <v>98</v>
      </c>
      <c r="M396" s="26" t="s">
        <v>357</v>
      </c>
      <c r="N396" t="s">
        <v>1205</v>
      </c>
      <c r="V396" s="25">
        <f t="shared" si="24"/>
        <v>1</v>
      </c>
      <c r="W396" s="46">
        <v>97731</v>
      </c>
      <c r="X396" s="50" t="s">
        <v>502</v>
      </c>
    </row>
    <row r="397" spans="10:24" x14ac:dyDescent="0.25">
      <c r="J397" s="46">
        <v>97299</v>
      </c>
      <c r="K397" s="50" t="s">
        <v>97</v>
      </c>
      <c r="L397" s="32" t="s">
        <v>98</v>
      </c>
      <c r="M397" s="26" t="s">
        <v>357</v>
      </c>
      <c r="N397" t="s">
        <v>1205</v>
      </c>
      <c r="V397" s="25">
        <f t="shared" si="24"/>
        <v>1</v>
      </c>
      <c r="W397" s="46">
        <v>97732</v>
      </c>
      <c r="X397" s="50" t="s">
        <v>458</v>
      </c>
    </row>
    <row r="398" spans="10:24" x14ac:dyDescent="0.25">
      <c r="J398" s="46">
        <v>97304</v>
      </c>
      <c r="K398" s="50" t="s">
        <v>40</v>
      </c>
      <c r="L398" s="32" t="s">
        <v>123</v>
      </c>
      <c r="M398" s="26" t="s">
        <v>359</v>
      </c>
      <c r="N398" t="s">
        <v>1203</v>
      </c>
      <c r="V398" s="25">
        <f t="shared" si="24"/>
        <v>1</v>
      </c>
      <c r="W398" s="46">
        <v>97733</v>
      </c>
      <c r="X398" s="50" t="s">
        <v>503</v>
      </c>
    </row>
    <row r="399" spans="10:24" x14ac:dyDescent="0.25">
      <c r="J399" s="46">
        <v>97338</v>
      </c>
      <c r="K399" s="50" t="s">
        <v>122</v>
      </c>
      <c r="L399" s="32" t="s">
        <v>123</v>
      </c>
      <c r="M399" s="26" t="s">
        <v>359</v>
      </c>
      <c r="N399" t="s">
        <v>1203</v>
      </c>
      <c r="V399" s="25">
        <f t="shared" si="24"/>
        <v>1</v>
      </c>
      <c r="W399" s="46">
        <v>97734</v>
      </c>
      <c r="X399" s="50" t="s">
        <v>479</v>
      </c>
    </row>
    <row r="400" spans="10:24" x14ac:dyDescent="0.25">
      <c r="J400" s="46">
        <v>97344</v>
      </c>
      <c r="K400" s="50" t="s">
        <v>606</v>
      </c>
      <c r="L400" s="32" t="s">
        <v>123</v>
      </c>
      <c r="M400" s="26" t="s">
        <v>359</v>
      </c>
      <c r="N400" t="s">
        <v>1203</v>
      </c>
      <c r="S400" s="29"/>
      <c r="T400" s="29"/>
      <c r="U400" s="29"/>
      <c r="V400" s="25">
        <f t="shared" si="24"/>
        <v>1</v>
      </c>
      <c r="W400" s="46">
        <v>97735</v>
      </c>
      <c r="X400" s="50" t="s">
        <v>512</v>
      </c>
    </row>
    <row r="401" spans="10:24" x14ac:dyDescent="0.25">
      <c r="J401" s="46">
        <v>97347</v>
      </c>
      <c r="K401" s="50" t="s">
        <v>607</v>
      </c>
      <c r="L401" s="32" t="s">
        <v>123</v>
      </c>
      <c r="M401" s="26" t="s">
        <v>359</v>
      </c>
      <c r="N401" t="s">
        <v>1203</v>
      </c>
      <c r="V401" s="25">
        <f t="shared" si="24"/>
        <v>1</v>
      </c>
      <c r="W401" s="46">
        <v>97736</v>
      </c>
      <c r="X401" s="50" t="s">
        <v>459</v>
      </c>
    </row>
    <row r="402" spans="10:24" x14ac:dyDescent="0.25">
      <c r="J402" s="46">
        <v>97351</v>
      </c>
      <c r="K402" s="50" t="s">
        <v>608</v>
      </c>
      <c r="L402" s="32" t="s">
        <v>123</v>
      </c>
      <c r="M402" s="26" t="s">
        <v>359</v>
      </c>
      <c r="N402" t="s">
        <v>1203</v>
      </c>
      <c r="V402" s="25">
        <f t="shared" si="24"/>
        <v>1</v>
      </c>
      <c r="W402" s="46">
        <v>97737</v>
      </c>
      <c r="X402" s="50" t="s">
        <v>504</v>
      </c>
    </row>
    <row r="403" spans="10:24" x14ac:dyDescent="0.25">
      <c r="J403" s="46">
        <v>97361</v>
      </c>
      <c r="K403" s="50" t="s">
        <v>609</v>
      </c>
      <c r="L403" s="32" t="s">
        <v>123</v>
      </c>
      <c r="M403" s="26" t="s">
        <v>359</v>
      </c>
      <c r="N403" t="s">
        <v>1203</v>
      </c>
      <c r="R403" s="29"/>
      <c r="V403" s="25">
        <f t="shared" si="24"/>
        <v>1</v>
      </c>
      <c r="W403" s="46">
        <v>97738</v>
      </c>
      <c r="X403" s="50" t="s">
        <v>460</v>
      </c>
    </row>
    <row r="404" spans="10:24" x14ac:dyDescent="0.25">
      <c r="J404" s="46">
        <v>97371</v>
      </c>
      <c r="K404" s="50" t="s">
        <v>610</v>
      </c>
      <c r="L404" s="32" t="s">
        <v>123</v>
      </c>
      <c r="M404" s="26" t="s">
        <v>359</v>
      </c>
      <c r="N404" t="s">
        <v>1203</v>
      </c>
      <c r="V404" s="25">
        <f t="shared" si="24"/>
        <v>1</v>
      </c>
      <c r="W404" s="46">
        <v>97739</v>
      </c>
      <c r="X404" s="50" t="s">
        <v>417</v>
      </c>
    </row>
    <row r="405" spans="10:24" x14ac:dyDescent="0.25">
      <c r="J405" s="46">
        <v>97029</v>
      </c>
      <c r="K405" s="50" t="s">
        <v>611</v>
      </c>
      <c r="L405" s="32" t="s">
        <v>361</v>
      </c>
      <c r="M405" s="26" t="s">
        <v>362</v>
      </c>
      <c r="N405" t="s">
        <v>1198</v>
      </c>
      <c r="V405" s="25">
        <f t="shared" si="24"/>
        <v>1</v>
      </c>
      <c r="W405" s="46">
        <v>97741</v>
      </c>
      <c r="X405" s="50" t="s">
        <v>212</v>
      </c>
    </row>
    <row r="406" spans="10:24" x14ac:dyDescent="0.25">
      <c r="J406" s="46">
        <v>97033</v>
      </c>
      <c r="K406" s="50" t="s">
        <v>612</v>
      </c>
      <c r="L406" s="32" t="s">
        <v>361</v>
      </c>
      <c r="M406" s="26" t="s">
        <v>362</v>
      </c>
      <c r="N406" t="s">
        <v>1198</v>
      </c>
      <c r="V406" s="25">
        <f t="shared" si="24"/>
        <v>1</v>
      </c>
      <c r="W406" s="46">
        <v>97750</v>
      </c>
      <c r="X406" s="50" t="s">
        <v>661</v>
      </c>
    </row>
    <row r="407" spans="10:24" x14ac:dyDescent="0.25">
      <c r="J407" s="46">
        <v>97039</v>
      </c>
      <c r="K407" s="50" t="s">
        <v>613</v>
      </c>
      <c r="L407" s="32" t="s">
        <v>361</v>
      </c>
      <c r="M407" s="26" t="s">
        <v>362</v>
      </c>
      <c r="N407" t="s">
        <v>1198</v>
      </c>
      <c r="V407" s="25">
        <f t="shared" si="24"/>
        <v>1</v>
      </c>
      <c r="W407" s="46">
        <v>97751</v>
      </c>
      <c r="X407" s="50" t="s">
        <v>406</v>
      </c>
    </row>
    <row r="408" spans="10:24" x14ac:dyDescent="0.25">
      <c r="J408" s="46">
        <v>97050</v>
      </c>
      <c r="K408" s="50" t="s">
        <v>614</v>
      </c>
      <c r="L408" s="32" t="s">
        <v>361</v>
      </c>
      <c r="M408" s="26" t="s">
        <v>362</v>
      </c>
      <c r="N408" t="s">
        <v>1198</v>
      </c>
      <c r="V408" s="25">
        <f t="shared" si="24"/>
        <v>1</v>
      </c>
      <c r="W408" s="46">
        <v>97752</v>
      </c>
      <c r="X408" s="50" t="s">
        <v>407</v>
      </c>
    </row>
    <row r="409" spans="10:24" x14ac:dyDescent="0.25">
      <c r="J409" s="46">
        <v>97065</v>
      </c>
      <c r="K409" s="50" t="s">
        <v>189</v>
      </c>
      <c r="L409" s="32" t="s">
        <v>361</v>
      </c>
      <c r="M409" s="26" t="s">
        <v>362</v>
      </c>
      <c r="N409" t="s">
        <v>1198</v>
      </c>
      <c r="V409" s="25">
        <f t="shared" si="24"/>
        <v>1</v>
      </c>
      <c r="W409" s="46">
        <v>97753</v>
      </c>
      <c r="X409" s="50" t="s">
        <v>408</v>
      </c>
    </row>
    <row r="410" spans="10:24" x14ac:dyDescent="0.25">
      <c r="J410" s="46">
        <v>97107</v>
      </c>
      <c r="K410" s="50" t="s">
        <v>615</v>
      </c>
      <c r="L410" s="32" t="s">
        <v>93</v>
      </c>
      <c r="M410" s="26" t="s">
        <v>363</v>
      </c>
      <c r="N410" t="s">
        <v>1192</v>
      </c>
      <c r="V410" s="25">
        <f t="shared" si="24"/>
        <v>1</v>
      </c>
      <c r="W410" s="46">
        <v>97754</v>
      </c>
      <c r="X410" s="50" t="s">
        <v>207</v>
      </c>
    </row>
    <row r="411" spans="10:24" x14ac:dyDescent="0.25">
      <c r="J411" s="46">
        <v>97108</v>
      </c>
      <c r="K411" s="50" t="s">
        <v>616</v>
      </c>
      <c r="L411" s="32" t="s">
        <v>93</v>
      </c>
      <c r="M411" s="26" t="s">
        <v>363</v>
      </c>
      <c r="N411" t="s">
        <v>1192</v>
      </c>
      <c r="V411" s="25">
        <f t="shared" si="24"/>
        <v>1</v>
      </c>
      <c r="W411" s="46">
        <v>97756</v>
      </c>
      <c r="X411" s="50" t="s">
        <v>200</v>
      </c>
    </row>
    <row r="412" spans="10:24" x14ac:dyDescent="0.25">
      <c r="J412" s="46">
        <v>97112</v>
      </c>
      <c r="K412" s="50" t="s">
        <v>617</v>
      </c>
      <c r="L412" s="32" t="s">
        <v>93</v>
      </c>
      <c r="M412" s="26" t="s">
        <v>363</v>
      </c>
      <c r="N412" t="s">
        <v>1192</v>
      </c>
      <c r="V412" s="25">
        <f t="shared" si="24"/>
        <v>1</v>
      </c>
      <c r="W412" s="46">
        <v>97758</v>
      </c>
      <c r="X412" s="50" t="s">
        <v>461</v>
      </c>
    </row>
    <row r="413" spans="10:24" x14ac:dyDescent="0.25">
      <c r="J413" s="46">
        <v>97118</v>
      </c>
      <c r="K413" s="50" t="s">
        <v>618</v>
      </c>
      <c r="L413" s="32" t="s">
        <v>93</v>
      </c>
      <c r="M413" s="26" t="s">
        <v>363</v>
      </c>
      <c r="N413" t="s">
        <v>1192</v>
      </c>
      <c r="V413" s="25">
        <f t="shared" si="24"/>
        <v>1</v>
      </c>
      <c r="W413" s="46">
        <v>97759</v>
      </c>
      <c r="X413" s="50" t="s">
        <v>418</v>
      </c>
    </row>
    <row r="414" spans="10:24" x14ac:dyDescent="0.25">
      <c r="J414" s="46">
        <v>97122</v>
      </c>
      <c r="K414" s="50" t="s">
        <v>619</v>
      </c>
      <c r="L414" s="32" t="s">
        <v>93</v>
      </c>
      <c r="M414" s="26" t="s">
        <v>363</v>
      </c>
      <c r="N414" t="s">
        <v>1192</v>
      </c>
      <c r="V414" s="25">
        <f t="shared" si="24"/>
        <v>1</v>
      </c>
      <c r="W414" s="46">
        <v>97760</v>
      </c>
      <c r="X414" s="50" t="s">
        <v>480</v>
      </c>
    </row>
    <row r="415" spans="10:24" x14ac:dyDescent="0.25">
      <c r="J415" s="46">
        <v>97130</v>
      </c>
      <c r="K415" s="50" t="s">
        <v>620</v>
      </c>
      <c r="L415" s="32" t="s">
        <v>93</v>
      </c>
      <c r="M415" s="26" t="s">
        <v>363</v>
      </c>
      <c r="N415" t="s">
        <v>1192</v>
      </c>
      <c r="V415" s="25">
        <f t="shared" si="24"/>
        <v>1</v>
      </c>
      <c r="W415" s="46">
        <v>97761</v>
      </c>
      <c r="X415" s="50" t="s">
        <v>214</v>
      </c>
    </row>
    <row r="416" spans="10:24" x14ac:dyDescent="0.25">
      <c r="J416" s="46">
        <v>97131</v>
      </c>
      <c r="K416" s="50" t="s">
        <v>621</v>
      </c>
      <c r="L416" s="32" t="s">
        <v>93</v>
      </c>
      <c r="M416" s="26" t="s">
        <v>363</v>
      </c>
      <c r="N416" t="s">
        <v>1192</v>
      </c>
      <c r="V416" s="25">
        <f t="shared" si="24"/>
        <v>1</v>
      </c>
      <c r="W416" s="46">
        <v>97801</v>
      </c>
      <c r="X416" s="50" t="s">
        <v>223</v>
      </c>
    </row>
    <row r="417" spans="10:24" x14ac:dyDescent="0.25">
      <c r="J417" s="46">
        <v>97134</v>
      </c>
      <c r="K417" s="50" t="s">
        <v>622</v>
      </c>
      <c r="L417" s="32" t="s">
        <v>93</v>
      </c>
      <c r="M417" s="26" t="s">
        <v>363</v>
      </c>
      <c r="N417" t="s">
        <v>1192</v>
      </c>
      <c r="V417" s="25">
        <f t="shared" si="24"/>
        <v>1</v>
      </c>
      <c r="W417" s="46">
        <v>97810</v>
      </c>
      <c r="X417" s="50" t="s">
        <v>627</v>
      </c>
    </row>
    <row r="418" spans="10:24" x14ac:dyDescent="0.25">
      <c r="J418" s="46">
        <v>97135</v>
      </c>
      <c r="K418" s="50" t="s">
        <v>623</v>
      </c>
      <c r="L418" s="32" t="s">
        <v>93</v>
      </c>
      <c r="M418" s="26" t="s">
        <v>363</v>
      </c>
      <c r="N418" t="s">
        <v>1192</v>
      </c>
      <c r="V418" s="25">
        <f t="shared" si="24"/>
        <v>1</v>
      </c>
      <c r="W418" s="46">
        <v>97812</v>
      </c>
      <c r="X418" s="50" t="s">
        <v>443</v>
      </c>
    </row>
    <row r="419" spans="10:24" x14ac:dyDescent="0.25">
      <c r="J419" s="46">
        <v>97136</v>
      </c>
      <c r="K419" s="50" t="s">
        <v>624</v>
      </c>
      <c r="L419" s="32" t="s">
        <v>93</v>
      </c>
      <c r="M419" s="26" t="s">
        <v>363</v>
      </c>
      <c r="N419" t="s">
        <v>1192</v>
      </c>
      <c r="V419" s="25">
        <f t="shared" si="24"/>
        <v>1</v>
      </c>
      <c r="W419" s="46">
        <v>97813</v>
      </c>
      <c r="X419" s="50" t="s">
        <v>628</v>
      </c>
    </row>
    <row r="420" spans="10:24" x14ac:dyDescent="0.25">
      <c r="J420" s="46">
        <v>97141</v>
      </c>
      <c r="K420" s="50" t="s">
        <v>93</v>
      </c>
      <c r="L420" s="32" t="s">
        <v>93</v>
      </c>
      <c r="M420" s="26" t="s">
        <v>363</v>
      </c>
      <c r="N420" t="s">
        <v>1192</v>
      </c>
      <c r="V420" s="25">
        <f t="shared" si="24"/>
        <v>1</v>
      </c>
      <c r="W420" s="46">
        <v>97814</v>
      </c>
      <c r="X420" s="50" t="s">
        <v>233</v>
      </c>
    </row>
    <row r="421" spans="10:24" x14ac:dyDescent="0.25">
      <c r="J421" s="46">
        <v>97143</v>
      </c>
      <c r="K421" s="50" t="s">
        <v>625</v>
      </c>
      <c r="L421" s="32" t="s">
        <v>93</v>
      </c>
      <c r="M421" s="26" t="s">
        <v>363</v>
      </c>
      <c r="N421" t="s">
        <v>1192</v>
      </c>
      <c r="V421" s="25">
        <f t="shared" si="24"/>
        <v>1</v>
      </c>
      <c r="W421" s="46">
        <v>97817</v>
      </c>
      <c r="X421" s="50" t="s">
        <v>446</v>
      </c>
    </row>
    <row r="422" spans="10:24" x14ac:dyDescent="0.25">
      <c r="J422" s="46">
        <v>97147</v>
      </c>
      <c r="K422" s="50" t="s">
        <v>373</v>
      </c>
      <c r="L422" s="32" t="s">
        <v>93</v>
      </c>
      <c r="M422" s="26" t="s">
        <v>363</v>
      </c>
      <c r="N422" t="s">
        <v>1192</v>
      </c>
      <c r="V422" s="25">
        <f t="shared" si="24"/>
        <v>1</v>
      </c>
      <c r="W422" s="46">
        <v>97818</v>
      </c>
      <c r="X422" s="50" t="s">
        <v>307</v>
      </c>
    </row>
    <row r="423" spans="10:24" x14ac:dyDescent="0.25">
      <c r="J423" s="46">
        <v>97149</v>
      </c>
      <c r="K423" s="50" t="s">
        <v>626</v>
      </c>
      <c r="L423" s="32" t="s">
        <v>93</v>
      </c>
      <c r="M423" s="26" t="s">
        <v>363</v>
      </c>
      <c r="N423" t="s">
        <v>1192</v>
      </c>
      <c r="V423" s="25">
        <f t="shared" si="24"/>
        <v>1</v>
      </c>
      <c r="W423" s="46">
        <v>97819</v>
      </c>
      <c r="X423" s="50" t="s">
        <v>322</v>
      </c>
    </row>
    <row r="424" spans="10:24" x14ac:dyDescent="0.25">
      <c r="J424" s="46">
        <v>97801</v>
      </c>
      <c r="K424" s="50" t="s">
        <v>223</v>
      </c>
      <c r="L424" s="32" t="s">
        <v>224</v>
      </c>
      <c r="M424" s="26" t="s">
        <v>364</v>
      </c>
      <c r="N424" t="s">
        <v>1204</v>
      </c>
      <c r="V424" s="25">
        <f t="shared" si="24"/>
        <v>1</v>
      </c>
      <c r="W424" s="46">
        <v>97820</v>
      </c>
      <c r="X424" s="50" t="s">
        <v>447</v>
      </c>
    </row>
    <row r="425" spans="10:24" x14ac:dyDescent="0.25">
      <c r="J425" s="46">
        <v>97810</v>
      </c>
      <c r="K425" s="50" t="s">
        <v>627</v>
      </c>
      <c r="L425" s="32" t="s">
        <v>224</v>
      </c>
      <c r="M425" s="26" t="s">
        <v>364</v>
      </c>
      <c r="N425" t="s">
        <v>1204</v>
      </c>
      <c r="V425" s="25">
        <f t="shared" si="24"/>
        <v>1</v>
      </c>
      <c r="W425" s="46">
        <v>97823</v>
      </c>
      <c r="X425" s="50" t="s">
        <v>444</v>
      </c>
    </row>
    <row r="426" spans="10:24" x14ac:dyDescent="0.25">
      <c r="J426" s="46">
        <v>97813</v>
      </c>
      <c r="K426" s="50" t="s">
        <v>628</v>
      </c>
      <c r="L426" s="32" t="s">
        <v>224</v>
      </c>
      <c r="M426" s="26" t="s">
        <v>364</v>
      </c>
      <c r="N426" t="s">
        <v>1204</v>
      </c>
      <c r="V426" s="25">
        <f t="shared" si="24"/>
        <v>1</v>
      </c>
      <c r="W426" s="46">
        <v>97824</v>
      </c>
      <c r="X426" s="50" t="s">
        <v>637</v>
      </c>
    </row>
    <row r="427" spans="10:24" x14ac:dyDescent="0.25">
      <c r="J427" s="46">
        <v>97826</v>
      </c>
      <c r="K427" s="50" t="s">
        <v>629</v>
      </c>
      <c r="L427" s="32" t="s">
        <v>224</v>
      </c>
      <c r="M427" s="26" t="s">
        <v>364</v>
      </c>
      <c r="N427" t="s">
        <v>1204</v>
      </c>
      <c r="V427" s="25">
        <f t="shared" si="24"/>
        <v>1</v>
      </c>
      <c r="W427" s="46">
        <v>97825</v>
      </c>
      <c r="X427" s="50" t="s">
        <v>448</v>
      </c>
    </row>
    <row r="428" spans="10:24" x14ac:dyDescent="0.25">
      <c r="J428" s="46">
        <v>97835</v>
      </c>
      <c r="K428" s="50" t="s">
        <v>630</v>
      </c>
      <c r="L428" s="32" t="s">
        <v>224</v>
      </c>
      <c r="M428" s="26" t="s">
        <v>364</v>
      </c>
      <c r="N428" t="s">
        <v>1204</v>
      </c>
      <c r="V428" s="25">
        <f t="shared" si="24"/>
        <v>1</v>
      </c>
      <c r="W428" s="46">
        <v>97826</v>
      </c>
      <c r="X428" s="50" t="s">
        <v>629</v>
      </c>
    </row>
    <row r="429" spans="10:24" x14ac:dyDescent="0.25">
      <c r="J429" s="46">
        <v>97838</v>
      </c>
      <c r="K429" s="50" t="s">
        <v>227</v>
      </c>
      <c r="L429" s="32" t="s">
        <v>224</v>
      </c>
      <c r="M429" s="26" t="s">
        <v>364</v>
      </c>
      <c r="N429" t="s">
        <v>1204</v>
      </c>
      <c r="V429" s="25">
        <f t="shared" si="24"/>
        <v>1</v>
      </c>
      <c r="W429" s="46">
        <v>97827</v>
      </c>
      <c r="X429" s="50" t="s">
        <v>638</v>
      </c>
    </row>
    <row r="430" spans="10:24" x14ac:dyDescent="0.25">
      <c r="J430" s="46">
        <v>97859</v>
      </c>
      <c r="K430" s="50" t="s">
        <v>631</v>
      </c>
      <c r="L430" s="32" t="s">
        <v>224</v>
      </c>
      <c r="M430" s="26" t="s">
        <v>364</v>
      </c>
      <c r="N430" t="s">
        <v>1204</v>
      </c>
      <c r="S430" s="29"/>
      <c r="T430" s="29"/>
      <c r="U430" s="29"/>
      <c r="V430" s="25">
        <f t="shared" si="24"/>
        <v>1</v>
      </c>
      <c r="W430" s="46">
        <v>97828</v>
      </c>
      <c r="X430" s="50" t="s">
        <v>242</v>
      </c>
    </row>
    <row r="431" spans="10:24" x14ac:dyDescent="0.25">
      <c r="J431" s="46">
        <v>97862</v>
      </c>
      <c r="K431" s="50" t="s">
        <v>632</v>
      </c>
      <c r="L431" s="32" t="s">
        <v>224</v>
      </c>
      <c r="M431" s="26" t="s">
        <v>364</v>
      </c>
      <c r="N431" t="s">
        <v>1204</v>
      </c>
      <c r="V431" s="25">
        <f t="shared" si="24"/>
        <v>1</v>
      </c>
      <c r="W431" s="46">
        <v>97830</v>
      </c>
      <c r="X431" s="50" t="s">
        <v>662</v>
      </c>
    </row>
    <row r="432" spans="10:24" x14ac:dyDescent="0.25">
      <c r="J432" s="46">
        <v>97868</v>
      </c>
      <c r="K432" s="50" t="s">
        <v>633</v>
      </c>
      <c r="L432" s="32" t="s">
        <v>224</v>
      </c>
      <c r="M432" s="26" t="s">
        <v>364</v>
      </c>
      <c r="N432" t="s">
        <v>1204</v>
      </c>
      <c r="V432" s="25">
        <f t="shared" si="24"/>
        <v>1</v>
      </c>
      <c r="W432" s="46">
        <v>97833</v>
      </c>
      <c r="X432" s="50" t="s">
        <v>324</v>
      </c>
    </row>
    <row r="433" spans="10:24" x14ac:dyDescent="0.25">
      <c r="J433" s="46">
        <v>97875</v>
      </c>
      <c r="K433" s="50" t="s">
        <v>634</v>
      </c>
      <c r="L433" s="32" t="s">
        <v>224</v>
      </c>
      <c r="M433" s="26" t="s">
        <v>364</v>
      </c>
      <c r="N433" t="s">
        <v>1204</v>
      </c>
      <c r="R433" s="29"/>
      <c r="V433" s="25">
        <f t="shared" si="24"/>
        <v>1</v>
      </c>
      <c r="W433" s="46">
        <v>97834</v>
      </c>
      <c r="X433" s="50" t="s">
        <v>326</v>
      </c>
    </row>
    <row r="434" spans="10:24" x14ac:dyDescent="0.25">
      <c r="J434" s="46">
        <v>97880</v>
      </c>
      <c r="K434" s="50" t="s">
        <v>635</v>
      </c>
      <c r="L434" s="32" t="s">
        <v>224</v>
      </c>
      <c r="M434" s="26" t="s">
        <v>364</v>
      </c>
      <c r="N434" t="s">
        <v>1204</v>
      </c>
      <c r="V434" s="25">
        <f t="shared" si="24"/>
        <v>1</v>
      </c>
      <c r="W434" s="46">
        <v>97835</v>
      </c>
      <c r="X434" s="50" t="s">
        <v>630</v>
      </c>
    </row>
    <row r="435" spans="10:24" x14ac:dyDescent="0.25">
      <c r="J435" s="46">
        <v>97882</v>
      </c>
      <c r="K435" s="50" t="s">
        <v>224</v>
      </c>
      <c r="L435" s="32" t="s">
        <v>224</v>
      </c>
      <c r="M435" s="26" t="s">
        <v>364</v>
      </c>
      <c r="N435" t="s">
        <v>1204</v>
      </c>
      <c r="V435" s="25">
        <f t="shared" si="24"/>
        <v>1</v>
      </c>
      <c r="W435" s="46">
        <v>97836</v>
      </c>
      <c r="X435" s="50" t="s">
        <v>598</v>
      </c>
    </row>
    <row r="436" spans="10:24" x14ac:dyDescent="0.25">
      <c r="J436" s="46">
        <v>97886</v>
      </c>
      <c r="K436" s="50" t="s">
        <v>636</v>
      </c>
      <c r="L436" s="32" t="s">
        <v>224</v>
      </c>
      <c r="M436" s="26" t="s">
        <v>364</v>
      </c>
      <c r="N436" t="s">
        <v>1204</v>
      </c>
      <c r="V436" s="25">
        <f t="shared" si="24"/>
        <v>1</v>
      </c>
      <c r="W436" s="46">
        <v>97837</v>
      </c>
      <c r="X436" s="50" t="s">
        <v>328</v>
      </c>
    </row>
    <row r="437" spans="10:24" x14ac:dyDescent="0.25">
      <c r="J437" s="46">
        <v>97824</v>
      </c>
      <c r="K437" s="50" t="s">
        <v>637</v>
      </c>
      <c r="L437" s="32" t="s">
        <v>239</v>
      </c>
      <c r="M437" s="26" t="s">
        <v>366</v>
      </c>
      <c r="N437" t="s">
        <v>1192</v>
      </c>
      <c r="V437" s="25">
        <f t="shared" si="24"/>
        <v>1</v>
      </c>
      <c r="W437" s="46">
        <v>97838</v>
      </c>
      <c r="X437" s="50" t="s">
        <v>227</v>
      </c>
    </row>
    <row r="438" spans="10:24" x14ac:dyDescent="0.25">
      <c r="J438" s="46">
        <v>97827</v>
      </c>
      <c r="K438" s="50" t="s">
        <v>638</v>
      </c>
      <c r="L438" s="32" t="s">
        <v>239</v>
      </c>
      <c r="M438" s="26" t="s">
        <v>366</v>
      </c>
      <c r="N438" t="s">
        <v>1192</v>
      </c>
      <c r="V438" s="25">
        <f t="shared" si="24"/>
        <v>1</v>
      </c>
      <c r="W438" s="46">
        <v>97839</v>
      </c>
      <c r="X438" s="50" t="s">
        <v>599</v>
      </c>
    </row>
    <row r="439" spans="10:24" x14ac:dyDescent="0.25">
      <c r="J439" s="46">
        <v>97841</v>
      </c>
      <c r="K439" s="50" t="s">
        <v>639</v>
      </c>
      <c r="L439" s="32" t="s">
        <v>239</v>
      </c>
      <c r="M439" s="26" t="s">
        <v>366</v>
      </c>
      <c r="N439" t="s">
        <v>1192</v>
      </c>
      <c r="V439" s="25">
        <f t="shared" si="24"/>
        <v>1</v>
      </c>
      <c r="W439" s="46">
        <v>97840</v>
      </c>
      <c r="X439" s="50" t="s">
        <v>331</v>
      </c>
    </row>
    <row r="440" spans="10:24" x14ac:dyDescent="0.25">
      <c r="J440" s="46">
        <v>97850</v>
      </c>
      <c r="K440" s="50" t="s">
        <v>238</v>
      </c>
      <c r="L440" s="32" t="s">
        <v>239</v>
      </c>
      <c r="M440" s="26" t="s">
        <v>366</v>
      </c>
      <c r="N440" t="s">
        <v>1192</v>
      </c>
      <c r="V440" s="25">
        <f t="shared" si="24"/>
        <v>1</v>
      </c>
      <c r="W440" s="46">
        <v>97841</v>
      </c>
      <c r="X440" s="50" t="s">
        <v>639</v>
      </c>
    </row>
    <row r="441" spans="10:24" x14ac:dyDescent="0.25">
      <c r="J441" s="46">
        <v>97867</v>
      </c>
      <c r="K441" s="50" t="s">
        <v>640</v>
      </c>
      <c r="L441" s="32" t="s">
        <v>239</v>
      </c>
      <c r="M441" s="26" t="s">
        <v>366</v>
      </c>
      <c r="N441" t="s">
        <v>1192</v>
      </c>
      <c r="V441" s="25">
        <f t="shared" si="24"/>
        <v>1</v>
      </c>
      <c r="W441" s="46">
        <v>97842</v>
      </c>
      <c r="X441" s="50" t="s">
        <v>642</v>
      </c>
    </row>
    <row r="442" spans="10:24" x14ac:dyDescent="0.25">
      <c r="J442" s="46">
        <v>97876</v>
      </c>
      <c r="K442" s="50" t="s">
        <v>641</v>
      </c>
      <c r="L442" s="32" t="s">
        <v>239</v>
      </c>
      <c r="M442" s="26" t="s">
        <v>366</v>
      </c>
      <c r="N442" t="s">
        <v>1192</v>
      </c>
      <c r="V442" s="25">
        <f t="shared" si="24"/>
        <v>1</v>
      </c>
      <c r="W442" s="46">
        <v>97843</v>
      </c>
      <c r="X442" s="50" t="s">
        <v>600</v>
      </c>
    </row>
    <row r="443" spans="10:24" x14ac:dyDescent="0.25">
      <c r="J443" s="46">
        <v>97883</v>
      </c>
      <c r="K443" s="50" t="s">
        <v>239</v>
      </c>
      <c r="L443" s="32" t="s">
        <v>239</v>
      </c>
      <c r="M443" s="26" t="s">
        <v>366</v>
      </c>
      <c r="N443" t="s">
        <v>1192</v>
      </c>
      <c r="V443" s="25">
        <f t="shared" si="24"/>
        <v>1</v>
      </c>
      <c r="W443" s="46">
        <v>97844</v>
      </c>
      <c r="X443" s="50" t="s">
        <v>601</v>
      </c>
    </row>
    <row r="444" spans="10:24" x14ac:dyDescent="0.25">
      <c r="J444" s="46">
        <v>97828</v>
      </c>
      <c r="K444" s="50" t="s">
        <v>242</v>
      </c>
      <c r="L444" s="32" t="s">
        <v>243</v>
      </c>
      <c r="M444" s="26" t="s">
        <v>368</v>
      </c>
      <c r="N444" t="s">
        <v>1192</v>
      </c>
      <c r="V444" s="25">
        <f t="shared" si="24"/>
        <v>1</v>
      </c>
      <c r="W444" s="46">
        <v>97845</v>
      </c>
      <c r="X444" s="50" t="s">
        <v>246</v>
      </c>
    </row>
    <row r="445" spans="10:24" x14ac:dyDescent="0.25">
      <c r="J445" s="46">
        <v>97842</v>
      </c>
      <c r="K445" s="50" t="s">
        <v>642</v>
      </c>
      <c r="L445" s="32" t="s">
        <v>243</v>
      </c>
      <c r="M445" s="26" t="s">
        <v>368</v>
      </c>
      <c r="N445" t="s">
        <v>1192</v>
      </c>
      <c r="V445" s="25">
        <f t="shared" si="24"/>
        <v>1</v>
      </c>
      <c r="W445" s="46">
        <v>97846</v>
      </c>
      <c r="X445" s="50" t="s">
        <v>643</v>
      </c>
    </row>
    <row r="446" spans="10:24" x14ac:dyDescent="0.25">
      <c r="J446" s="46">
        <v>97846</v>
      </c>
      <c r="K446" s="50" t="s">
        <v>643</v>
      </c>
      <c r="L446" s="32" t="s">
        <v>243</v>
      </c>
      <c r="M446" s="26" t="s">
        <v>368</v>
      </c>
      <c r="N446" t="s">
        <v>1192</v>
      </c>
      <c r="V446" s="25">
        <f t="shared" si="24"/>
        <v>1</v>
      </c>
      <c r="W446" s="46">
        <v>97848</v>
      </c>
      <c r="X446" s="50" t="s">
        <v>449</v>
      </c>
    </row>
    <row r="447" spans="10:24" x14ac:dyDescent="0.25">
      <c r="J447" s="46">
        <v>97857</v>
      </c>
      <c r="K447" s="50" t="s">
        <v>644</v>
      </c>
      <c r="L447" s="32" t="s">
        <v>243</v>
      </c>
      <c r="M447" s="26" t="s">
        <v>368</v>
      </c>
      <c r="N447" t="s">
        <v>1192</v>
      </c>
      <c r="V447" s="25">
        <f t="shared" si="24"/>
        <v>1</v>
      </c>
      <c r="W447" s="46">
        <v>97850</v>
      </c>
      <c r="X447" s="50" t="s">
        <v>238</v>
      </c>
    </row>
    <row r="448" spans="10:24" x14ac:dyDescent="0.25">
      <c r="J448" s="46">
        <v>97885</v>
      </c>
      <c r="K448" s="50" t="s">
        <v>243</v>
      </c>
      <c r="L448" s="32" t="s">
        <v>243</v>
      </c>
      <c r="M448" s="26" t="s">
        <v>368</v>
      </c>
      <c r="N448" t="s">
        <v>1192</v>
      </c>
      <c r="V448" s="25">
        <f t="shared" si="24"/>
        <v>1</v>
      </c>
      <c r="W448" s="46">
        <v>97856</v>
      </c>
      <c r="X448" s="50" t="s">
        <v>450</v>
      </c>
    </row>
    <row r="449" spans="10:24" x14ac:dyDescent="0.25">
      <c r="J449" s="46">
        <v>97001</v>
      </c>
      <c r="K449" s="50" t="s">
        <v>645</v>
      </c>
      <c r="L449" s="32" t="s">
        <v>189</v>
      </c>
      <c r="M449" s="26" t="s">
        <v>369</v>
      </c>
      <c r="N449" t="s">
        <v>1198</v>
      </c>
      <c r="V449" s="25">
        <f t="shared" si="24"/>
        <v>1</v>
      </c>
      <c r="W449" s="46">
        <v>97857</v>
      </c>
      <c r="X449" s="50" t="s">
        <v>644</v>
      </c>
    </row>
    <row r="450" spans="10:24" x14ac:dyDescent="0.25">
      <c r="J450" s="46">
        <v>97021</v>
      </c>
      <c r="K450" s="50" t="s">
        <v>646</v>
      </c>
      <c r="L450" s="32" t="s">
        <v>189</v>
      </c>
      <c r="M450" s="26" t="s">
        <v>369</v>
      </c>
      <c r="N450" t="s">
        <v>1198</v>
      </c>
      <c r="V450" s="25">
        <f t="shared" si="24"/>
        <v>1</v>
      </c>
      <c r="W450" s="46">
        <v>97859</v>
      </c>
      <c r="X450" s="50" t="s">
        <v>631</v>
      </c>
    </row>
    <row r="451" spans="10:24" x14ac:dyDescent="0.25">
      <c r="J451" s="46">
        <v>97037</v>
      </c>
      <c r="K451" s="50" t="s">
        <v>647</v>
      </c>
      <c r="L451" s="32" t="s">
        <v>189</v>
      </c>
      <c r="M451" s="26" t="s">
        <v>369</v>
      </c>
      <c r="N451" t="s">
        <v>1198</v>
      </c>
      <c r="V451" s="25">
        <f t="shared" si="24"/>
        <v>1</v>
      </c>
      <c r="W451" s="46">
        <v>97861</v>
      </c>
      <c r="X451" s="50" t="s">
        <v>445</v>
      </c>
    </row>
    <row r="452" spans="10:24" x14ac:dyDescent="0.25">
      <c r="J452" s="46">
        <v>97040</v>
      </c>
      <c r="K452" s="50" t="s">
        <v>648</v>
      </c>
      <c r="L452" s="32" t="s">
        <v>189</v>
      </c>
      <c r="M452" s="26" t="s">
        <v>369</v>
      </c>
      <c r="N452" t="s">
        <v>1198</v>
      </c>
      <c r="V452" s="25">
        <f t="shared" si="24"/>
        <v>1</v>
      </c>
      <c r="W452" s="46">
        <v>97862</v>
      </c>
      <c r="X452" s="50" t="s">
        <v>632</v>
      </c>
    </row>
    <row r="453" spans="10:24" x14ac:dyDescent="0.25">
      <c r="J453" s="46">
        <v>97057</v>
      </c>
      <c r="K453" s="50" t="s">
        <v>314</v>
      </c>
      <c r="L453" s="32" t="s">
        <v>189</v>
      </c>
      <c r="M453" s="26" t="s">
        <v>369</v>
      </c>
      <c r="N453" t="s">
        <v>1198</v>
      </c>
      <c r="V453" s="25">
        <f t="shared" ref="V453:V485" si="25">COUNTIF($W$5:$W$485,W453)</f>
        <v>1</v>
      </c>
      <c r="W453" s="46">
        <v>97864</v>
      </c>
      <c r="X453" s="50" t="s">
        <v>451</v>
      </c>
    </row>
    <row r="454" spans="10:24" x14ac:dyDescent="0.25">
      <c r="J454" s="46">
        <v>97058</v>
      </c>
      <c r="K454" s="50" t="s">
        <v>188</v>
      </c>
      <c r="L454" s="32" t="s">
        <v>189</v>
      </c>
      <c r="M454" s="26" t="s">
        <v>369</v>
      </c>
      <c r="N454" t="s">
        <v>1198</v>
      </c>
      <c r="V454" s="25">
        <f t="shared" si="25"/>
        <v>1</v>
      </c>
      <c r="W454" s="46">
        <v>97865</v>
      </c>
      <c r="X454" s="50" t="s">
        <v>452</v>
      </c>
    </row>
    <row r="455" spans="10:24" x14ac:dyDescent="0.25">
      <c r="J455" s="46">
        <v>97063</v>
      </c>
      <c r="K455" s="50" t="s">
        <v>649</v>
      </c>
      <c r="L455" s="32" t="s">
        <v>189</v>
      </c>
      <c r="M455" s="26" t="s">
        <v>369</v>
      </c>
      <c r="N455" t="s">
        <v>1198</v>
      </c>
      <c r="V455" s="25">
        <f t="shared" si="25"/>
        <v>1</v>
      </c>
      <c r="W455" s="46">
        <v>97867</v>
      </c>
      <c r="X455" s="50" t="s">
        <v>640</v>
      </c>
    </row>
    <row r="456" spans="10:24" x14ac:dyDescent="0.25">
      <c r="J456" s="46">
        <v>97003</v>
      </c>
      <c r="K456" s="50" t="s">
        <v>274</v>
      </c>
      <c r="L456" s="32" t="s">
        <v>275</v>
      </c>
      <c r="M456" s="26" t="s">
        <v>371</v>
      </c>
      <c r="N456" t="s">
        <v>1206</v>
      </c>
      <c r="V456" s="25">
        <f t="shared" si="25"/>
        <v>1</v>
      </c>
      <c r="W456" s="46">
        <v>97868</v>
      </c>
      <c r="X456" s="50" t="s">
        <v>633</v>
      </c>
    </row>
    <row r="457" spans="10:24" x14ac:dyDescent="0.25">
      <c r="J457" s="46">
        <v>97005</v>
      </c>
      <c r="K457" s="50" t="s">
        <v>274</v>
      </c>
      <c r="L457" s="32" t="s">
        <v>275</v>
      </c>
      <c r="M457" s="26" t="s">
        <v>371</v>
      </c>
      <c r="N457" t="s">
        <v>1206</v>
      </c>
      <c r="V457" s="25">
        <f t="shared" si="25"/>
        <v>1</v>
      </c>
      <c r="W457" s="46">
        <v>97869</v>
      </c>
      <c r="X457" s="50" t="s">
        <v>453</v>
      </c>
    </row>
    <row r="458" spans="10:24" x14ac:dyDescent="0.25">
      <c r="J458" s="46">
        <v>97006</v>
      </c>
      <c r="K458" s="50" t="s">
        <v>274</v>
      </c>
      <c r="L458" s="32" t="s">
        <v>275</v>
      </c>
      <c r="M458" s="26" t="s">
        <v>371</v>
      </c>
      <c r="N458" t="s">
        <v>1206</v>
      </c>
      <c r="V458" s="25">
        <f t="shared" si="25"/>
        <v>1</v>
      </c>
      <c r="W458" s="46">
        <v>97870</v>
      </c>
      <c r="X458" s="50" t="s">
        <v>333</v>
      </c>
    </row>
    <row r="459" spans="10:24" x14ac:dyDescent="0.25">
      <c r="J459" s="46">
        <v>97007</v>
      </c>
      <c r="K459" s="50" t="s">
        <v>274</v>
      </c>
      <c r="L459" s="32" t="s">
        <v>275</v>
      </c>
      <c r="M459" s="26" t="s">
        <v>371</v>
      </c>
      <c r="N459" t="s">
        <v>1206</v>
      </c>
      <c r="V459" s="25">
        <f t="shared" si="25"/>
        <v>1</v>
      </c>
      <c r="W459" s="46">
        <v>97873</v>
      </c>
      <c r="X459" s="50" t="s">
        <v>454</v>
      </c>
    </row>
    <row r="460" spans="10:24" x14ac:dyDescent="0.25">
      <c r="J460" s="46">
        <v>97008</v>
      </c>
      <c r="K460" s="50" t="s">
        <v>274</v>
      </c>
      <c r="L460" s="32" t="s">
        <v>275</v>
      </c>
      <c r="M460" s="26" t="s">
        <v>371</v>
      </c>
      <c r="N460" t="s">
        <v>1206</v>
      </c>
      <c r="S460" s="29"/>
      <c r="T460" s="29"/>
      <c r="U460" s="29"/>
      <c r="V460" s="25">
        <f t="shared" si="25"/>
        <v>1</v>
      </c>
      <c r="W460" s="46">
        <v>97874</v>
      </c>
      <c r="X460" s="50" t="s">
        <v>663</v>
      </c>
    </row>
    <row r="461" spans="10:24" x14ac:dyDescent="0.25">
      <c r="J461" s="46">
        <v>97062</v>
      </c>
      <c r="K461" s="50" t="s">
        <v>650</v>
      </c>
      <c r="L461" s="32" t="s">
        <v>275</v>
      </c>
      <c r="M461" s="26" t="s">
        <v>371</v>
      </c>
      <c r="N461" t="s">
        <v>1206</v>
      </c>
      <c r="V461" s="25">
        <f t="shared" si="25"/>
        <v>1</v>
      </c>
      <c r="W461" s="46">
        <v>97875</v>
      </c>
      <c r="X461" s="50" t="s">
        <v>634</v>
      </c>
    </row>
    <row r="462" spans="10:24" x14ac:dyDescent="0.25">
      <c r="J462" s="46">
        <v>97075</v>
      </c>
      <c r="K462" s="50" t="s">
        <v>274</v>
      </c>
      <c r="L462" s="32" t="s">
        <v>275</v>
      </c>
      <c r="M462" s="26" t="s">
        <v>371</v>
      </c>
      <c r="N462" t="s">
        <v>1206</v>
      </c>
      <c r="V462" s="25">
        <f t="shared" si="25"/>
        <v>1</v>
      </c>
      <c r="W462" s="46">
        <v>97876</v>
      </c>
      <c r="X462" s="50" t="s">
        <v>641</v>
      </c>
    </row>
    <row r="463" spans="10:24" x14ac:dyDescent="0.25">
      <c r="J463" s="46">
        <v>97076</v>
      </c>
      <c r="K463" s="50" t="s">
        <v>274</v>
      </c>
      <c r="L463" s="32" t="s">
        <v>275</v>
      </c>
      <c r="M463" s="26" t="s">
        <v>371</v>
      </c>
      <c r="N463" t="s">
        <v>1206</v>
      </c>
      <c r="R463" s="29"/>
      <c r="V463" s="25">
        <f t="shared" si="25"/>
        <v>1</v>
      </c>
      <c r="W463" s="46">
        <v>97877</v>
      </c>
      <c r="X463" s="50" t="s">
        <v>335</v>
      </c>
    </row>
    <row r="464" spans="10:24" x14ac:dyDescent="0.25">
      <c r="J464" s="46">
        <v>97077</v>
      </c>
      <c r="K464" s="50" t="s">
        <v>274</v>
      </c>
      <c r="L464" s="32" t="s">
        <v>275</v>
      </c>
      <c r="M464" s="26" t="s">
        <v>371</v>
      </c>
      <c r="N464" t="s">
        <v>1206</v>
      </c>
      <c r="V464" s="25">
        <f t="shared" si="25"/>
        <v>1</v>
      </c>
      <c r="W464" s="46">
        <v>97880</v>
      </c>
      <c r="X464" s="50" t="s">
        <v>635</v>
      </c>
    </row>
    <row r="465" spans="10:24" x14ac:dyDescent="0.25">
      <c r="J465" s="46">
        <v>97078</v>
      </c>
      <c r="K465" s="50" t="s">
        <v>274</v>
      </c>
      <c r="L465" s="32" t="s">
        <v>275</v>
      </c>
      <c r="M465" s="26" t="s">
        <v>371</v>
      </c>
      <c r="N465" t="s">
        <v>1206</v>
      </c>
      <c r="V465" s="25">
        <f t="shared" si="25"/>
        <v>1</v>
      </c>
      <c r="W465" s="46">
        <v>97882</v>
      </c>
      <c r="X465" s="50" t="s">
        <v>224</v>
      </c>
    </row>
    <row r="466" spans="10:24" x14ac:dyDescent="0.25">
      <c r="J466" s="46">
        <v>97079</v>
      </c>
      <c r="K466" s="50" t="s">
        <v>274</v>
      </c>
      <c r="L466" s="32" t="s">
        <v>275</v>
      </c>
      <c r="M466" s="26" t="s">
        <v>371</v>
      </c>
      <c r="N466" t="s">
        <v>1206</v>
      </c>
      <c r="V466" s="25">
        <f t="shared" si="25"/>
        <v>1</v>
      </c>
      <c r="W466" s="46">
        <v>97883</v>
      </c>
      <c r="X466" s="50" t="s">
        <v>239</v>
      </c>
    </row>
    <row r="467" spans="10:24" x14ac:dyDescent="0.25">
      <c r="J467" s="46">
        <v>97106</v>
      </c>
      <c r="K467" s="50" t="s">
        <v>651</v>
      </c>
      <c r="L467" s="32" t="s">
        <v>275</v>
      </c>
      <c r="M467" s="26" t="s">
        <v>371</v>
      </c>
      <c r="N467" t="s">
        <v>1206</v>
      </c>
      <c r="V467" s="25">
        <f t="shared" si="25"/>
        <v>1</v>
      </c>
      <c r="W467" s="46">
        <v>97884</v>
      </c>
      <c r="X467" s="50" t="s">
        <v>337</v>
      </c>
    </row>
    <row r="468" spans="10:24" x14ac:dyDescent="0.25">
      <c r="J468" s="46">
        <v>97109</v>
      </c>
      <c r="K468" s="50" t="s">
        <v>652</v>
      </c>
      <c r="L468" s="32" t="s">
        <v>275</v>
      </c>
      <c r="M468" s="26" t="s">
        <v>371</v>
      </c>
      <c r="N468" t="s">
        <v>1206</v>
      </c>
      <c r="V468" s="25">
        <f t="shared" si="25"/>
        <v>1</v>
      </c>
      <c r="W468" s="46">
        <v>97885</v>
      </c>
      <c r="X468" s="50" t="s">
        <v>243</v>
      </c>
    </row>
    <row r="469" spans="10:24" x14ac:dyDescent="0.25">
      <c r="J469" s="46">
        <v>97113</v>
      </c>
      <c r="K469" s="50" t="s">
        <v>653</v>
      </c>
      <c r="L469" s="32" t="s">
        <v>275</v>
      </c>
      <c r="M469" s="26" t="s">
        <v>371</v>
      </c>
      <c r="N469" t="s">
        <v>1206</v>
      </c>
      <c r="V469" s="25">
        <f t="shared" si="25"/>
        <v>1</v>
      </c>
      <c r="W469" s="46">
        <v>97886</v>
      </c>
      <c r="X469" s="50" t="s">
        <v>636</v>
      </c>
    </row>
    <row r="470" spans="10:24" x14ac:dyDescent="0.25">
      <c r="J470" s="46">
        <v>97116</v>
      </c>
      <c r="K470" s="50" t="s">
        <v>654</v>
      </c>
      <c r="L470" s="32" t="s">
        <v>275</v>
      </c>
      <c r="M470" s="26" t="s">
        <v>371</v>
      </c>
      <c r="N470" t="s">
        <v>1206</v>
      </c>
      <c r="V470" s="25">
        <f t="shared" si="25"/>
        <v>1</v>
      </c>
      <c r="W470" s="46">
        <v>97901</v>
      </c>
      <c r="X470" s="50" t="s">
        <v>569</v>
      </c>
    </row>
    <row r="471" spans="10:24" x14ac:dyDescent="0.25">
      <c r="J471" s="46">
        <v>97117</v>
      </c>
      <c r="K471" s="50" t="s">
        <v>655</v>
      </c>
      <c r="L471" s="32" t="s">
        <v>275</v>
      </c>
      <c r="M471" s="26" t="s">
        <v>371</v>
      </c>
      <c r="N471" t="s">
        <v>1206</v>
      </c>
      <c r="V471" s="25">
        <f t="shared" si="25"/>
        <v>1</v>
      </c>
      <c r="W471" s="46">
        <v>97902</v>
      </c>
      <c r="X471" s="50" t="s">
        <v>570</v>
      </c>
    </row>
    <row r="472" spans="10:24" x14ac:dyDescent="0.25">
      <c r="J472" s="46">
        <v>97119</v>
      </c>
      <c r="K472" s="50" t="s">
        <v>656</v>
      </c>
      <c r="L472" s="32" t="s">
        <v>275</v>
      </c>
      <c r="M472" s="26" t="s">
        <v>371</v>
      </c>
      <c r="N472" t="s">
        <v>1206</v>
      </c>
      <c r="V472" s="25">
        <f t="shared" si="25"/>
        <v>1</v>
      </c>
      <c r="W472" s="46">
        <v>97903</v>
      </c>
      <c r="X472" s="50" t="s">
        <v>571</v>
      </c>
    </row>
    <row r="473" spans="10:24" x14ac:dyDescent="0.25">
      <c r="J473" s="46">
        <v>97123</v>
      </c>
      <c r="K473" s="50" t="s">
        <v>277</v>
      </c>
      <c r="L473" s="32" t="s">
        <v>275</v>
      </c>
      <c r="M473" s="26" t="s">
        <v>371</v>
      </c>
      <c r="N473" t="s">
        <v>1206</v>
      </c>
      <c r="V473" s="25">
        <f t="shared" si="25"/>
        <v>1</v>
      </c>
      <c r="W473" s="46">
        <v>97904</v>
      </c>
      <c r="X473" s="50" t="s">
        <v>462</v>
      </c>
    </row>
    <row r="474" spans="10:24" x14ac:dyDescent="0.25">
      <c r="J474" s="46">
        <v>97124</v>
      </c>
      <c r="K474" s="50" t="s">
        <v>277</v>
      </c>
      <c r="L474" s="32" t="s">
        <v>275</v>
      </c>
      <c r="M474" s="26" t="s">
        <v>371</v>
      </c>
      <c r="N474" t="s">
        <v>1206</v>
      </c>
      <c r="V474" s="25">
        <f t="shared" si="25"/>
        <v>1</v>
      </c>
      <c r="W474" s="46">
        <v>97905</v>
      </c>
      <c r="X474" s="50" t="s">
        <v>339</v>
      </c>
    </row>
    <row r="475" spans="10:24" x14ac:dyDescent="0.25">
      <c r="J475" s="46">
        <v>97125</v>
      </c>
      <c r="K475" s="50" t="s">
        <v>657</v>
      </c>
      <c r="L475" s="32" t="s">
        <v>275</v>
      </c>
      <c r="M475" s="26" t="s">
        <v>371</v>
      </c>
      <c r="N475" t="s">
        <v>1206</v>
      </c>
      <c r="V475" s="25">
        <f t="shared" si="25"/>
        <v>1</v>
      </c>
      <c r="W475" s="46">
        <v>97906</v>
      </c>
      <c r="X475" s="50" t="s">
        <v>572</v>
      </c>
    </row>
    <row r="476" spans="10:24" x14ac:dyDescent="0.25">
      <c r="J476" s="46">
        <v>97129</v>
      </c>
      <c r="K476" s="50" t="s">
        <v>277</v>
      </c>
      <c r="L476" s="32" t="s">
        <v>275</v>
      </c>
      <c r="M476" s="26" t="s">
        <v>371</v>
      </c>
      <c r="N476" t="s">
        <v>1206</v>
      </c>
      <c r="V476" s="25">
        <f t="shared" si="25"/>
        <v>1</v>
      </c>
      <c r="W476" s="46">
        <v>97907</v>
      </c>
      <c r="X476" s="50" t="s">
        <v>341</v>
      </c>
    </row>
    <row r="477" spans="10:24" x14ac:dyDescent="0.25">
      <c r="J477" s="46">
        <v>97133</v>
      </c>
      <c r="K477" s="50" t="s">
        <v>658</v>
      </c>
      <c r="L477" s="32" t="s">
        <v>275</v>
      </c>
      <c r="M477" s="26" t="s">
        <v>371</v>
      </c>
      <c r="N477" t="s">
        <v>1206</v>
      </c>
      <c r="V477" s="25">
        <f t="shared" si="25"/>
        <v>1</v>
      </c>
      <c r="W477" s="46">
        <v>97908</v>
      </c>
      <c r="X477" s="50" t="s">
        <v>573</v>
      </c>
    </row>
    <row r="478" spans="10:24" x14ac:dyDescent="0.25">
      <c r="J478" s="46">
        <v>97140</v>
      </c>
      <c r="K478" s="50" t="s">
        <v>659</v>
      </c>
      <c r="L478" s="32" t="s">
        <v>275</v>
      </c>
      <c r="M478" s="26" t="s">
        <v>371</v>
      </c>
      <c r="N478" t="s">
        <v>1206</v>
      </c>
      <c r="V478" s="25">
        <f t="shared" si="25"/>
        <v>1</v>
      </c>
      <c r="W478" s="46">
        <v>97909</v>
      </c>
      <c r="X478" s="50" t="s">
        <v>574</v>
      </c>
    </row>
    <row r="479" spans="10:24" x14ac:dyDescent="0.25">
      <c r="J479" s="46">
        <v>97144</v>
      </c>
      <c r="K479" s="50" t="s">
        <v>660</v>
      </c>
      <c r="L479" s="32" t="s">
        <v>275</v>
      </c>
      <c r="M479" s="26" t="s">
        <v>371</v>
      </c>
      <c r="N479" t="s">
        <v>1206</v>
      </c>
      <c r="V479" s="25">
        <f t="shared" si="25"/>
        <v>1</v>
      </c>
      <c r="W479" s="46">
        <v>97910</v>
      </c>
      <c r="X479" s="50" t="s">
        <v>575</v>
      </c>
    </row>
    <row r="480" spans="10:24" x14ac:dyDescent="0.25">
      <c r="J480" s="46">
        <v>97223</v>
      </c>
      <c r="K480" s="50" t="s">
        <v>279</v>
      </c>
      <c r="L480" s="32" t="s">
        <v>275</v>
      </c>
      <c r="M480" s="26" t="s">
        <v>371</v>
      </c>
      <c r="N480" t="s">
        <v>1206</v>
      </c>
      <c r="V480" s="25">
        <f t="shared" si="25"/>
        <v>1</v>
      </c>
      <c r="W480" s="46">
        <v>97911</v>
      </c>
      <c r="X480" s="50" t="s">
        <v>576</v>
      </c>
    </row>
    <row r="481" spans="10:24" x14ac:dyDescent="0.25">
      <c r="J481" s="46">
        <v>97224</v>
      </c>
      <c r="K481" s="50" t="s">
        <v>279</v>
      </c>
      <c r="L481" s="32" t="s">
        <v>275</v>
      </c>
      <c r="M481" s="26" t="s">
        <v>371</v>
      </c>
      <c r="N481" t="s">
        <v>1206</v>
      </c>
      <c r="V481" s="25">
        <f t="shared" si="25"/>
        <v>1</v>
      </c>
      <c r="W481" s="46">
        <v>97913</v>
      </c>
      <c r="X481" s="50" t="s">
        <v>577</v>
      </c>
    </row>
    <row r="482" spans="10:24" x14ac:dyDescent="0.25">
      <c r="J482" s="46">
        <v>97225</v>
      </c>
      <c r="K482" s="50" t="s">
        <v>97</v>
      </c>
      <c r="L482" s="32" t="s">
        <v>275</v>
      </c>
      <c r="M482" s="26" t="s">
        <v>371</v>
      </c>
      <c r="N482" t="s">
        <v>1206</v>
      </c>
      <c r="V482" s="25">
        <f t="shared" si="25"/>
        <v>1</v>
      </c>
      <c r="W482" s="46">
        <v>97914</v>
      </c>
      <c r="X482" s="50" t="s">
        <v>259</v>
      </c>
    </row>
    <row r="483" spans="10:24" x14ac:dyDescent="0.25">
      <c r="J483" s="46">
        <v>97229</v>
      </c>
      <c r="K483" s="50" t="s">
        <v>97</v>
      </c>
      <c r="L483" s="32" t="s">
        <v>275</v>
      </c>
      <c r="M483" s="26" t="s">
        <v>371</v>
      </c>
      <c r="N483" t="s">
        <v>1206</v>
      </c>
      <c r="V483" s="25">
        <f t="shared" si="25"/>
        <v>1</v>
      </c>
      <c r="W483" s="46">
        <v>97917</v>
      </c>
      <c r="X483" s="50" t="s">
        <v>578</v>
      </c>
    </row>
    <row r="484" spans="10:24" x14ac:dyDescent="0.25">
      <c r="J484" s="46">
        <v>97281</v>
      </c>
      <c r="K484" s="50" t="s">
        <v>97</v>
      </c>
      <c r="L484" s="32" t="s">
        <v>275</v>
      </c>
      <c r="M484" s="26" t="s">
        <v>371</v>
      </c>
      <c r="N484" t="s">
        <v>1206</v>
      </c>
      <c r="V484" s="25">
        <f t="shared" si="25"/>
        <v>1</v>
      </c>
      <c r="W484" s="46">
        <v>97918</v>
      </c>
      <c r="X484" s="50" t="s">
        <v>579</v>
      </c>
    </row>
    <row r="485" spans="10:24" x14ac:dyDescent="0.25">
      <c r="J485" s="46">
        <v>97291</v>
      </c>
      <c r="K485" s="50" t="s">
        <v>97</v>
      </c>
      <c r="L485" s="32" t="s">
        <v>275</v>
      </c>
      <c r="M485" s="26" t="s">
        <v>371</v>
      </c>
      <c r="N485" t="s">
        <v>1206</v>
      </c>
      <c r="V485" s="25">
        <f t="shared" si="25"/>
        <v>1</v>
      </c>
      <c r="W485" s="46">
        <v>97920</v>
      </c>
      <c r="X485" s="50" t="s">
        <v>580</v>
      </c>
    </row>
    <row r="486" spans="10:24" x14ac:dyDescent="0.25">
      <c r="J486" s="46">
        <v>97298</v>
      </c>
      <c r="K486" s="50" t="s">
        <v>97</v>
      </c>
      <c r="L486" s="32" t="s">
        <v>275</v>
      </c>
      <c r="M486" s="26" t="s">
        <v>371</v>
      </c>
      <c r="N486" t="s">
        <v>1206</v>
      </c>
      <c r="W486" s="31"/>
      <c r="X486" s="50"/>
    </row>
    <row r="487" spans="10:24" x14ac:dyDescent="0.25">
      <c r="J487" s="46">
        <v>97750</v>
      </c>
      <c r="K487" s="50" t="s">
        <v>661</v>
      </c>
      <c r="L487" s="32" t="s">
        <v>373</v>
      </c>
      <c r="M487" s="26" t="s">
        <v>374</v>
      </c>
      <c r="N487" t="s">
        <v>1198</v>
      </c>
      <c r="W487" s="31"/>
      <c r="X487" s="50"/>
    </row>
    <row r="488" spans="10:24" x14ac:dyDescent="0.25">
      <c r="J488" s="46">
        <v>97830</v>
      </c>
      <c r="K488" s="50" t="s">
        <v>662</v>
      </c>
      <c r="L488" s="32" t="s">
        <v>373</v>
      </c>
      <c r="M488" s="26" t="s">
        <v>374</v>
      </c>
      <c r="N488" t="s">
        <v>1198</v>
      </c>
      <c r="W488" s="31"/>
      <c r="X488" s="50"/>
    </row>
    <row r="489" spans="10:24" x14ac:dyDescent="0.25">
      <c r="J489" s="46">
        <v>97874</v>
      </c>
      <c r="K489" s="50" t="s">
        <v>663</v>
      </c>
      <c r="L489" s="32" t="s">
        <v>373</v>
      </c>
      <c r="M489" s="26" t="s">
        <v>374</v>
      </c>
      <c r="N489" t="s">
        <v>1198</v>
      </c>
      <c r="W489" s="31"/>
      <c r="X489" s="50"/>
    </row>
    <row r="490" spans="10:24" x14ac:dyDescent="0.25">
      <c r="J490" s="46">
        <v>97101</v>
      </c>
      <c r="K490" s="50" t="s">
        <v>664</v>
      </c>
      <c r="L490" s="32" t="s">
        <v>127</v>
      </c>
      <c r="M490" s="26" t="s">
        <v>376</v>
      </c>
      <c r="N490" t="s">
        <v>1203</v>
      </c>
      <c r="S490" s="29"/>
      <c r="T490" s="29"/>
      <c r="U490" s="29"/>
      <c r="V490" s="29"/>
      <c r="W490" s="31"/>
      <c r="X490" s="50"/>
    </row>
    <row r="491" spans="10:24" x14ac:dyDescent="0.25">
      <c r="J491" s="46">
        <v>97111</v>
      </c>
      <c r="K491" s="50" t="s">
        <v>665</v>
      </c>
      <c r="L491" s="32" t="s">
        <v>127</v>
      </c>
      <c r="M491" s="26" t="s">
        <v>376</v>
      </c>
      <c r="N491" t="s">
        <v>1203</v>
      </c>
      <c r="W491" s="31"/>
      <c r="X491" s="50"/>
    </row>
    <row r="492" spans="10:24" x14ac:dyDescent="0.25">
      <c r="J492" s="46">
        <v>97114</v>
      </c>
      <c r="K492" s="50" t="s">
        <v>666</v>
      </c>
      <c r="L492" s="32" t="s">
        <v>127</v>
      </c>
      <c r="M492" s="26" t="s">
        <v>376</v>
      </c>
      <c r="N492" t="s">
        <v>1203</v>
      </c>
      <c r="W492" s="31"/>
      <c r="X492" s="50"/>
    </row>
    <row r="493" spans="10:24" x14ac:dyDescent="0.25">
      <c r="J493" s="46">
        <v>97115</v>
      </c>
      <c r="K493" s="50" t="s">
        <v>667</v>
      </c>
      <c r="L493" s="32" t="s">
        <v>127</v>
      </c>
      <c r="M493" s="26" t="s">
        <v>376</v>
      </c>
      <c r="N493" t="s">
        <v>1203</v>
      </c>
      <c r="R493" s="29"/>
      <c r="W493" s="31"/>
      <c r="X493" s="50"/>
    </row>
    <row r="494" spans="10:24" x14ac:dyDescent="0.25">
      <c r="J494" s="46">
        <v>97127</v>
      </c>
      <c r="K494" s="50" t="s">
        <v>668</v>
      </c>
      <c r="L494" s="32" t="s">
        <v>127</v>
      </c>
      <c r="M494" s="26" t="s">
        <v>376</v>
      </c>
      <c r="N494" t="s">
        <v>1203</v>
      </c>
      <c r="W494" s="31"/>
      <c r="X494" s="50"/>
    </row>
    <row r="495" spans="10:24" x14ac:dyDescent="0.25">
      <c r="J495" s="46">
        <v>97128</v>
      </c>
      <c r="K495" s="50" t="s">
        <v>126</v>
      </c>
      <c r="L495" s="32" t="s">
        <v>127</v>
      </c>
      <c r="M495" s="26" t="s">
        <v>376</v>
      </c>
      <c r="N495" t="s">
        <v>1203</v>
      </c>
      <c r="W495" s="31"/>
      <c r="X495" s="50"/>
    </row>
    <row r="496" spans="10:24" x14ac:dyDescent="0.25">
      <c r="J496" s="46">
        <v>97132</v>
      </c>
      <c r="K496" s="50" t="s">
        <v>669</v>
      </c>
      <c r="L496" s="32" t="s">
        <v>127</v>
      </c>
      <c r="M496" s="26" t="s">
        <v>376</v>
      </c>
      <c r="N496" t="s">
        <v>1203</v>
      </c>
      <c r="W496" s="31"/>
      <c r="X496" s="50"/>
    </row>
    <row r="497" spans="10:24" x14ac:dyDescent="0.25">
      <c r="J497" s="46">
        <v>97148</v>
      </c>
      <c r="K497" s="50" t="s">
        <v>127</v>
      </c>
      <c r="L497" s="32" t="s">
        <v>127</v>
      </c>
      <c r="M497" s="26" t="s">
        <v>376</v>
      </c>
      <c r="N497" t="s">
        <v>1203</v>
      </c>
      <c r="W497" s="31"/>
      <c r="X497" s="50"/>
    </row>
    <row r="498" spans="10:24" x14ac:dyDescent="0.25">
      <c r="J498" s="46">
        <v>97378</v>
      </c>
      <c r="K498" s="50" t="s">
        <v>670</v>
      </c>
      <c r="L498" s="32" t="s">
        <v>127</v>
      </c>
      <c r="M498" s="26" t="s">
        <v>376</v>
      </c>
      <c r="N498" t="s">
        <v>1203</v>
      </c>
      <c r="W498" s="31"/>
      <c r="X498" s="50"/>
    </row>
    <row r="499" spans="10:24" x14ac:dyDescent="0.25">
      <c r="J499" s="46">
        <v>97396</v>
      </c>
      <c r="K499" s="50" t="s">
        <v>671</v>
      </c>
      <c r="L499" s="32" t="s">
        <v>127</v>
      </c>
      <c r="M499" s="26" t="s">
        <v>376</v>
      </c>
      <c r="N499" t="s">
        <v>1203</v>
      </c>
      <c r="W499" s="31"/>
      <c r="X499" s="50"/>
    </row>
    <row r="500" spans="10:24" x14ac:dyDescent="0.25">
      <c r="J500" s="46"/>
      <c r="K500" s="50"/>
      <c r="L500" s="50"/>
      <c r="M500" s="32"/>
      <c r="N500" s="32"/>
      <c r="W500" s="31"/>
      <c r="X500" s="50"/>
    </row>
    <row r="501" spans="10:24" x14ac:dyDescent="0.25">
      <c r="M501" s="26"/>
      <c r="N501" s="26"/>
      <c r="W501" s="31"/>
      <c r="X501" s="50"/>
    </row>
    <row r="502" spans="10:24" x14ac:dyDescent="0.25">
      <c r="M502" s="26"/>
      <c r="N502" s="26"/>
      <c r="W502" s="31"/>
      <c r="X502" s="50"/>
    </row>
    <row r="503" spans="10:24" x14ac:dyDescent="0.25">
      <c r="K503" s="53"/>
      <c r="M503" s="26"/>
      <c r="N503" s="26"/>
      <c r="W503" s="31"/>
      <c r="X503" s="50"/>
    </row>
    <row r="504" spans="10:24" x14ac:dyDescent="0.25">
      <c r="M504" s="26"/>
      <c r="N504" s="26"/>
    </row>
    <row r="505" spans="10:24" x14ac:dyDescent="0.25">
      <c r="M505" s="26"/>
      <c r="N505" s="26"/>
    </row>
    <row r="506" spans="10:24" x14ac:dyDescent="0.25">
      <c r="M506" s="26"/>
      <c r="N506" s="26"/>
    </row>
    <row r="507" spans="10:24" x14ac:dyDescent="0.25">
      <c r="M507" s="26"/>
      <c r="N507" s="26"/>
    </row>
    <row r="508" spans="10:24" x14ac:dyDescent="0.25">
      <c r="M508" s="26"/>
      <c r="N508" s="26"/>
    </row>
    <row r="509" spans="10:24" x14ac:dyDescent="0.25">
      <c r="M509" s="26"/>
      <c r="N509" s="26"/>
    </row>
    <row r="510" spans="10:24" x14ac:dyDescent="0.25">
      <c r="M510" s="26"/>
      <c r="N510" s="26"/>
    </row>
    <row r="511" spans="10:24" x14ac:dyDescent="0.25">
      <c r="M511" s="26"/>
      <c r="N511" s="26"/>
    </row>
    <row r="512" spans="10:24" x14ac:dyDescent="0.25">
      <c r="M512" s="26"/>
      <c r="N512" s="26"/>
    </row>
    <row r="513" spans="13:14" x14ac:dyDescent="0.25">
      <c r="M513" s="26"/>
      <c r="N513" s="26"/>
    </row>
    <row r="514" spans="13:14" x14ac:dyDescent="0.25">
      <c r="M514" s="26"/>
      <c r="N514" s="26"/>
    </row>
    <row r="515" spans="13:14" x14ac:dyDescent="0.25">
      <c r="M515" s="26"/>
      <c r="N515" s="26"/>
    </row>
    <row r="516" spans="13:14" x14ac:dyDescent="0.25">
      <c r="M516" s="26"/>
      <c r="N516" s="26"/>
    </row>
    <row r="517" spans="13:14" x14ac:dyDescent="0.25">
      <c r="M517" s="26"/>
      <c r="N517" s="26"/>
    </row>
    <row r="518" spans="13:14" x14ac:dyDescent="0.25">
      <c r="M518" s="26"/>
      <c r="N518" s="26"/>
    </row>
    <row r="519" spans="13:14" x14ac:dyDescent="0.25">
      <c r="M519" s="26"/>
      <c r="N519" s="26"/>
    </row>
    <row r="520" spans="13:14" x14ac:dyDescent="0.25">
      <c r="M520" s="26"/>
      <c r="N520" s="26"/>
    </row>
    <row r="521" spans="13:14" x14ac:dyDescent="0.25">
      <c r="M521" s="26"/>
      <c r="N521" s="26"/>
    </row>
    <row r="522" spans="13:14" x14ac:dyDescent="0.25">
      <c r="M522" s="26"/>
      <c r="N522" s="26"/>
    </row>
    <row r="523" spans="13:14" x14ac:dyDescent="0.25">
      <c r="M523" s="26"/>
      <c r="N523" s="26"/>
    </row>
    <row r="524" spans="13:14" x14ac:dyDescent="0.25">
      <c r="M524" s="26"/>
      <c r="N524" s="26"/>
    </row>
    <row r="525" spans="13:14" x14ac:dyDescent="0.25">
      <c r="M525" s="26"/>
      <c r="N525" s="26"/>
    </row>
    <row r="526" spans="13:14" x14ac:dyDescent="0.25">
      <c r="M526" s="26"/>
      <c r="N526" s="26"/>
    </row>
    <row r="527" spans="13:14" x14ac:dyDescent="0.25">
      <c r="M527" s="26"/>
      <c r="N527" s="26"/>
    </row>
    <row r="528" spans="13:14" x14ac:dyDescent="0.25">
      <c r="M528" s="26"/>
      <c r="N528" s="26"/>
    </row>
    <row r="529" spans="13:14" x14ac:dyDescent="0.25">
      <c r="M529" s="26"/>
      <c r="N529" s="26"/>
    </row>
    <row r="530" spans="13:14" x14ac:dyDescent="0.25">
      <c r="M530" s="26"/>
      <c r="N530" s="26"/>
    </row>
    <row r="531" spans="13:14" x14ac:dyDescent="0.25">
      <c r="M531" s="26"/>
      <c r="N531" s="26"/>
    </row>
    <row r="532" spans="13:14" x14ac:dyDescent="0.25">
      <c r="M532" s="26"/>
      <c r="N532" s="26"/>
    </row>
    <row r="533" spans="13:14" x14ac:dyDescent="0.25">
      <c r="M533" s="26"/>
      <c r="N533" s="26"/>
    </row>
    <row r="534" spans="13:14" x14ac:dyDescent="0.25">
      <c r="M534" s="26"/>
      <c r="N534" s="26"/>
    </row>
    <row r="535" spans="13:14" x14ac:dyDescent="0.25">
      <c r="M535" s="26"/>
      <c r="N535" s="26"/>
    </row>
    <row r="536" spans="13:14" x14ac:dyDescent="0.25">
      <c r="M536" s="26"/>
      <c r="N536" s="26"/>
    </row>
    <row r="537" spans="13:14" x14ac:dyDescent="0.25">
      <c r="M537" s="26"/>
      <c r="N537" s="26"/>
    </row>
    <row r="538" spans="13:14" x14ac:dyDescent="0.25">
      <c r="M538" s="26"/>
      <c r="N538" s="26"/>
    </row>
    <row r="539" spans="13:14" x14ac:dyDescent="0.25">
      <c r="M539" s="26"/>
      <c r="N539" s="26"/>
    </row>
    <row r="540" spans="13:14" x14ac:dyDescent="0.25">
      <c r="M540" s="26"/>
      <c r="N540" s="26"/>
    </row>
    <row r="541" spans="13:14" x14ac:dyDescent="0.25">
      <c r="M541" s="26"/>
      <c r="N541" s="26"/>
    </row>
    <row r="542" spans="13:14" x14ac:dyDescent="0.25">
      <c r="M542" s="26"/>
      <c r="N542" s="26"/>
    </row>
    <row r="543" spans="13:14" x14ac:dyDescent="0.25">
      <c r="M543" s="26"/>
      <c r="N543" s="26"/>
    </row>
    <row r="544" spans="13:14" x14ac:dyDescent="0.25">
      <c r="M544" s="26"/>
      <c r="N544" s="26"/>
    </row>
    <row r="545" spans="13:14" x14ac:dyDescent="0.25">
      <c r="M545" s="26"/>
      <c r="N545" s="26"/>
    </row>
    <row r="546" spans="13:14" x14ac:dyDescent="0.25">
      <c r="M546" s="26"/>
      <c r="N546" s="26"/>
    </row>
    <row r="547" spans="13:14" x14ac:dyDescent="0.25">
      <c r="M547" s="26"/>
      <c r="N547" s="26"/>
    </row>
    <row r="548" spans="13:14" x14ac:dyDescent="0.25">
      <c r="M548" s="26"/>
      <c r="N548" s="26"/>
    </row>
    <row r="549" spans="13:14" x14ac:dyDescent="0.25">
      <c r="M549" s="26"/>
      <c r="N549" s="26"/>
    </row>
    <row r="550" spans="13:14" x14ac:dyDescent="0.25">
      <c r="M550" s="26"/>
      <c r="N550" s="26"/>
    </row>
    <row r="551" spans="13:14" x14ac:dyDescent="0.25">
      <c r="M551" s="26"/>
      <c r="N551" s="26"/>
    </row>
    <row r="552" spans="13:14" x14ac:dyDescent="0.25">
      <c r="M552" s="26"/>
      <c r="N552" s="26"/>
    </row>
    <row r="553" spans="13:14" x14ac:dyDescent="0.25">
      <c r="M553" s="26"/>
      <c r="N553" s="26"/>
    </row>
    <row r="554" spans="13:14" x14ac:dyDescent="0.25">
      <c r="M554" s="26"/>
      <c r="N554" s="26"/>
    </row>
    <row r="555" spans="13:14" x14ac:dyDescent="0.25">
      <c r="M555" s="26"/>
      <c r="N555" s="26"/>
    </row>
    <row r="556" spans="13:14" x14ac:dyDescent="0.25">
      <c r="M556" s="26"/>
      <c r="N556" s="26"/>
    </row>
    <row r="557" spans="13:14" x14ac:dyDescent="0.25">
      <c r="M557" s="26"/>
      <c r="N557" s="26"/>
    </row>
    <row r="558" spans="13:14" x14ac:dyDescent="0.25">
      <c r="M558" s="26"/>
      <c r="N558" s="26"/>
    </row>
    <row r="559" spans="13:14" x14ac:dyDescent="0.25">
      <c r="M559" s="26"/>
      <c r="N559" s="26"/>
    </row>
    <row r="560" spans="13:14" x14ac:dyDescent="0.25">
      <c r="M560" s="26"/>
      <c r="N560" s="26"/>
    </row>
    <row r="561" spans="13:14" x14ac:dyDescent="0.25">
      <c r="M561" s="26"/>
      <c r="N561" s="26"/>
    </row>
    <row r="562" spans="13:14" x14ac:dyDescent="0.25">
      <c r="M562" s="26"/>
      <c r="N562" s="26"/>
    </row>
    <row r="563" spans="13:14" x14ac:dyDescent="0.25">
      <c r="M563" s="26"/>
      <c r="N563" s="26"/>
    </row>
    <row r="564" spans="13:14" x14ac:dyDescent="0.25">
      <c r="M564" s="26"/>
      <c r="N564" s="26"/>
    </row>
    <row r="565" spans="13:14" x14ac:dyDescent="0.25">
      <c r="M565" s="26"/>
      <c r="N565" s="26"/>
    </row>
    <row r="566" spans="13:14" x14ac:dyDescent="0.25">
      <c r="M566" s="26"/>
      <c r="N566" s="26"/>
    </row>
    <row r="567" spans="13:14" x14ac:dyDescent="0.25">
      <c r="M567" s="26"/>
      <c r="N567" s="26"/>
    </row>
    <row r="568" spans="13:14" x14ac:dyDescent="0.25">
      <c r="M568" s="26"/>
      <c r="N568" s="26"/>
    </row>
    <row r="569" spans="13:14" x14ac:dyDescent="0.25">
      <c r="M569" s="26"/>
      <c r="N569" s="26"/>
    </row>
    <row r="570" spans="13:14" x14ac:dyDescent="0.25">
      <c r="M570" s="26"/>
      <c r="N570" s="26"/>
    </row>
    <row r="571" spans="13:14" x14ac:dyDescent="0.25">
      <c r="M571" s="26"/>
      <c r="N571" s="26"/>
    </row>
    <row r="572" spans="13:14" x14ac:dyDescent="0.25">
      <c r="M572" s="26"/>
      <c r="N572" s="26"/>
    </row>
    <row r="573" spans="13:14" x14ac:dyDescent="0.25">
      <c r="M573" s="26"/>
      <c r="N573" s="26"/>
    </row>
    <row r="574" spans="13:14" x14ac:dyDescent="0.25">
      <c r="M574" s="26"/>
      <c r="N574" s="26"/>
    </row>
    <row r="575" spans="13:14" x14ac:dyDescent="0.25">
      <c r="M575" s="26"/>
      <c r="N575" s="26"/>
    </row>
    <row r="576" spans="13:14" x14ac:dyDescent="0.25">
      <c r="M576" s="26"/>
      <c r="N576" s="26"/>
    </row>
    <row r="577" spans="13:14" x14ac:dyDescent="0.25">
      <c r="M577" s="26"/>
      <c r="N577" s="26"/>
    </row>
    <row r="578" spans="13:14" x14ac:dyDescent="0.25">
      <c r="M578" s="26"/>
      <c r="N578" s="26"/>
    </row>
    <row r="579" spans="13:14" x14ac:dyDescent="0.25">
      <c r="M579" s="26"/>
      <c r="N579" s="26"/>
    </row>
    <row r="580" spans="13:14" x14ac:dyDescent="0.25">
      <c r="M580" s="26"/>
      <c r="N580" s="26"/>
    </row>
    <row r="581" spans="13:14" x14ac:dyDescent="0.25">
      <c r="M581" s="26"/>
      <c r="N581" s="26"/>
    </row>
    <row r="582" spans="13:14" x14ac:dyDescent="0.25">
      <c r="M582" s="26"/>
      <c r="N582" s="26"/>
    </row>
    <row r="583" spans="13:14" x14ac:dyDescent="0.25">
      <c r="M583" s="26"/>
      <c r="N583" s="26"/>
    </row>
    <row r="584" spans="13:14" x14ac:dyDescent="0.25">
      <c r="M584" s="26"/>
      <c r="N584" s="26"/>
    </row>
    <row r="585" spans="13:14" x14ac:dyDescent="0.25">
      <c r="M585" s="26"/>
      <c r="N585" s="26"/>
    </row>
    <row r="586" spans="13:14" x14ac:dyDescent="0.25">
      <c r="M586" s="26"/>
      <c r="N586" s="26"/>
    </row>
    <row r="587" spans="13:14" x14ac:dyDescent="0.25">
      <c r="M587" s="26"/>
      <c r="N587" s="26"/>
    </row>
    <row r="588" spans="13:14" x14ac:dyDescent="0.25">
      <c r="M588" s="26"/>
      <c r="N588" s="26"/>
    </row>
    <row r="589" spans="13:14" x14ac:dyDescent="0.25">
      <c r="M589" s="26"/>
      <c r="N589" s="26"/>
    </row>
    <row r="590" spans="13:14" x14ac:dyDescent="0.25">
      <c r="M590" s="26"/>
      <c r="N590" s="26"/>
    </row>
    <row r="591" spans="13:14" x14ac:dyDescent="0.25">
      <c r="M591" s="26"/>
      <c r="N591" s="26"/>
    </row>
    <row r="592" spans="13:14" x14ac:dyDescent="0.25">
      <c r="M592" s="26"/>
      <c r="N592" s="26"/>
    </row>
    <row r="593" spans="13:14" x14ac:dyDescent="0.25">
      <c r="M593" s="26"/>
      <c r="N593" s="26"/>
    </row>
    <row r="594" spans="13:14" x14ac:dyDescent="0.25">
      <c r="M594" s="26"/>
      <c r="N594" s="26"/>
    </row>
    <row r="595" spans="13:14" x14ac:dyDescent="0.25">
      <c r="M595" s="26"/>
      <c r="N595" s="26"/>
    </row>
    <row r="596" spans="13:14" x14ac:dyDescent="0.25">
      <c r="M596" s="26"/>
      <c r="N596" s="26"/>
    </row>
    <row r="597" spans="13:14" x14ac:dyDescent="0.25">
      <c r="M597" s="26"/>
      <c r="N597" s="26"/>
    </row>
    <row r="598" spans="13:14" x14ac:dyDescent="0.25">
      <c r="M598" s="26"/>
      <c r="N598" s="26"/>
    </row>
    <row r="599" spans="13:14" x14ac:dyDescent="0.25">
      <c r="M599" s="26"/>
      <c r="N599" s="26"/>
    </row>
    <row r="600" spans="13:14" x14ac:dyDescent="0.25">
      <c r="M600" s="26"/>
      <c r="N600" s="26"/>
    </row>
    <row r="601" spans="13:14" x14ac:dyDescent="0.25">
      <c r="M601" s="26"/>
      <c r="N601" s="26"/>
    </row>
    <row r="602" spans="13:14" x14ac:dyDescent="0.25">
      <c r="M602" s="26"/>
      <c r="N602" s="26"/>
    </row>
    <row r="603" spans="13:14" x14ac:dyDescent="0.25">
      <c r="M603" s="26"/>
      <c r="N603" s="26"/>
    </row>
    <row r="604" spans="13:14" x14ac:dyDescent="0.25">
      <c r="M604" s="26"/>
      <c r="N604" s="26"/>
    </row>
    <row r="605" spans="13:14" x14ac:dyDescent="0.25">
      <c r="M605" s="26"/>
      <c r="N605" s="26"/>
    </row>
    <row r="606" spans="13:14" x14ac:dyDescent="0.25">
      <c r="M606" s="26"/>
      <c r="N606" s="26"/>
    </row>
    <row r="607" spans="13:14" x14ac:dyDescent="0.25">
      <c r="M607" s="26"/>
      <c r="N607" s="26"/>
    </row>
    <row r="608" spans="13:14" x14ac:dyDescent="0.25">
      <c r="M608" s="26"/>
      <c r="N608" s="26"/>
    </row>
    <row r="609" spans="13:14" x14ac:dyDescent="0.25">
      <c r="M609" s="26"/>
      <c r="N609" s="26"/>
    </row>
    <row r="610" spans="13:14" x14ac:dyDescent="0.25">
      <c r="M610" s="26"/>
      <c r="N610" s="26"/>
    </row>
    <row r="611" spans="13:14" x14ac:dyDescent="0.25">
      <c r="M611" s="26"/>
      <c r="N611" s="26"/>
    </row>
    <row r="612" spans="13:14" x14ac:dyDescent="0.25">
      <c r="M612" s="26"/>
      <c r="N612" s="26"/>
    </row>
    <row r="613" spans="13:14" x14ac:dyDescent="0.25">
      <c r="M613" s="26"/>
      <c r="N613" s="26"/>
    </row>
    <row r="614" spans="13:14" x14ac:dyDescent="0.25">
      <c r="M614" s="26"/>
      <c r="N614" s="26"/>
    </row>
    <row r="615" spans="13:14" x14ac:dyDescent="0.25">
      <c r="M615" s="26"/>
      <c r="N615" s="26"/>
    </row>
    <row r="616" spans="13:14" x14ac:dyDescent="0.25">
      <c r="M616" s="26"/>
      <c r="N616" s="26"/>
    </row>
    <row r="617" spans="13:14" x14ac:dyDescent="0.25">
      <c r="M617" s="26"/>
      <c r="N617" s="26"/>
    </row>
    <row r="618" spans="13:14" x14ac:dyDescent="0.25">
      <c r="M618" s="26"/>
      <c r="N618" s="26"/>
    </row>
    <row r="619" spans="13:14" x14ac:dyDescent="0.25">
      <c r="M619" s="26"/>
      <c r="N619" s="26"/>
    </row>
    <row r="620" spans="13:14" x14ac:dyDescent="0.25">
      <c r="M620" s="26"/>
      <c r="N620" s="26"/>
    </row>
    <row r="621" spans="13:14" x14ac:dyDescent="0.25">
      <c r="M621" s="26"/>
      <c r="N621" s="26"/>
    </row>
    <row r="622" spans="13:14" x14ac:dyDescent="0.25">
      <c r="M622" s="26"/>
      <c r="N622" s="26"/>
    </row>
    <row r="623" spans="13:14" x14ac:dyDescent="0.25">
      <c r="M623" s="26"/>
      <c r="N623" s="26"/>
    </row>
    <row r="624" spans="13:14" x14ac:dyDescent="0.25">
      <c r="M624" s="26"/>
      <c r="N624" s="26"/>
    </row>
    <row r="625" spans="13:14" x14ac:dyDescent="0.25">
      <c r="M625" s="26"/>
      <c r="N625" s="26"/>
    </row>
    <row r="626" spans="13:14" x14ac:dyDescent="0.25">
      <c r="M626" s="26"/>
      <c r="N626" s="26"/>
    </row>
    <row r="627" spans="13:14" x14ac:dyDescent="0.25">
      <c r="M627" s="26"/>
      <c r="N627" s="26"/>
    </row>
    <row r="628" spans="13:14" x14ac:dyDescent="0.25">
      <c r="M628" s="26"/>
      <c r="N628" s="26"/>
    </row>
    <row r="629" spans="13:14" x14ac:dyDescent="0.25">
      <c r="M629" s="26"/>
      <c r="N629" s="26"/>
    </row>
    <row r="630" spans="13:14" x14ac:dyDescent="0.25">
      <c r="M630" s="26"/>
      <c r="N630" s="26"/>
    </row>
    <row r="631" spans="13:14" x14ac:dyDescent="0.25">
      <c r="M631" s="26"/>
      <c r="N631" s="26"/>
    </row>
    <row r="632" spans="13:14" x14ac:dyDescent="0.25">
      <c r="M632" s="26"/>
      <c r="N632" s="26"/>
    </row>
    <row r="633" spans="13:14" x14ac:dyDescent="0.25">
      <c r="M633" s="26"/>
      <c r="N633" s="26"/>
    </row>
    <row r="634" spans="13:14" x14ac:dyDescent="0.25">
      <c r="M634" s="26"/>
      <c r="N634" s="26"/>
    </row>
    <row r="635" spans="13:14" x14ac:dyDescent="0.25">
      <c r="M635" s="26"/>
      <c r="N635" s="26"/>
    </row>
    <row r="636" spans="13:14" x14ac:dyDescent="0.25">
      <c r="M636" s="26"/>
      <c r="N636" s="26"/>
    </row>
    <row r="637" spans="13:14" x14ac:dyDescent="0.25">
      <c r="M637" s="26"/>
      <c r="N637" s="26"/>
    </row>
    <row r="638" spans="13:14" x14ac:dyDescent="0.25">
      <c r="M638" s="26"/>
      <c r="N638" s="26"/>
    </row>
    <row r="639" spans="13:14" x14ac:dyDescent="0.25">
      <c r="M639" s="26"/>
      <c r="N639" s="26"/>
    </row>
    <row r="640" spans="13:14" x14ac:dyDescent="0.25">
      <c r="M640" s="26"/>
      <c r="N640" s="26"/>
    </row>
    <row r="641" spans="13:14" x14ac:dyDescent="0.25">
      <c r="M641" s="26"/>
      <c r="N641" s="26"/>
    </row>
    <row r="642" spans="13:14" x14ac:dyDescent="0.25">
      <c r="M642" s="26"/>
      <c r="N642" s="26"/>
    </row>
    <row r="643" spans="13:14" x14ac:dyDescent="0.25">
      <c r="M643" s="26"/>
      <c r="N643" s="26"/>
    </row>
    <row r="644" spans="13:14" x14ac:dyDescent="0.25">
      <c r="M644" s="26"/>
      <c r="N644" s="26"/>
    </row>
    <row r="645" spans="13:14" x14ac:dyDescent="0.25">
      <c r="M645" s="26"/>
      <c r="N645" s="26"/>
    </row>
    <row r="646" spans="13:14" x14ac:dyDescent="0.25">
      <c r="M646" s="26"/>
      <c r="N646" s="26"/>
    </row>
    <row r="647" spans="13:14" x14ac:dyDescent="0.25">
      <c r="M647" s="26"/>
      <c r="N647" s="26"/>
    </row>
    <row r="648" spans="13:14" x14ac:dyDescent="0.25">
      <c r="M648" s="26"/>
      <c r="N648" s="26"/>
    </row>
    <row r="649" spans="13:14" x14ac:dyDescent="0.25">
      <c r="M649" s="26"/>
      <c r="N649" s="26"/>
    </row>
    <row r="650" spans="13:14" x14ac:dyDescent="0.25">
      <c r="M650" s="26"/>
      <c r="N650" s="26"/>
    </row>
    <row r="651" spans="13:14" x14ac:dyDescent="0.25">
      <c r="M651" s="26"/>
      <c r="N651" s="26"/>
    </row>
    <row r="652" spans="13:14" x14ac:dyDescent="0.25">
      <c r="M652" s="26"/>
      <c r="N652" s="26"/>
    </row>
    <row r="653" spans="13:14" x14ac:dyDescent="0.25">
      <c r="M653" s="26"/>
      <c r="N653" s="26"/>
    </row>
    <row r="654" spans="13:14" x14ac:dyDescent="0.25">
      <c r="M654" s="26"/>
      <c r="N654" s="26"/>
    </row>
    <row r="655" spans="13:14" x14ac:dyDescent="0.25">
      <c r="M655" s="26"/>
      <c r="N655" s="26"/>
    </row>
    <row r="656" spans="13:14" x14ac:dyDescent="0.25">
      <c r="M656" s="26"/>
      <c r="N656" s="26"/>
    </row>
    <row r="657" spans="13:14" x14ac:dyDescent="0.25">
      <c r="M657" s="26"/>
      <c r="N657" s="26"/>
    </row>
    <row r="658" spans="13:14" x14ac:dyDescent="0.25">
      <c r="M658" s="26"/>
      <c r="N658" s="26"/>
    </row>
    <row r="659" spans="13:14" x14ac:dyDescent="0.25">
      <c r="M659" s="26"/>
      <c r="N659" s="26"/>
    </row>
    <row r="660" spans="13:14" x14ac:dyDescent="0.25">
      <c r="M660" s="26"/>
      <c r="N660" s="26"/>
    </row>
    <row r="661" spans="13:14" x14ac:dyDescent="0.25">
      <c r="M661" s="26"/>
      <c r="N661" s="26"/>
    </row>
    <row r="662" spans="13:14" x14ac:dyDescent="0.25">
      <c r="M662" s="26"/>
      <c r="N662" s="26"/>
    </row>
    <row r="663" spans="13:14" x14ac:dyDescent="0.25">
      <c r="M663" s="26"/>
      <c r="N663" s="26"/>
    </row>
    <row r="664" spans="13:14" x14ac:dyDescent="0.25">
      <c r="M664" s="26"/>
      <c r="N664" s="26"/>
    </row>
    <row r="665" spans="13:14" x14ac:dyDescent="0.25">
      <c r="M665" s="26"/>
      <c r="N665" s="26"/>
    </row>
    <row r="666" spans="13:14" x14ac:dyDescent="0.25">
      <c r="M666" s="26"/>
      <c r="N666" s="26"/>
    </row>
    <row r="667" spans="13:14" x14ac:dyDescent="0.25">
      <c r="M667" s="26"/>
      <c r="N667" s="26"/>
    </row>
    <row r="668" spans="13:14" x14ac:dyDescent="0.25">
      <c r="M668" s="26"/>
      <c r="N668" s="26"/>
    </row>
    <row r="669" spans="13:14" x14ac:dyDescent="0.25">
      <c r="M669" s="26"/>
      <c r="N669" s="26"/>
    </row>
    <row r="670" spans="13:14" x14ac:dyDescent="0.25">
      <c r="M670" s="26"/>
      <c r="N670" s="26"/>
    </row>
    <row r="671" spans="13:14" x14ac:dyDescent="0.25">
      <c r="M671" s="26"/>
      <c r="N671" s="26"/>
    </row>
    <row r="672" spans="13:14" x14ac:dyDescent="0.25">
      <c r="M672" s="26"/>
      <c r="N672" s="26"/>
    </row>
    <row r="673" spans="13:14" x14ac:dyDescent="0.25">
      <c r="M673" s="26"/>
      <c r="N673" s="26"/>
    </row>
    <row r="674" spans="13:14" x14ac:dyDescent="0.25">
      <c r="M674" s="26"/>
      <c r="N674" s="26"/>
    </row>
    <row r="675" spans="13:14" x14ac:dyDescent="0.25">
      <c r="M675" s="26"/>
      <c r="N675" s="26"/>
    </row>
    <row r="676" spans="13:14" x14ac:dyDescent="0.25">
      <c r="M676" s="26"/>
      <c r="N676" s="26"/>
    </row>
    <row r="677" spans="13:14" x14ac:dyDescent="0.25">
      <c r="M677" s="26"/>
      <c r="N677" s="26"/>
    </row>
    <row r="678" spans="13:14" x14ac:dyDescent="0.25">
      <c r="M678" s="26"/>
      <c r="N678" s="26"/>
    </row>
    <row r="679" spans="13:14" x14ac:dyDescent="0.25">
      <c r="M679" s="26"/>
      <c r="N679" s="26"/>
    </row>
    <row r="680" spans="13:14" x14ac:dyDescent="0.25">
      <c r="M680" s="26"/>
      <c r="N680" s="26"/>
    </row>
    <row r="681" spans="13:14" x14ac:dyDescent="0.25">
      <c r="M681" s="26"/>
      <c r="N681" s="26"/>
    </row>
    <row r="682" spans="13:14" x14ac:dyDescent="0.25">
      <c r="M682" s="26"/>
      <c r="N682" s="26"/>
    </row>
    <row r="683" spans="13:14" x14ac:dyDescent="0.25">
      <c r="M683" s="26"/>
      <c r="N683" s="26"/>
    </row>
    <row r="684" spans="13:14" x14ac:dyDescent="0.25">
      <c r="M684" s="26"/>
      <c r="N684" s="26"/>
    </row>
    <row r="685" spans="13:14" x14ac:dyDescent="0.25">
      <c r="M685" s="26"/>
      <c r="N685" s="26"/>
    </row>
    <row r="686" spans="13:14" x14ac:dyDescent="0.25">
      <c r="M686" s="26"/>
      <c r="N686" s="26"/>
    </row>
    <row r="687" spans="13:14" x14ac:dyDescent="0.25">
      <c r="M687" s="26"/>
      <c r="N687" s="26"/>
    </row>
    <row r="688" spans="13:14" x14ac:dyDescent="0.25">
      <c r="M688" s="26"/>
      <c r="N688" s="26"/>
    </row>
    <row r="689" spans="13:14" x14ac:dyDescent="0.25">
      <c r="M689" s="26"/>
      <c r="N689" s="26"/>
    </row>
    <row r="690" spans="13:14" x14ac:dyDescent="0.25">
      <c r="M690" s="26"/>
      <c r="N690" s="26"/>
    </row>
    <row r="691" spans="13:14" x14ac:dyDescent="0.25">
      <c r="M691" s="26"/>
      <c r="N691" s="26"/>
    </row>
    <row r="692" spans="13:14" x14ac:dyDescent="0.25">
      <c r="M692" s="26"/>
      <c r="N692" s="26"/>
    </row>
    <row r="693" spans="13:14" x14ac:dyDescent="0.25">
      <c r="M693" s="26"/>
      <c r="N693" s="26"/>
    </row>
    <row r="694" spans="13:14" x14ac:dyDescent="0.25">
      <c r="M694" s="26"/>
      <c r="N694" s="26"/>
    </row>
    <row r="695" spans="13:14" x14ac:dyDescent="0.25">
      <c r="M695" s="26"/>
      <c r="N695" s="26"/>
    </row>
    <row r="696" spans="13:14" x14ac:dyDescent="0.25">
      <c r="M696" s="26"/>
      <c r="N696" s="26"/>
    </row>
    <row r="697" spans="13:14" x14ac:dyDescent="0.25">
      <c r="M697" s="26"/>
      <c r="N697" s="26"/>
    </row>
    <row r="698" spans="13:14" x14ac:dyDescent="0.25">
      <c r="M698" s="26"/>
      <c r="N698" s="26"/>
    </row>
    <row r="699" spans="13:14" x14ac:dyDescent="0.25">
      <c r="M699" s="26"/>
      <c r="N699" s="26"/>
    </row>
    <row r="700" spans="13:14" x14ac:dyDescent="0.25">
      <c r="M700" s="26"/>
      <c r="N700" s="26"/>
    </row>
    <row r="701" spans="13:14" x14ac:dyDescent="0.25">
      <c r="M701" s="26"/>
      <c r="N701" s="26"/>
    </row>
    <row r="702" spans="13:14" x14ac:dyDescent="0.25">
      <c r="M702" s="26"/>
      <c r="N702" s="26"/>
    </row>
    <row r="703" spans="13:14" x14ac:dyDescent="0.25">
      <c r="M703" s="26"/>
      <c r="N703" s="26"/>
    </row>
    <row r="704" spans="13:14" x14ac:dyDescent="0.25">
      <c r="M704" s="26"/>
      <c r="N704" s="26"/>
    </row>
    <row r="705" spans="13:14" x14ac:dyDescent="0.25">
      <c r="M705" s="26"/>
      <c r="N705" s="26"/>
    </row>
    <row r="706" spans="13:14" x14ac:dyDescent="0.25">
      <c r="M706" s="26"/>
      <c r="N706" s="26"/>
    </row>
    <row r="707" spans="13:14" x14ac:dyDescent="0.25">
      <c r="M707" s="26"/>
      <c r="N707" s="26"/>
    </row>
    <row r="708" spans="13:14" x14ac:dyDescent="0.25">
      <c r="M708" s="26"/>
      <c r="N708" s="26"/>
    </row>
    <row r="709" spans="13:14" x14ac:dyDescent="0.25">
      <c r="M709" s="26"/>
      <c r="N709" s="26"/>
    </row>
    <row r="710" spans="13:14" x14ac:dyDescent="0.25">
      <c r="M710" s="26"/>
      <c r="N710" s="26"/>
    </row>
    <row r="711" spans="13:14" x14ac:dyDescent="0.25">
      <c r="M711" s="26"/>
      <c r="N711" s="26"/>
    </row>
    <row r="712" spans="13:14" x14ac:dyDescent="0.25">
      <c r="M712" s="26"/>
      <c r="N712" s="26"/>
    </row>
    <row r="713" spans="13:14" x14ac:dyDescent="0.25">
      <c r="M713" s="26"/>
      <c r="N713" s="26"/>
    </row>
    <row r="714" spans="13:14" x14ac:dyDescent="0.25">
      <c r="M714" s="26"/>
      <c r="N714" s="26"/>
    </row>
    <row r="715" spans="13:14" x14ac:dyDescent="0.25">
      <c r="M715" s="26"/>
      <c r="N715" s="26"/>
    </row>
    <row r="716" spans="13:14" x14ac:dyDescent="0.25">
      <c r="M716" s="26"/>
      <c r="N716" s="26"/>
    </row>
    <row r="717" spans="13:14" x14ac:dyDescent="0.25">
      <c r="M717" s="26"/>
      <c r="N717" s="26"/>
    </row>
    <row r="718" spans="13:14" x14ac:dyDescent="0.25">
      <c r="M718" s="26"/>
      <c r="N718" s="26"/>
    </row>
    <row r="719" spans="13:14" x14ac:dyDescent="0.25">
      <c r="M719" s="26"/>
      <c r="N719" s="26"/>
    </row>
    <row r="720" spans="13:14" x14ac:dyDescent="0.25">
      <c r="M720" s="26"/>
      <c r="N720" s="26"/>
    </row>
    <row r="721" spans="13:14" x14ac:dyDescent="0.25">
      <c r="M721" s="26"/>
      <c r="N721" s="26"/>
    </row>
    <row r="722" spans="13:14" x14ac:dyDescent="0.25">
      <c r="M722" s="26"/>
      <c r="N722" s="26"/>
    </row>
    <row r="723" spans="13:14" x14ac:dyDescent="0.25">
      <c r="M723" s="26"/>
      <c r="N723" s="26"/>
    </row>
    <row r="724" spans="13:14" x14ac:dyDescent="0.25">
      <c r="M724" s="26"/>
      <c r="N724" s="26"/>
    </row>
    <row r="725" spans="13:14" x14ac:dyDescent="0.25">
      <c r="M725" s="26"/>
      <c r="N725" s="26"/>
    </row>
    <row r="726" spans="13:14" x14ac:dyDescent="0.25">
      <c r="M726" s="26"/>
      <c r="N726" s="26"/>
    </row>
    <row r="727" spans="13:14" x14ac:dyDescent="0.25">
      <c r="M727" s="26"/>
      <c r="N727" s="26"/>
    </row>
    <row r="728" spans="13:14" x14ac:dyDescent="0.25">
      <c r="M728" s="26"/>
      <c r="N728" s="26"/>
    </row>
    <row r="729" spans="13:14" x14ac:dyDescent="0.25">
      <c r="M729" s="26"/>
      <c r="N729" s="26"/>
    </row>
    <row r="730" spans="13:14" x14ac:dyDescent="0.25">
      <c r="M730" s="26"/>
      <c r="N730" s="26"/>
    </row>
    <row r="731" spans="13:14" x14ac:dyDescent="0.25">
      <c r="M731" s="26"/>
      <c r="N731" s="26"/>
    </row>
    <row r="732" spans="13:14" x14ac:dyDescent="0.25">
      <c r="M732" s="26"/>
      <c r="N732" s="26"/>
    </row>
    <row r="733" spans="13:14" x14ac:dyDescent="0.25">
      <c r="M733" s="26"/>
      <c r="N733" s="26"/>
    </row>
    <row r="734" spans="13:14" x14ac:dyDescent="0.25">
      <c r="M734" s="26"/>
      <c r="N734" s="26"/>
    </row>
    <row r="735" spans="13:14" x14ac:dyDescent="0.25">
      <c r="M735" s="26"/>
      <c r="N735" s="26"/>
    </row>
    <row r="736" spans="13:14" x14ac:dyDescent="0.25">
      <c r="M736" s="26"/>
      <c r="N736" s="26"/>
    </row>
    <row r="737" spans="13:14" x14ac:dyDescent="0.25">
      <c r="M737" s="26"/>
      <c r="N737" s="26"/>
    </row>
    <row r="738" spans="13:14" x14ac:dyDescent="0.25">
      <c r="M738" s="26"/>
      <c r="N738" s="26"/>
    </row>
    <row r="739" spans="13:14" x14ac:dyDescent="0.25">
      <c r="M739" s="26"/>
      <c r="N739" s="26"/>
    </row>
    <row r="740" spans="13:14" x14ac:dyDescent="0.25">
      <c r="M740" s="26"/>
      <c r="N740" s="26"/>
    </row>
    <row r="741" spans="13:14" x14ac:dyDescent="0.25">
      <c r="M741" s="26"/>
      <c r="N741" s="26"/>
    </row>
    <row r="742" spans="13:14" x14ac:dyDescent="0.25">
      <c r="M742" s="26"/>
      <c r="N742" s="26"/>
    </row>
    <row r="743" spans="13:14" x14ac:dyDescent="0.25">
      <c r="M743" s="26"/>
      <c r="N743" s="26"/>
    </row>
    <row r="744" spans="13:14" x14ac:dyDescent="0.25">
      <c r="M744" s="26"/>
      <c r="N744" s="26"/>
    </row>
    <row r="745" spans="13:14" x14ac:dyDescent="0.25">
      <c r="M745" s="26"/>
      <c r="N745" s="26"/>
    </row>
    <row r="746" spans="13:14" x14ac:dyDescent="0.25">
      <c r="M746" s="26"/>
      <c r="N746" s="26"/>
    </row>
    <row r="747" spans="13:14" x14ac:dyDescent="0.25">
      <c r="M747" s="26"/>
      <c r="N747" s="26"/>
    </row>
    <row r="748" spans="13:14" x14ac:dyDescent="0.25">
      <c r="M748" s="26"/>
      <c r="N748" s="26"/>
    </row>
    <row r="749" spans="13:14" x14ac:dyDescent="0.25">
      <c r="M749" s="26"/>
      <c r="N749" s="26"/>
    </row>
    <row r="750" spans="13:14" x14ac:dyDescent="0.25">
      <c r="M750" s="26"/>
      <c r="N750" s="26"/>
    </row>
    <row r="751" spans="13:14" x14ac:dyDescent="0.25">
      <c r="M751" s="26"/>
      <c r="N751" s="26"/>
    </row>
    <row r="752" spans="13:14" x14ac:dyDescent="0.25">
      <c r="M752" s="26"/>
      <c r="N752" s="26"/>
    </row>
    <row r="753" spans="13:14" x14ac:dyDescent="0.25">
      <c r="M753" s="26"/>
      <c r="N753" s="26"/>
    </row>
    <row r="754" spans="13:14" x14ac:dyDescent="0.25">
      <c r="M754" s="26"/>
      <c r="N754" s="26"/>
    </row>
    <row r="755" spans="13:14" x14ac:dyDescent="0.25">
      <c r="M755" s="26"/>
      <c r="N755" s="26"/>
    </row>
    <row r="756" spans="13:14" x14ac:dyDescent="0.25">
      <c r="M756" s="26"/>
      <c r="N756" s="26"/>
    </row>
    <row r="757" spans="13:14" x14ac:dyDescent="0.25">
      <c r="M757" s="26"/>
      <c r="N757" s="26"/>
    </row>
    <row r="758" spans="13:14" x14ac:dyDescent="0.25">
      <c r="M758" s="26"/>
      <c r="N758" s="26"/>
    </row>
    <row r="759" spans="13:14" x14ac:dyDescent="0.25">
      <c r="M759" s="26"/>
      <c r="N759" s="26"/>
    </row>
    <row r="760" spans="13:14" x14ac:dyDescent="0.25">
      <c r="M760" s="26"/>
      <c r="N760" s="26"/>
    </row>
    <row r="761" spans="13:14" x14ac:dyDescent="0.25">
      <c r="M761" s="26"/>
      <c r="N761" s="26"/>
    </row>
    <row r="762" spans="13:14" x14ac:dyDescent="0.25">
      <c r="M762" s="26"/>
      <c r="N762" s="26"/>
    </row>
    <row r="763" spans="13:14" x14ac:dyDescent="0.25">
      <c r="M763" s="26"/>
      <c r="N763" s="26"/>
    </row>
    <row r="764" spans="13:14" x14ac:dyDescent="0.25">
      <c r="M764" s="26"/>
      <c r="N764" s="26"/>
    </row>
    <row r="765" spans="13:14" x14ac:dyDescent="0.25">
      <c r="M765" s="26"/>
      <c r="N765" s="26"/>
    </row>
    <row r="766" spans="13:14" x14ac:dyDescent="0.25">
      <c r="M766" s="26"/>
      <c r="N766" s="26"/>
    </row>
    <row r="767" spans="13:14" x14ac:dyDescent="0.25">
      <c r="M767" s="26"/>
      <c r="N767" s="26"/>
    </row>
    <row r="768" spans="13:14" x14ac:dyDescent="0.25">
      <c r="M768" s="26"/>
      <c r="N768" s="26"/>
    </row>
    <row r="769" spans="13:14" x14ac:dyDescent="0.25">
      <c r="M769" s="26"/>
      <c r="N769" s="26"/>
    </row>
    <row r="770" spans="13:14" x14ac:dyDescent="0.25">
      <c r="M770" s="26"/>
      <c r="N770" s="26"/>
    </row>
    <row r="771" spans="13:14" x14ac:dyDescent="0.25">
      <c r="M771" s="26"/>
      <c r="N771" s="26"/>
    </row>
    <row r="772" spans="13:14" x14ac:dyDescent="0.25">
      <c r="M772" s="26"/>
      <c r="N772" s="26"/>
    </row>
    <row r="773" spans="13:14" x14ac:dyDescent="0.25">
      <c r="M773" s="26"/>
      <c r="N773" s="26"/>
    </row>
    <row r="774" spans="13:14" x14ac:dyDescent="0.25">
      <c r="M774" s="26"/>
      <c r="N774" s="26"/>
    </row>
    <row r="775" spans="13:14" x14ac:dyDescent="0.25">
      <c r="M775" s="26"/>
      <c r="N775" s="26"/>
    </row>
    <row r="776" spans="13:14" x14ac:dyDescent="0.25">
      <c r="M776" s="26"/>
      <c r="N776" s="26"/>
    </row>
    <row r="777" spans="13:14" x14ac:dyDescent="0.25">
      <c r="M777" s="26"/>
      <c r="N777" s="26"/>
    </row>
    <row r="778" spans="13:14" x14ac:dyDescent="0.25">
      <c r="M778" s="26"/>
      <c r="N778" s="26"/>
    </row>
    <row r="779" spans="13:14" x14ac:dyDescent="0.25">
      <c r="M779" s="26"/>
      <c r="N779" s="26"/>
    </row>
    <row r="780" spans="13:14" x14ac:dyDescent="0.25">
      <c r="M780" s="26"/>
      <c r="N780" s="26"/>
    </row>
    <row r="781" spans="13:14" x14ac:dyDescent="0.25">
      <c r="M781" s="26"/>
      <c r="N781" s="26"/>
    </row>
    <row r="782" spans="13:14" x14ac:dyDescent="0.25">
      <c r="M782" s="26"/>
      <c r="N782" s="26"/>
    </row>
    <row r="783" spans="13:14" x14ac:dyDescent="0.25">
      <c r="M783" s="26"/>
      <c r="N783" s="26"/>
    </row>
    <row r="784" spans="13:14" x14ac:dyDescent="0.25">
      <c r="M784" s="26"/>
      <c r="N784" s="26"/>
    </row>
    <row r="785" spans="13:14" x14ac:dyDescent="0.25">
      <c r="M785" s="26"/>
      <c r="N785" s="26"/>
    </row>
    <row r="786" spans="13:14" x14ac:dyDescent="0.25">
      <c r="M786" s="26"/>
      <c r="N786" s="26"/>
    </row>
    <row r="787" spans="13:14" x14ac:dyDescent="0.25">
      <c r="M787" s="26"/>
      <c r="N787" s="26"/>
    </row>
    <row r="788" spans="13:14" x14ac:dyDescent="0.25">
      <c r="M788" s="26"/>
      <c r="N788" s="26"/>
    </row>
    <row r="789" spans="13:14" x14ac:dyDescent="0.25">
      <c r="M789" s="26"/>
      <c r="N789" s="26"/>
    </row>
    <row r="790" spans="13:14" x14ac:dyDescent="0.25">
      <c r="M790" s="26"/>
      <c r="N790" s="26"/>
    </row>
    <row r="791" spans="13:14" x14ac:dyDescent="0.25">
      <c r="M791" s="26"/>
      <c r="N791" s="26"/>
    </row>
    <row r="792" spans="13:14" x14ac:dyDescent="0.25">
      <c r="M792" s="26"/>
      <c r="N792" s="26"/>
    </row>
    <row r="793" spans="13:14" x14ac:dyDescent="0.25">
      <c r="M793" s="26"/>
      <c r="N793" s="26"/>
    </row>
    <row r="794" spans="13:14" x14ac:dyDescent="0.25">
      <c r="M794" s="26"/>
      <c r="N794" s="26"/>
    </row>
    <row r="795" spans="13:14" x14ac:dyDescent="0.25">
      <c r="M795" s="26"/>
      <c r="N795" s="26"/>
    </row>
    <row r="796" spans="13:14" x14ac:dyDescent="0.25">
      <c r="M796" s="26"/>
      <c r="N796" s="26"/>
    </row>
    <row r="797" spans="13:14" x14ac:dyDescent="0.25">
      <c r="M797" s="26"/>
      <c r="N797" s="26"/>
    </row>
    <row r="798" spans="13:14" x14ac:dyDescent="0.25">
      <c r="M798" s="26"/>
      <c r="N798" s="26"/>
    </row>
    <row r="799" spans="13:14" x14ac:dyDescent="0.25">
      <c r="M799" s="26"/>
      <c r="N799" s="26"/>
    </row>
    <row r="800" spans="13:14" x14ac:dyDescent="0.25">
      <c r="M800" s="26"/>
      <c r="N800" s="26"/>
    </row>
    <row r="801" spans="13:14" x14ac:dyDescent="0.25">
      <c r="M801" s="26"/>
      <c r="N801" s="26"/>
    </row>
    <row r="802" spans="13:14" x14ac:dyDescent="0.25">
      <c r="M802" s="26"/>
      <c r="N802" s="26"/>
    </row>
    <row r="803" spans="13:14" x14ac:dyDescent="0.25">
      <c r="M803" s="26"/>
      <c r="N803" s="26"/>
    </row>
    <row r="804" spans="13:14" x14ac:dyDescent="0.25">
      <c r="M804" s="26"/>
      <c r="N804" s="26"/>
    </row>
    <row r="805" spans="13:14" x14ac:dyDescent="0.25">
      <c r="M805" s="26"/>
      <c r="N805" s="26"/>
    </row>
    <row r="806" spans="13:14" x14ac:dyDescent="0.25">
      <c r="M806" s="26"/>
      <c r="N806" s="26"/>
    </row>
    <row r="807" spans="13:14" x14ac:dyDescent="0.25">
      <c r="M807" s="26"/>
      <c r="N807" s="26"/>
    </row>
    <row r="808" spans="13:14" x14ac:dyDescent="0.25">
      <c r="M808" s="26"/>
      <c r="N808" s="26"/>
    </row>
    <row r="809" spans="13:14" x14ac:dyDescent="0.25">
      <c r="M809" s="26"/>
      <c r="N809" s="26"/>
    </row>
    <row r="810" spans="13:14" x14ac:dyDescent="0.25">
      <c r="M810" s="26"/>
      <c r="N810" s="26"/>
    </row>
    <row r="811" spans="13:14" x14ac:dyDescent="0.25">
      <c r="M811" s="26"/>
      <c r="N811" s="26"/>
    </row>
    <row r="812" spans="13:14" x14ac:dyDescent="0.25">
      <c r="M812" s="26"/>
      <c r="N812" s="26"/>
    </row>
    <row r="813" spans="13:14" x14ac:dyDescent="0.25">
      <c r="M813" s="26"/>
      <c r="N813" s="26"/>
    </row>
    <row r="814" spans="13:14" x14ac:dyDescent="0.25">
      <c r="M814" s="26"/>
      <c r="N814" s="26"/>
    </row>
    <row r="815" spans="13:14" x14ac:dyDescent="0.25">
      <c r="M815" s="26"/>
      <c r="N815" s="26"/>
    </row>
    <row r="816" spans="13:14" x14ac:dyDescent="0.25">
      <c r="M816" s="26"/>
      <c r="N816" s="26"/>
    </row>
    <row r="817" spans="13:14" x14ac:dyDescent="0.25">
      <c r="M817" s="26"/>
      <c r="N817" s="26"/>
    </row>
    <row r="818" spans="13:14" x14ac:dyDescent="0.25">
      <c r="M818" s="26"/>
      <c r="N818" s="26"/>
    </row>
    <row r="819" spans="13:14" x14ac:dyDescent="0.25">
      <c r="M819" s="26"/>
      <c r="N819" s="26"/>
    </row>
    <row r="820" spans="13:14" x14ac:dyDescent="0.25">
      <c r="M820" s="26"/>
      <c r="N820" s="26"/>
    </row>
    <row r="821" spans="13:14" x14ac:dyDescent="0.25">
      <c r="M821" s="26"/>
      <c r="N821" s="26"/>
    </row>
    <row r="822" spans="13:14" x14ac:dyDescent="0.25">
      <c r="M822" s="26"/>
      <c r="N822" s="26"/>
    </row>
    <row r="823" spans="13:14" x14ac:dyDescent="0.25">
      <c r="M823" s="26"/>
      <c r="N823" s="26"/>
    </row>
    <row r="824" spans="13:14" x14ac:dyDescent="0.25">
      <c r="M824" s="26"/>
      <c r="N824" s="26"/>
    </row>
    <row r="825" spans="13:14" x14ac:dyDescent="0.25">
      <c r="M825" s="26"/>
      <c r="N825" s="26"/>
    </row>
    <row r="826" spans="13:14" x14ac:dyDescent="0.25">
      <c r="M826" s="26"/>
      <c r="N826" s="26"/>
    </row>
    <row r="827" spans="13:14" x14ac:dyDescent="0.25">
      <c r="M827" s="26"/>
      <c r="N827" s="26"/>
    </row>
    <row r="828" spans="13:14" x14ac:dyDescent="0.25">
      <c r="M828" s="26"/>
      <c r="N828" s="26"/>
    </row>
    <row r="829" spans="13:14" x14ac:dyDescent="0.25">
      <c r="M829" s="26"/>
      <c r="N829" s="26"/>
    </row>
    <row r="830" spans="13:14" x14ac:dyDescent="0.25">
      <c r="M830" s="26"/>
      <c r="N830" s="26"/>
    </row>
    <row r="831" spans="13:14" x14ac:dyDescent="0.25">
      <c r="M831" s="26"/>
      <c r="N831" s="26"/>
    </row>
    <row r="832" spans="13:14" x14ac:dyDescent="0.25">
      <c r="M832" s="26"/>
      <c r="N832" s="26"/>
    </row>
    <row r="833" spans="13:14" x14ac:dyDescent="0.25">
      <c r="M833" s="26"/>
      <c r="N833" s="26"/>
    </row>
    <row r="834" spans="13:14" x14ac:dyDescent="0.25">
      <c r="M834" s="26"/>
      <c r="N834" s="26"/>
    </row>
    <row r="835" spans="13:14" x14ac:dyDescent="0.25">
      <c r="M835" s="26"/>
      <c r="N835" s="26"/>
    </row>
    <row r="836" spans="13:14" x14ac:dyDescent="0.25">
      <c r="M836" s="26"/>
      <c r="N836" s="26"/>
    </row>
    <row r="837" spans="13:14" x14ac:dyDescent="0.25">
      <c r="M837" s="26"/>
      <c r="N837" s="26"/>
    </row>
    <row r="838" spans="13:14" x14ac:dyDescent="0.25">
      <c r="M838" s="26"/>
      <c r="N838" s="26"/>
    </row>
    <row r="839" spans="13:14" x14ac:dyDescent="0.25">
      <c r="M839" s="26"/>
      <c r="N839" s="26"/>
    </row>
    <row r="840" spans="13:14" x14ac:dyDescent="0.25">
      <c r="M840" s="26"/>
      <c r="N840" s="26"/>
    </row>
    <row r="841" spans="13:14" x14ac:dyDescent="0.25">
      <c r="M841" s="26"/>
      <c r="N841" s="26"/>
    </row>
    <row r="842" spans="13:14" x14ac:dyDescent="0.25">
      <c r="M842" s="26"/>
      <c r="N842" s="26"/>
    </row>
    <row r="843" spans="13:14" x14ac:dyDescent="0.25">
      <c r="M843" s="26"/>
      <c r="N843" s="26"/>
    </row>
    <row r="844" spans="13:14" x14ac:dyDescent="0.25">
      <c r="M844" s="26"/>
      <c r="N844" s="26"/>
    </row>
    <row r="845" spans="13:14" x14ac:dyDescent="0.25">
      <c r="M845" s="26"/>
      <c r="N845" s="26"/>
    </row>
    <row r="846" spans="13:14" x14ac:dyDescent="0.25">
      <c r="M846" s="26"/>
      <c r="N846" s="26"/>
    </row>
    <row r="847" spans="13:14" x14ac:dyDescent="0.25">
      <c r="M847" s="26"/>
      <c r="N847" s="26"/>
    </row>
    <row r="848" spans="13:14" x14ac:dyDescent="0.25">
      <c r="M848" s="26"/>
      <c r="N848" s="26"/>
    </row>
    <row r="849" spans="13:14" x14ac:dyDescent="0.25">
      <c r="M849" s="26"/>
      <c r="N849" s="26"/>
    </row>
    <row r="850" spans="13:14" x14ac:dyDescent="0.25">
      <c r="M850" s="26"/>
      <c r="N850" s="26"/>
    </row>
    <row r="851" spans="13:14" x14ac:dyDescent="0.25">
      <c r="M851" s="26"/>
      <c r="N851" s="26"/>
    </row>
    <row r="852" spans="13:14" x14ac:dyDescent="0.25">
      <c r="M852" s="26"/>
      <c r="N852" s="26"/>
    </row>
    <row r="853" spans="13:14" x14ac:dyDescent="0.25">
      <c r="M853" s="26"/>
      <c r="N853" s="26"/>
    </row>
    <row r="854" spans="13:14" x14ac:dyDescent="0.25">
      <c r="M854" s="26"/>
      <c r="N854" s="26"/>
    </row>
    <row r="855" spans="13:14" x14ac:dyDescent="0.25">
      <c r="M855" s="26"/>
      <c r="N855" s="26"/>
    </row>
    <row r="856" spans="13:14" x14ac:dyDescent="0.25">
      <c r="M856" s="26"/>
      <c r="N856" s="26"/>
    </row>
    <row r="857" spans="13:14" x14ac:dyDescent="0.25">
      <c r="M857" s="26"/>
      <c r="N857" s="26"/>
    </row>
    <row r="858" spans="13:14" x14ac:dyDescent="0.25">
      <c r="M858" s="26"/>
      <c r="N858" s="26"/>
    </row>
    <row r="859" spans="13:14" x14ac:dyDescent="0.25">
      <c r="M859" s="26"/>
      <c r="N859" s="26"/>
    </row>
    <row r="860" spans="13:14" x14ac:dyDescent="0.25">
      <c r="M860" s="26"/>
      <c r="N860" s="26"/>
    </row>
    <row r="861" spans="13:14" x14ac:dyDescent="0.25">
      <c r="M861" s="26"/>
      <c r="N861" s="26"/>
    </row>
    <row r="862" spans="13:14" x14ac:dyDescent="0.25">
      <c r="M862" s="26"/>
      <c r="N862" s="26"/>
    </row>
    <row r="863" spans="13:14" x14ac:dyDescent="0.25">
      <c r="M863" s="26"/>
      <c r="N863" s="26"/>
    </row>
    <row r="864" spans="13:14" x14ac:dyDescent="0.25">
      <c r="M864" s="26"/>
      <c r="N864" s="26"/>
    </row>
    <row r="865" spans="13:14" x14ac:dyDescent="0.25">
      <c r="M865" s="26"/>
      <c r="N865" s="26"/>
    </row>
    <row r="866" spans="13:14" x14ac:dyDescent="0.25">
      <c r="M866" s="26"/>
      <c r="N866" s="26"/>
    </row>
    <row r="867" spans="13:14" x14ac:dyDescent="0.25">
      <c r="M867" s="26"/>
      <c r="N867" s="26"/>
    </row>
    <row r="868" spans="13:14" x14ac:dyDescent="0.25">
      <c r="M868" s="26"/>
      <c r="N868" s="26"/>
    </row>
    <row r="869" spans="13:14" x14ac:dyDescent="0.25">
      <c r="M869" s="26"/>
      <c r="N869" s="26"/>
    </row>
    <row r="870" spans="13:14" x14ac:dyDescent="0.25">
      <c r="M870" s="26"/>
      <c r="N870" s="26"/>
    </row>
    <row r="871" spans="13:14" x14ac:dyDescent="0.25">
      <c r="M871" s="26"/>
      <c r="N871" s="26"/>
    </row>
    <row r="872" spans="13:14" x14ac:dyDescent="0.25">
      <c r="M872" s="26"/>
      <c r="N872" s="26"/>
    </row>
    <row r="873" spans="13:14" x14ac:dyDescent="0.25">
      <c r="M873" s="26"/>
      <c r="N873" s="26"/>
    </row>
    <row r="874" spans="13:14" x14ac:dyDescent="0.25">
      <c r="M874" s="26"/>
      <c r="N874" s="26"/>
    </row>
    <row r="875" spans="13:14" x14ac:dyDescent="0.25">
      <c r="M875" s="26"/>
      <c r="N875" s="26"/>
    </row>
    <row r="876" spans="13:14" x14ac:dyDescent="0.25">
      <c r="M876" s="26"/>
      <c r="N876" s="26"/>
    </row>
    <row r="877" spans="13:14" x14ac:dyDescent="0.25">
      <c r="M877" s="26"/>
      <c r="N877" s="26"/>
    </row>
    <row r="878" spans="13:14" x14ac:dyDescent="0.25">
      <c r="M878" s="26"/>
      <c r="N878" s="26"/>
    </row>
    <row r="879" spans="13:14" x14ac:dyDescent="0.25">
      <c r="M879" s="26"/>
      <c r="N879" s="26"/>
    </row>
    <row r="880" spans="13:14" x14ac:dyDescent="0.25">
      <c r="M880" s="26"/>
      <c r="N880" s="26"/>
    </row>
    <row r="881" spans="13:14" x14ac:dyDescent="0.25">
      <c r="M881" s="26"/>
      <c r="N881" s="26"/>
    </row>
    <row r="882" spans="13:14" x14ac:dyDescent="0.25">
      <c r="M882" s="26"/>
      <c r="N882" s="26"/>
    </row>
    <row r="883" spans="13:14" x14ac:dyDescent="0.25">
      <c r="M883" s="26"/>
      <c r="N883" s="26"/>
    </row>
    <row r="884" spans="13:14" x14ac:dyDescent="0.25">
      <c r="M884" s="26"/>
      <c r="N884" s="26"/>
    </row>
    <row r="885" spans="13:14" x14ac:dyDescent="0.25">
      <c r="M885" s="26"/>
      <c r="N885" s="26"/>
    </row>
    <row r="886" spans="13:14" x14ac:dyDescent="0.25">
      <c r="M886" s="26"/>
      <c r="N886" s="26"/>
    </row>
    <row r="887" spans="13:14" x14ac:dyDescent="0.25">
      <c r="M887" s="26"/>
      <c r="N887" s="26"/>
    </row>
    <row r="888" spans="13:14" x14ac:dyDescent="0.25">
      <c r="M888" s="26"/>
      <c r="N888" s="26"/>
    </row>
  </sheetData>
  <mergeCells count="6">
    <mergeCell ref="D73:G76"/>
    <mergeCell ref="D99:G129"/>
    <mergeCell ref="D132:G142"/>
    <mergeCell ref="D90:G96"/>
    <mergeCell ref="D84:G87"/>
    <mergeCell ref="D79:G8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ACD6A9E046054E953ED363F8512D12" ma:contentTypeVersion="1" ma:contentTypeDescription="Create a new document." ma:contentTypeScope="" ma:versionID="525436d28007b033476592cc9a51e450">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92916E-E499-4DD6-B185-8C6CA0B5C94D}"/>
</file>

<file path=customXml/itemProps2.xml><?xml version="1.0" encoding="utf-8"?>
<ds:datastoreItem xmlns:ds="http://schemas.openxmlformats.org/officeDocument/2006/customXml" ds:itemID="{417A6DFE-C64A-4711-9FF7-4C63F15D06D2}"/>
</file>

<file path=customXml/itemProps3.xml><?xml version="1.0" encoding="utf-8"?>
<ds:datastoreItem xmlns:ds="http://schemas.openxmlformats.org/officeDocument/2006/customXml" ds:itemID="{382431CF-83BF-4A5A-B0B5-7D7C22E2D884}"/>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SSP APD AAA Branches</vt:lpstr>
      <vt:lpstr>CW Branches</vt:lpstr>
      <vt:lpstr>ZIPs &amp; FIPs</vt:lpstr>
      <vt:lpstr>SSP APD AAA DB Code</vt:lpstr>
      <vt:lpstr>Sheet1</vt:lpstr>
      <vt:lpstr>CW DB Code</vt:lpstr>
      <vt:lpstr>ZIPs &amp; FIPs DB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ODHS Zip Matrix</dc:title>
  <dc:creator>Monroe-Loop Michael E</dc:creator>
  <cp:lastModifiedBy>Sarah Tinker (she/her)</cp:lastModifiedBy>
  <dcterms:created xsi:type="dcterms:W3CDTF">2020-07-07T19:37:53Z</dcterms:created>
  <dcterms:modified xsi:type="dcterms:W3CDTF">2025-12-09T00:59:57Z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2023-10-17T18:33:24Z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11dda09a-0651-45f7-b68b-9c831e228c26</vt:lpwstr>
  </property>
  <property fmtid="{D5CDD505-2E9C-101B-9397-08002B2CF9AE}" pid="8" name="MSIP_Label_ebdd6eeb-0dd0-4927-947e-a759f08fcf55_ContentBits">
    <vt:lpwstr>0</vt:lpwstr>
  </property>
  <property fmtid="{D5CDD505-2E9C-101B-9397-08002B2CF9AE}" pid="9" name="ContentTypeId">
    <vt:lpwstr>0x010100DEACD6A9E046054E953ED363F8512D12</vt:lpwstr>
  </property>
</Properties>
</file>