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R:\Economist Team\BCAs\INFRA 2022\I-205\"/>
    </mc:Choice>
  </mc:AlternateContent>
  <bookViews>
    <workbookView xWindow="-15" yWindow="-15" windowWidth="19410" windowHeight="9180"/>
  </bookViews>
  <sheets>
    <sheet name="PV Summary 7%" sheetId="2" r:id="rId1"/>
    <sheet name="7% Discounting" sheetId="21" r:id="rId2"/>
    <sheet name="Matrix" sheetId="63" r:id="rId3"/>
    <sheet name="Inputs Worksheet" sheetId="20" r:id="rId4"/>
    <sheet name="Cost_4" sheetId="26" r:id="rId5"/>
    <sheet name="VHD Savings" sheetId="56" r:id="rId6"/>
    <sheet name="Modeled Travel Times" sheetId="62" r:id="rId7"/>
    <sheet name="Traffic Count Data" sheetId="64" r:id="rId8"/>
  </sheets>
  <externalReferences>
    <externalReference r:id="rId9"/>
  </externalReferences>
  <definedNames>
    <definedName name="_Toc74912370" localSheetId="6">'Modeled Travel Times'!$C$56</definedName>
    <definedName name="_Toc75174211" localSheetId="6">'Modeled Travel Times'!$C$56</definedName>
    <definedName name="Crash1">[1]Printable!#REF!</definedName>
    <definedName name="_xlnm.Print_Area" localSheetId="4">Cost_4!#REF!</definedName>
    <definedName name="_xlnm.Print_Area" localSheetId="3">'Inputs Worksheet'!$A$1:$AC$41</definedName>
  </definedNames>
  <calcPr calcId="162913"/>
</workbook>
</file>

<file path=xl/calcChain.xml><?xml version="1.0" encoding="utf-8"?>
<calcChain xmlns="http://schemas.openxmlformats.org/spreadsheetml/2006/main">
  <c r="G46" i="56" l="1"/>
  <c r="H46" i="56"/>
  <c r="I46" i="56"/>
  <c r="J46" i="56"/>
  <c r="K46" i="56"/>
  <c r="L46" i="56"/>
  <c r="M46" i="56"/>
  <c r="N46" i="56"/>
  <c r="O46" i="56"/>
  <c r="P46" i="56"/>
  <c r="Q46" i="56"/>
  <c r="R46" i="56"/>
  <c r="S46" i="56"/>
  <c r="T46" i="56"/>
  <c r="U46" i="56"/>
  <c r="V46" i="56"/>
  <c r="W46" i="56"/>
  <c r="X46" i="56"/>
  <c r="Y46" i="56"/>
  <c r="G47" i="56"/>
  <c r="H47" i="56"/>
  <c r="I47" i="56"/>
  <c r="J47" i="56"/>
  <c r="K47" i="56"/>
  <c r="L47" i="56"/>
  <c r="M47" i="56"/>
  <c r="N47" i="56"/>
  <c r="O47" i="56"/>
  <c r="P47" i="56"/>
  <c r="Q47" i="56"/>
  <c r="R47" i="56"/>
  <c r="S47" i="56"/>
  <c r="T47" i="56"/>
  <c r="U47" i="56"/>
  <c r="V47" i="56"/>
  <c r="W47" i="56"/>
  <c r="X47" i="56"/>
  <c r="Y47" i="56"/>
  <c r="G48" i="56"/>
  <c r="H48" i="56"/>
  <c r="I48" i="56"/>
  <c r="J48" i="56"/>
  <c r="K48" i="56"/>
  <c r="L48" i="56"/>
  <c r="M48" i="56"/>
  <c r="N48" i="56"/>
  <c r="O48" i="56"/>
  <c r="P48" i="56"/>
  <c r="Q48" i="56"/>
  <c r="R48" i="56"/>
  <c r="S48" i="56"/>
  <c r="T48" i="56"/>
  <c r="U48" i="56"/>
  <c r="V48" i="56"/>
  <c r="W48" i="56"/>
  <c r="X48" i="56"/>
  <c r="Y48" i="56"/>
  <c r="G49" i="56"/>
  <c r="H49" i="56"/>
  <c r="I49" i="56"/>
  <c r="J49" i="56"/>
  <c r="K49" i="56"/>
  <c r="L49" i="56"/>
  <c r="M49" i="56"/>
  <c r="N49" i="56"/>
  <c r="O49" i="56"/>
  <c r="P49" i="56"/>
  <c r="Q49" i="56"/>
  <c r="R49" i="56"/>
  <c r="S49" i="56"/>
  <c r="T49" i="56"/>
  <c r="U49" i="56"/>
  <c r="V49" i="56"/>
  <c r="W49" i="56"/>
  <c r="X49" i="56"/>
  <c r="Y49" i="56"/>
  <c r="F49" i="56"/>
  <c r="F48" i="56"/>
  <c r="F47" i="56"/>
  <c r="F46" i="56"/>
  <c r="AT10" i="56"/>
  <c r="AT11" i="56"/>
  <c r="AT12" i="56"/>
  <c r="AT13" i="56"/>
  <c r="AT5" i="56"/>
  <c r="X41" i="56" s="1"/>
  <c r="AT6" i="56"/>
  <c r="X42" i="56" s="1"/>
  <c r="AT7" i="56"/>
  <c r="AT8" i="56"/>
  <c r="X43" i="56" l="1"/>
  <c r="X44" i="56"/>
  <c r="C8" i="20"/>
  <c r="B8" i="20"/>
  <c r="E4" i="26"/>
  <c r="E3" i="26"/>
  <c r="D4" i="26"/>
  <c r="D3" i="26"/>
  <c r="A20" i="20"/>
  <c r="A22" i="20"/>
  <c r="L68" i="20"/>
  <c r="K68" i="20"/>
  <c r="J68" i="20"/>
  <c r="I68" i="20"/>
  <c r="H68" i="20"/>
  <c r="Y9" i="62"/>
  <c r="Z9" i="62"/>
  <c r="Y10" i="62"/>
  <c r="Z10" i="62"/>
  <c r="X9" i="62"/>
  <c r="X10" i="62"/>
  <c r="W10" i="62"/>
  <c r="W9" i="62"/>
  <c r="V9" i="62"/>
  <c r="V10" i="62"/>
  <c r="U10" i="62"/>
  <c r="U9" i="62"/>
  <c r="X14" i="56"/>
  <c r="F89" i="56"/>
  <c r="F101" i="56" s="1"/>
  <c r="F90" i="56"/>
  <c r="C90" i="56" s="1"/>
  <c r="Y90" i="56" s="1"/>
  <c r="Y102" i="56" s="1"/>
  <c r="F91" i="56"/>
  <c r="F103" i="56" s="1"/>
  <c r="F88" i="56"/>
  <c r="F100" i="56" s="1"/>
  <c r="F84" i="56"/>
  <c r="F96" i="56" s="1"/>
  <c r="F85" i="56"/>
  <c r="F97" i="56" s="1"/>
  <c r="F86" i="56"/>
  <c r="C86" i="56" s="1"/>
  <c r="F83" i="56"/>
  <c r="F95" i="56" s="1"/>
  <c r="X25" i="56"/>
  <c r="F13" i="56"/>
  <c r="AB13" i="56" s="1"/>
  <c r="F12" i="56"/>
  <c r="F11" i="56"/>
  <c r="F10" i="56"/>
  <c r="F5" i="56"/>
  <c r="AB5" i="56" s="1"/>
  <c r="F6" i="56"/>
  <c r="F7" i="56"/>
  <c r="AB7" i="56" s="1"/>
  <c r="F8" i="56"/>
  <c r="X95" i="56"/>
  <c r="X96" i="56"/>
  <c r="X98" i="56"/>
  <c r="X100" i="56"/>
  <c r="X101" i="56"/>
  <c r="X103" i="56"/>
  <c r="B6" i="63"/>
  <c r="O12" i="62"/>
  <c r="R12" i="62" s="1"/>
  <c r="N12" i="62"/>
  <c r="Q12" i="62" s="1"/>
  <c r="I12" i="62"/>
  <c r="H12" i="62"/>
  <c r="O11" i="62"/>
  <c r="N11" i="62"/>
  <c r="Q11" i="62" s="1"/>
  <c r="I11" i="62"/>
  <c r="H11" i="62"/>
  <c r="O10" i="62"/>
  <c r="R10" i="62" s="1"/>
  <c r="N10" i="62"/>
  <c r="Q10" i="62" s="1"/>
  <c r="I10" i="62"/>
  <c r="H10" i="62"/>
  <c r="O9" i="62"/>
  <c r="N9" i="62"/>
  <c r="Q9" i="62" s="1"/>
  <c r="I9" i="62"/>
  <c r="H9" i="62"/>
  <c r="O8" i="62"/>
  <c r="R8" i="62" s="1"/>
  <c r="N8" i="62"/>
  <c r="Q8" i="62" s="1"/>
  <c r="I8" i="62"/>
  <c r="H8" i="62"/>
  <c r="O7" i="62"/>
  <c r="N7" i="62"/>
  <c r="Q7" i="62" s="1"/>
  <c r="I7" i="62"/>
  <c r="H7" i="62"/>
  <c r="BC109" i="64"/>
  <c r="BB109" i="64"/>
  <c r="AX109" i="64"/>
  <c r="AW109" i="64"/>
  <c r="V109" i="64"/>
  <c r="W109" i="64" s="1"/>
  <c r="BC108" i="64"/>
  <c r="BB108" i="64"/>
  <c r="AW108" i="64"/>
  <c r="AX108" i="64" s="1"/>
  <c r="W108" i="64"/>
  <c r="V108" i="64"/>
  <c r="BC107" i="64"/>
  <c r="BB107" i="64"/>
  <c r="AX107" i="64"/>
  <c r="AW107" i="64"/>
  <c r="V107" i="64"/>
  <c r="W107" i="64" s="1"/>
  <c r="BC106" i="64"/>
  <c r="BB106" i="64"/>
  <c r="AW106" i="64"/>
  <c r="AX106" i="64" s="1"/>
  <c r="W106" i="64"/>
  <c r="V106" i="64"/>
  <c r="BC105" i="64"/>
  <c r="BB105" i="64"/>
  <c r="AX105" i="64"/>
  <c r="AW105" i="64"/>
  <c r="V105" i="64"/>
  <c r="W105" i="64" s="1"/>
  <c r="BC104" i="64"/>
  <c r="BB104" i="64"/>
  <c r="AW104" i="64"/>
  <c r="AX104" i="64" s="1"/>
  <c r="W104" i="64"/>
  <c r="V104" i="64"/>
  <c r="BC103" i="64"/>
  <c r="BB103" i="64"/>
  <c r="AX103" i="64"/>
  <c r="AW103" i="64"/>
  <c r="V103" i="64"/>
  <c r="W103" i="64" s="1"/>
  <c r="BC102" i="64"/>
  <c r="BB102" i="64"/>
  <c r="AW102" i="64"/>
  <c r="AX102" i="64" s="1"/>
  <c r="W102" i="64"/>
  <c r="V102" i="64"/>
  <c r="BC101" i="64"/>
  <c r="BB101" i="64"/>
  <c r="AX101" i="64"/>
  <c r="AW101" i="64"/>
  <c r="V101" i="64"/>
  <c r="W101" i="64" s="1"/>
  <c r="BC100" i="64"/>
  <c r="BB100" i="64"/>
  <c r="AW100" i="64"/>
  <c r="AX100" i="64" s="1"/>
  <c r="W100" i="64"/>
  <c r="V100" i="64"/>
  <c r="BC99" i="64"/>
  <c r="BB99" i="64"/>
  <c r="AX99" i="64"/>
  <c r="AW99" i="64"/>
  <c r="V99" i="64"/>
  <c r="W99" i="64" s="1"/>
  <c r="BC98" i="64"/>
  <c r="BB98" i="64"/>
  <c r="AW98" i="64"/>
  <c r="AX98" i="64" s="1"/>
  <c r="W98" i="64"/>
  <c r="V98" i="64"/>
  <c r="BC97" i="64"/>
  <c r="BB97" i="64"/>
  <c r="AX97" i="64"/>
  <c r="AW97" i="64"/>
  <c r="V97" i="64"/>
  <c r="W97" i="64" s="1"/>
  <c r="BC96" i="64"/>
  <c r="BE96" i="64" s="1"/>
  <c r="BB96" i="64"/>
  <c r="AW96" i="64"/>
  <c r="AX96" i="64" s="1"/>
  <c r="W96" i="64"/>
  <c r="V96" i="64"/>
  <c r="BC95" i="64"/>
  <c r="BE95" i="64" s="1"/>
  <c r="BB95" i="64"/>
  <c r="AW95" i="64"/>
  <c r="AX95" i="64" s="1"/>
  <c r="V95" i="64"/>
  <c r="W95" i="64" s="1"/>
  <c r="BC94" i="64"/>
  <c r="BE94" i="64" s="1"/>
  <c r="BB94" i="64"/>
  <c r="AX94" i="64"/>
  <c r="AW94" i="64"/>
  <c r="V94" i="64"/>
  <c r="W94" i="64" s="1"/>
  <c r="BC93" i="64"/>
  <c r="BE93" i="64" s="1"/>
  <c r="BB93" i="64"/>
  <c r="AW93" i="64"/>
  <c r="AX93" i="64" s="1"/>
  <c r="V93" i="64"/>
  <c r="W93" i="64" s="1"/>
  <c r="BC92" i="64"/>
  <c r="BB92" i="64"/>
  <c r="AW92" i="64"/>
  <c r="AX92" i="64" s="1"/>
  <c r="V92" i="64"/>
  <c r="W92" i="64" s="1"/>
  <c r="BC91" i="64"/>
  <c r="BB91" i="64"/>
  <c r="AW91" i="64"/>
  <c r="AX91" i="64" s="1"/>
  <c r="V91" i="64"/>
  <c r="W91" i="64" s="1"/>
  <c r="BC90" i="64"/>
  <c r="BB90" i="64"/>
  <c r="AW90" i="64"/>
  <c r="AX90" i="64" s="1"/>
  <c r="V90" i="64"/>
  <c r="W90" i="64" s="1"/>
  <c r="BC89" i="64"/>
  <c r="BB89" i="64"/>
  <c r="AW89" i="64"/>
  <c r="AX89" i="64" s="1"/>
  <c r="V89" i="64"/>
  <c r="W89" i="64" s="1"/>
  <c r="BC88" i="64"/>
  <c r="BB88" i="64"/>
  <c r="AW88" i="64"/>
  <c r="AX88" i="64" s="1"/>
  <c r="V88" i="64"/>
  <c r="W88" i="64" s="1"/>
  <c r="BC87" i="64"/>
  <c r="BB87" i="64"/>
  <c r="AW87" i="64"/>
  <c r="AX87" i="64" s="1"/>
  <c r="V87" i="64"/>
  <c r="W87" i="64" s="1"/>
  <c r="BC86" i="64"/>
  <c r="BB86" i="64"/>
  <c r="AW86" i="64"/>
  <c r="AX86" i="64" s="1"/>
  <c r="V86" i="64"/>
  <c r="W86" i="64" s="1"/>
  <c r="BC85" i="64"/>
  <c r="BB85" i="64"/>
  <c r="AW85" i="64"/>
  <c r="AX85" i="64" s="1"/>
  <c r="V85" i="64"/>
  <c r="W85" i="64" s="1"/>
  <c r="BC84" i="64"/>
  <c r="BB84" i="64"/>
  <c r="AW84" i="64"/>
  <c r="AX84" i="64" s="1"/>
  <c r="V84" i="64"/>
  <c r="W84" i="64" s="1"/>
  <c r="BC83" i="64"/>
  <c r="BB83" i="64"/>
  <c r="AW83" i="64"/>
  <c r="AX83" i="64" s="1"/>
  <c r="V83" i="64"/>
  <c r="W83" i="64" s="1"/>
  <c r="BC82" i="64"/>
  <c r="BB82" i="64"/>
  <c r="AW82" i="64"/>
  <c r="AX82" i="64" s="1"/>
  <c r="V82" i="64"/>
  <c r="W82" i="64" s="1"/>
  <c r="BC81" i="64"/>
  <c r="BB81" i="64"/>
  <c r="AW81" i="64"/>
  <c r="AX81" i="64" s="1"/>
  <c r="V81" i="64"/>
  <c r="W81" i="64" s="1"/>
  <c r="BC80" i="64"/>
  <c r="BB80" i="64"/>
  <c r="AW80" i="64"/>
  <c r="AX80" i="64" s="1"/>
  <c r="V80" i="64"/>
  <c r="W80" i="64" s="1"/>
  <c r="BC79" i="64"/>
  <c r="BB79" i="64"/>
  <c r="AW79" i="64"/>
  <c r="AX79" i="64" s="1"/>
  <c r="V79" i="64"/>
  <c r="W79" i="64" s="1"/>
  <c r="BE78" i="64"/>
  <c r="BC78" i="64"/>
  <c r="BB78" i="64"/>
  <c r="AW78" i="64"/>
  <c r="AX78" i="64" s="1"/>
  <c r="V78" i="64"/>
  <c r="W78" i="64" s="1"/>
  <c r="BE77" i="64"/>
  <c r="BC77" i="64"/>
  <c r="BB77" i="64"/>
  <c r="AW77" i="64"/>
  <c r="AX77" i="64" s="1"/>
  <c r="W77" i="64"/>
  <c r="V77" i="64"/>
  <c r="BC76" i="64"/>
  <c r="BE76" i="64" s="1"/>
  <c r="BB76" i="64"/>
  <c r="AW76" i="64"/>
  <c r="AX76" i="64" s="1"/>
  <c r="W76" i="64"/>
  <c r="V76" i="64"/>
  <c r="BC75" i="64"/>
  <c r="BE75" i="64" s="1"/>
  <c r="BB75" i="64"/>
  <c r="AX75" i="64"/>
  <c r="AW75" i="64"/>
  <c r="V75" i="64"/>
  <c r="W75" i="64" s="1"/>
  <c r="BC74" i="64"/>
  <c r="BB74" i="64"/>
  <c r="AW74" i="64"/>
  <c r="AX74" i="64" s="1"/>
  <c r="V74" i="64"/>
  <c r="W74" i="64" s="1"/>
  <c r="BC73" i="64"/>
  <c r="BB73" i="64"/>
  <c r="AX73" i="64"/>
  <c r="AW73" i="64"/>
  <c r="V73" i="64"/>
  <c r="W73" i="64" s="1"/>
  <c r="BC72" i="64"/>
  <c r="BB72" i="64"/>
  <c r="AW72" i="64"/>
  <c r="AX72" i="64" s="1"/>
  <c r="V72" i="64"/>
  <c r="W72" i="64" s="1"/>
  <c r="BC71" i="64"/>
  <c r="BB71" i="64"/>
  <c r="AX71" i="64"/>
  <c r="AW71" i="64"/>
  <c r="V71" i="64"/>
  <c r="W71" i="64" s="1"/>
  <c r="BC70" i="64"/>
  <c r="BB70" i="64"/>
  <c r="AW70" i="64"/>
  <c r="AX70" i="64" s="1"/>
  <c r="V70" i="64"/>
  <c r="W70" i="64" s="1"/>
  <c r="BC69" i="64"/>
  <c r="BB69" i="64"/>
  <c r="AX69" i="64"/>
  <c r="AW69" i="64"/>
  <c r="V69" i="64"/>
  <c r="W69" i="64" s="1"/>
  <c r="BC68" i="64"/>
  <c r="BB68" i="64"/>
  <c r="AW68" i="64"/>
  <c r="AX68" i="64" s="1"/>
  <c r="V68" i="64"/>
  <c r="W68" i="64" s="1"/>
  <c r="BC67" i="64"/>
  <c r="BB67" i="64"/>
  <c r="AX67" i="64"/>
  <c r="AW67" i="64"/>
  <c r="V67" i="64"/>
  <c r="W67" i="64" s="1"/>
  <c r="BC66" i="64"/>
  <c r="BB66" i="64"/>
  <c r="AW66" i="64"/>
  <c r="AX66" i="64" s="1"/>
  <c r="V66" i="64"/>
  <c r="W66" i="64" s="1"/>
  <c r="BC65" i="64"/>
  <c r="BB65" i="64"/>
  <c r="AX65" i="64"/>
  <c r="AW65" i="64"/>
  <c r="V65" i="64"/>
  <c r="W65" i="64" s="1"/>
  <c r="BC64" i="64"/>
  <c r="BB64" i="64"/>
  <c r="AW64" i="64"/>
  <c r="AX64" i="64" s="1"/>
  <c r="V64" i="64"/>
  <c r="W64" i="64" s="1"/>
  <c r="BC63" i="64"/>
  <c r="BB63" i="64"/>
  <c r="AX63" i="64"/>
  <c r="AW63" i="64"/>
  <c r="V63" i="64"/>
  <c r="W63" i="64" s="1"/>
  <c r="BC62" i="64"/>
  <c r="BB62" i="64"/>
  <c r="AW62" i="64"/>
  <c r="AX62" i="64" s="1"/>
  <c r="V62" i="64"/>
  <c r="W62" i="64" s="1"/>
  <c r="BC61" i="64"/>
  <c r="BB61" i="64"/>
  <c r="AX61" i="64"/>
  <c r="AW61" i="64"/>
  <c r="V61" i="64"/>
  <c r="W61" i="64" s="1"/>
  <c r="BC54" i="64"/>
  <c r="BB54" i="64"/>
  <c r="AW54" i="64"/>
  <c r="AX54" i="64" s="1"/>
  <c r="V54" i="64"/>
  <c r="W54" i="64" s="1"/>
  <c r="BC53" i="64"/>
  <c r="BB53" i="64"/>
  <c r="AX53" i="64"/>
  <c r="AW53" i="64"/>
  <c r="V53" i="64"/>
  <c r="W53" i="64" s="1"/>
  <c r="BC52" i="64"/>
  <c r="BB52" i="64"/>
  <c r="AW52" i="64"/>
  <c r="AX52" i="64" s="1"/>
  <c r="V52" i="64"/>
  <c r="W52" i="64" s="1"/>
  <c r="BC51" i="64"/>
  <c r="BB51" i="64"/>
  <c r="AX51" i="64"/>
  <c r="AW51" i="64"/>
  <c r="V51" i="64"/>
  <c r="W51" i="64" s="1"/>
  <c r="BC50" i="64"/>
  <c r="BB50" i="64"/>
  <c r="AW50" i="64"/>
  <c r="AX50" i="64" s="1"/>
  <c r="V50" i="64"/>
  <c r="W50" i="64" s="1"/>
  <c r="BC49" i="64"/>
  <c r="BB49" i="64"/>
  <c r="AX49" i="64"/>
  <c r="AW49" i="64"/>
  <c r="V49" i="64"/>
  <c r="W49" i="64" s="1"/>
  <c r="BC48" i="64"/>
  <c r="BB48" i="64"/>
  <c r="AW48" i="64"/>
  <c r="AX48" i="64" s="1"/>
  <c r="V48" i="64"/>
  <c r="W48" i="64" s="1"/>
  <c r="BC47" i="64"/>
  <c r="BB47" i="64"/>
  <c r="AX47" i="64"/>
  <c r="AW47" i="64"/>
  <c r="V47" i="64"/>
  <c r="W47" i="64" s="1"/>
  <c r="BC46" i="64"/>
  <c r="BB46" i="64"/>
  <c r="AW46" i="64"/>
  <c r="AX46" i="64" s="1"/>
  <c r="V46" i="64"/>
  <c r="W46" i="64" s="1"/>
  <c r="BC45" i="64"/>
  <c r="BB45" i="64"/>
  <c r="AX45" i="64"/>
  <c r="AW45" i="64"/>
  <c r="V45" i="64"/>
  <c r="W45" i="64" s="1"/>
  <c r="BC44" i="64"/>
  <c r="BB44" i="64"/>
  <c r="AW44" i="64"/>
  <c r="AX44" i="64" s="1"/>
  <c r="V44" i="64"/>
  <c r="W44" i="64" s="1"/>
  <c r="BC43" i="64"/>
  <c r="BB43" i="64"/>
  <c r="AX43" i="64"/>
  <c r="AW43" i="64"/>
  <c r="V43" i="64"/>
  <c r="W43" i="64" s="1"/>
  <c r="BC42" i="64"/>
  <c r="BB42" i="64"/>
  <c r="AW42" i="64"/>
  <c r="AX42" i="64" s="1"/>
  <c r="V42" i="64"/>
  <c r="W42" i="64" s="1"/>
  <c r="BC41" i="64"/>
  <c r="BE41" i="64" s="1"/>
  <c r="BB41" i="64"/>
  <c r="AX41" i="64"/>
  <c r="AW41" i="64"/>
  <c r="V41" i="64"/>
  <c r="W41" i="64" s="1"/>
  <c r="BE40" i="64"/>
  <c r="BC40" i="64"/>
  <c r="BB40" i="64"/>
  <c r="AW40" i="64"/>
  <c r="AX40" i="64" s="1"/>
  <c r="V40" i="64"/>
  <c r="W40" i="64" s="1"/>
  <c r="BE39" i="64"/>
  <c r="BC39" i="64"/>
  <c r="BB39" i="64"/>
  <c r="AW39" i="64"/>
  <c r="AX39" i="64" s="1"/>
  <c r="W39" i="64"/>
  <c r="V39" i="64"/>
  <c r="BE38" i="64"/>
  <c r="BC38" i="64"/>
  <c r="BB38" i="64"/>
  <c r="AW38" i="64"/>
  <c r="AX38" i="64" s="1"/>
  <c r="W38" i="64"/>
  <c r="V38" i="64"/>
  <c r="BC37" i="64"/>
  <c r="BB37" i="64"/>
  <c r="AW37" i="64"/>
  <c r="AX37" i="64" s="1"/>
  <c r="V37" i="64"/>
  <c r="W37" i="64" s="1"/>
  <c r="BC36" i="64"/>
  <c r="BB36" i="64"/>
  <c r="AW36" i="64"/>
  <c r="AX36" i="64" s="1"/>
  <c r="W36" i="64"/>
  <c r="V36" i="64"/>
  <c r="BC35" i="64"/>
  <c r="BB35" i="64"/>
  <c r="AW35" i="64"/>
  <c r="AX35" i="64" s="1"/>
  <c r="V35" i="64"/>
  <c r="W35" i="64" s="1"/>
  <c r="BC34" i="64"/>
  <c r="BB34" i="64"/>
  <c r="AW34" i="64"/>
  <c r="AX34" i="64" s="1"/>
  <c r="W34" i="64"/>
  <c r="V34" i="64"/>
  <c r="BC33" i="64"/>
  <c r="BB33" i="64"/>
  <c r="AW33" i="64"/>
  <c r="AX33" i="64" s="1"/>
  <c r="V33" i="64"/>
  <c r="W33" i="64" s="1"/>
  <c r="BC32" i="64"/>
  <c r="BB32" i="64"/>
  <c r="AW32" i="64"/>
  <c r="AX32" i="64" s="1"/>
  <c r="W32" i="64"/>
  <c r="V32" i="64"/>
  <c r="BC31" i="64"/>
  <c r="BB31" i="64"/>
  <c r="AW31" i="64"/>
  <c r="AX31" i="64" s="1"/>
  <c r="V31" i="64"/>
  <c r="W31" i="64" s="1"/>
  <c r="BC30" i="64"/>
  <c r="BB30" i="64"/>
  <c r="AW30" i="64"/>
  <c r="AX30" i="64" s="1"/>
  <c r="W30" i="64"/>
  <c r="V30" i="64"/>
  <c r="BC29" i="64"/>
  <c r="BB29" i="64"/>
  <c r="AW29" i="64"/>
  <c r="AX29" i="64" s="1"/>
  <c r="V29" i="64"/>
  <c r="W29" i="64" s="1"/>
  <c r="BC28" i="64"/>
  <c r="BB28" i="64"/>
  <c r="AW28" i="64"/>
  <c r="AX28" i="64" s="1"/>
  <c r="W28" i="64"/>
  <c r="V28" i="64"/>
  <c r="BC27" i="64"/>
  <c r="BB27" i="64"/>
  <c r="AW27" i="64"/>
  <c r="AX27" i="64" s="1"/>
  <c r="V27" i="64"/>
  <c r="W27" i="64" s="1"/>
  <c r="BC26" i="64"/>
  <c r="BB26" i="64"/>
  <c r="AW26" i="64"/>
  <c r="AX26" i="64" s="1"/>
  <c r="W26" i="64"/>
  <c r="V26" i="64"/>
  <c r="BC25" i="64"/>
  <c r="BB25" i="64"/>
  <c r="AW25" i="64"/>
  <c r="AX25" i="64" s="1"/>
  <c r="V25" i="64"/>
  <c r="W25" i="64" s="1"/>
  <c r="BC24" i="64"/>
  <c r="BB24" i="64"/>
  <c r="AW24" i="64"/>
  <c r="AX24" i="64" s="1"/>
  <c r="W24" i="64"/>
  <c r="V24" i="64"/>
  <c r="BC23" i="64"/>
  <c r="BE23" i="64" s="1"/>
  <c r="BB23" i="64"/>
  <c r="AX23" i="64"/>
  <c r="AW23" i="64"/>
  <c r="W23" i="64"/>
  <c r="V23" i="64"/>
  <c r="BC22" i="64"/>
  <c r="BE22" i="64" s="1"/>
  <c r="BB22" i="64"/>
  <c r="AX22" i="64"/>
  <c r="AW22" i="64"/>
  <c r="V22" i="64"/>
  <c r="W22" i="64" s="1"/>
  <c r="BC21" i="64"/>
  <c r="BE21" i="64" s="1"/>
  <c r="BB21" i="64"/>
  <c r="AX21" i="64"/>
  <c r="AW21" i="64"/>
  <c r="V21" i="64"/>
  <c r="W21" i="64" s="1"/>
  <c r="BE20" i="64"/>
  <c r="BC20" i="64"/>
  <c r="BB20" i="64"/>
  <c r="AW20" i="64"/>
  <c r="AX20" i="64" s="1"/>
  <c r="V20" i="64"/>
  <c r="W20" i="64" s="1"/>
  <c r="BC19" i="64"/>
  <c r="BB19" i="64"/>
  <c r="AW19" i="64"/>
  <c r="AX19" i="64" s="1"/>
  <c r="V19" i="64"/>
  <c r="W19" i="64" s="1"/>
  <c r="BC18" i="64"/>
  <c r="BB18" i="64"/>
  <c r="AW18" i="64"/>
  <c r="AX18" i="64" s="1"/>
  <c r="V18" i="64"/>
  <c r="W18" i="64" s="1"/>
  <c r="BC17" i="64"/>
  <c r="BB17" i="64"/>
  <c r="AW17" i="64"/>
  <c r="AX17" i="64" s="1"/>
  <c r="V17" i="64"/>
  <c r="W17" i="64" s="1"/>
  <c r="BC16" i="64"/>
  <c r="BB16" i="64"/>
  <c r="AW16" i="64"/>
  <c r="AX16" i="64" s="1"/>
  <c r="V16" i="64"/>
  <c r="W16" i="64" s="1"/>
  <c r="BC15" i="64"/>
  <c r="BB15" i="64"/>
  <c r="AW15" i="64"/>
  <c r="AX15" i="64" s="1"/>
  <c r="V15" i="64"/>
  <c r="W15" i="64" s="1"/>
  <c r="BC14" i="64"/>
  <c r="BB14" i="64"/>
  <c r="AW14" i="64"/>
  <c r="AX14" i="64" s="1"/>
  <c r="V14" i="64"/>
  <c r="W14" i="64" s="1"/>
  <c r="BC13" i="64"/>
  <c r="BB13" i="64"/>
  <c r="AW13" i="64"/>
  <c r="AX13" i="64" s="1"/>
  <c r="V13" i="64"/>
  <c r="W13" i="64" s="1"/>
  <c r="BC12" i="64"/>
  <c r="BB12" i="64"/>
  <c r="AW12" i="64"/>
  <c r="AX12" i="64" s="1"/>
  <c r="V12" i="64"/>
  <c r="W12" i="64" s="1"/>
  <c r="BC11" i="64"/>
  <c r="BB11" i="64"/>
  <c r="AW11" i="64"/>
  <c r="AX11" i="64" s="1"/>
  <c r="V11" i="64"/>
  <c r="W11" i="64" s="1"/>
  <c r="BC10" i="64"/>
  <c r="BB10" i="64"/>
  <c r="AW10" i="64"/>
  <c r="AX10" i="64" s="1"/>
  <c r="V10" i="64"/>
  <c r="W10" i="64" s="1"/>
  <c r="BC9" i="64"/>
  <c r="BB9" i="64"/>
  <c r="AW9" i="64"/>
  <c r="AX9" i="64" s="1"/>
  <c r="V9" i="64"/>
  <c r="W9" i="64" s="1"/>
  <c r="BC8" i="64"/>
  <c r="BB8" i="64"/>
  <c r="AW8" i="64"/>
  <c r="AX8" i="64" s="1"/>
  <c r="V8" i="64"/>
  <c r="W8" i="64" s="1"/>
  <c r="BC7" i="64"/>
  <c r="BB7" i="64"/>
  <c r="AW7" i="64"/>
  <c r="AX7" i="64" s="1"/>
  <c r="V7" i="64"/>
  <c r="W7" i="64" s="1"/>
  <c r="BC6" i="64"/>
  <c r="BB6" i="64"/>
  <c r="AW6" i="64"/>
  <c r="AX6" i="64" s="1"/>
  <c r="V6" i="64"/>
  <c r="W6" i="64" s="1"/>
  <c r="C10" i="56" l="1"/>
  <c r="AB10" i="56"/>
  <c r="C6" i="56"/>
  <c r="AB6" i="56"/>
  <c r="AB11" i="56"/>
  <c r="AB12" i="56"/>
  <c r="F43" i="56" s="1"/>
  <c r="C8" i="56"/>
  <c r="AB8" i="56"/>
  <c r="X51" i="56"/>
  <c r="F14" i="56"/>
  <c r="C91" i="56"/>
  <c r="G91" i="56" s="1"/>
  <c r="H91" i="56" s="1"/>
  <c r="X23" i="56"/>
  <c r="C5" i="56"/>
  <c r="Y5" i="56" s="1"/>
  <c r="F24" i="56"/>
  <c r="G90" i="56"/>
  <c r="H90" i="56" s="1"/>
  <c r="F21" i="56"/>
  <c r="X21" i="56"/>
  <c r="X19" i="56"/>
  <c r="X26" i="56"/>
  <c r="X24" i="56"/>
  <c r="X20" i="56"/>
  <c r="X18" i="56"/>
  <c r="F20" i="56"/>
  <c r="Y86" i="56"/>
  <c r="Y98" i="56" s="1"/>
  <c r="G86" i="56"/>
  <c r="H86" i="56" s="1"/>
  <c r="C85" i="56"/>
  <c r="F18" i="56"/>
  <c r="C83" i="56"/>
  <c r="Y83" i="56" s="1"/>
  <c r="Y95" i="56" s="1"/>
  <c r="F25" i="56"/>
  <c r="G10" i="56"/>
  <c r="X106" i="56"/>
  <c r="Y8" i="56"/>
  <c r="G6" i="56"/>
  <c r="C11" i="56"/>
  <c r="Y11" i="56" s="1"/>
  <c r="F102" i="56"/>
  <c r="F105" i="56" s="1"/>
  <c r="F98" i="56"/>
  <c r="F106" i="56" s="1"/>
  <c r="C88" i="56"/>
  <c r="G88" i="56" s="1"/>
  <c r="F26" i="56"/>
  <c r="F23" i="56"/>
  <c r="F19" i="56"/>
  <c r="Y10" i="56"/>
  <c r="X97" i="56"/>
  <c r="C12" i="56"/>
  <c r="G12" i="56" s="1"/>
  <c r="C7" i="56"/>
  <c r="Y7" i="56" s="1"/>
  <c r="C89" i="56"/>
  <c r="G89" i="56" s="1"/>
  <c r="C84" i="56"/>
  <c r="Y84" i="56" s="1"/>
  <c r="Y96" i="56" s="1"/>
  <c r="G8" i="56"/>
  <c r="Y6" i="56"/>
  <c r="C13" i="56"/>
  <c r="Y13" i="56" s="1"/>
  <c r="X102" i="56"/>
  <c r="G5" i="56"/>
  <c r="R7" i="62"/>
  <c r="R11" i="62"/>
  <c r="R9" i="62"/>
  <c r="AH3" i="21"/>
  <c r="AE64" i="20"/>
  <c r="AE63" i="20"/>
  <c r="AE62" i="20"/>
  <c r="AE61" i="20"/>
  <c r="AE60" i="20"/>
  <c r="AE59" i="20"/>
  <c r="AW69" i="20"/>
  <c r="AX69" i="20" s="1"/>
  <c r="AY69" i="20" s="1"/>
  <c r="AZ69" i="20" s="1"/>
  <c r="BA69" i="20" s="1"/>
  <c r="BB69" i="20" s="1"/>
  <c r="BC69" i="20" s="1"/>
  <c r="BD69" i="20" s="1"/>
  <c r="BE69" i="20" s="1"/>
  <c r="BF69" i="20" s="1"/>
  <c r="BG69" i="20" s="1"/>
  <c r="BH69" i="20" s="1"/>
  <c r="BI69" i="20" s="1"/>
  <c r="BJ69" i="20" s="1"/>
  <c r="BK69" i="20" s="1"/>
  <c r="BL69" i="20" s="1"/>
  <c r="BM69" i="20" s="1"/>
  <c r="BN69" i="20" s="1"/>
  <c r="BO69" i="20" s="1"/>
  <c r="BP69" i="20" s="1"/>
  <c r="BQ69" i="20" s="1"/>
  <c r="BR69" i="20" s="1"/>
  <c r="R73" i="20"/>
  <c r="R72" i="20"/>
  <c r="R71" i="20"/>
  <c r="R70" i="20"/>
  <c r="R69" i="20"/>
  <c r="R68" i="20"/>
  <c r="P67" i="20"/>
  <c r="O41" i="20"/>
  <c r="N41" i="20"/>
  <c r="R41" i="20"/>
  <c r="N47" i="20"/>
  <c r="O57" i="20"/>
  <c r="Y24" i="56" l="1"/>
  <c r="G19" i="56"/>
  <c r="G25" i="56"/>
  <c r="AC12" i="56"/>
  <c r="Y20" i="56"/>
  <c r="G23" i="56"/>
  <c r="AC10" i="56"/>
  <c r="Y23" i="56"/>
  <c r="AU10" i="56"/>
  <c r="G102" i="56"/>
  <c r="F41" i="56"/>
  <c r="Y21" i="56"/>
  <c r="Y29" i="56" s="1"/>
  <c r="AU8" i="56"/>
  <c r="F44" i="56"/>
  <c r="F42" i="56"/>
  <c r="F51" i="56" s="1"/>
  <c r="Y26" i="56"/>
  <c r="Y18" i="56"/>
  <c r="AU5" i="56"/>
  <c r="G18" i="56"/>
  <c r="AC5" i="56"/>
  <c r="Y19" i="56"/>
  <c r="AU6" i="56"/>
  <c r="G21" i="56"/>
  <c r="AC8" i="56"/>
  <c r="G98" i="56"/>
  <c r="X29" i="56"/>
  <c r="X36" i="56" s="1"/>
  <c r="G103" i="56"/>
  <c r="Y91" i="56"/>
  <c r="Y103" i="56" s="1"/>
  <c r="G84" i="56"/>
  <c r="G96" i="56" s="1"/>
  <c r="G85" i="56"/>
  <c r="Y85" i="56"/>
  <c r="Y97" i="56" s="1"/>
  <c r="F28" i="56"/>
  <c r="G83" i="56"/>
  <c r="F29" i="56"/>
  <c r="F36" i="56" s="1"/>
  <c r="G13" i="56"/>
  <c r="G101" i="56"/>
  <c r="H89" i="56"/>
  <c r="H12" i="56"/>
  <c r="X28" i="56"/>
  <c r="H6" i="56"/>
  <c r="Y89" i="56"/>
  <c r="Y101" i="56" s="1"/>
  <c r="G100" i="56"/>
  <c r="H88" i="56"/>
  <c r="G11" i="56"/>
  <c r="I91" i="56"/>
  <c r="H103" i="56"/>
  <c r="I86" i="56"/>
  <c r="H98" i="56"/>
  <c r="G7" i="56"/>
  <c r="I90" i="56"/>
  <c r="H102" i="56"/>
  <c r="Y12" i="56"/>
  <c r="H5" i="56"/>
  <c r="X105" i="56"/>
  <c r="H8" i="56"/>
  <c r="H10" i="56"/>
  <c r="Y88" i="56"/>
  <c r="Y100" i="56" s="1"/>
  <c r="D58" i="20"/>
  <c r="D46" i="20"/>
  <c r="D44" i="20"/>
  <c r="D42" i="20"/>
  <c r="H60" i="20"/>
  <c r="B68" i="20"/>
  <c r="H45" i="26"/>
  <c r="G45" i="26"/>
  <c r="H46" i="26" s="1"/>
  <c r="H47" i="26" s="1"/>
  <c r="D60" i="21"/>
  <c r="E60" i="21"/>
  <c r="E48" i="26"/>
  <c r="E47" i="26"/>
  <c r="E46" i="26"/>
  <c r="J42" i="26"/>
  <c r="I42" i="26"/>
  <c r="H42" i="26"/>
  <c r="G42" i="26"/>
  <c r="F42" i="26"/>
  <c r="E42" i="26"/>
  <c r="D42" i="26"/>
  <c r="K41" i="26"/>
  <c r="K40" i="26"/>
  <c r="K39" i="26"/>
  <c r="K32" i="26"/>
  <c r="O29" i="26"/>
  <c r="K29" i="26"/>
  <c r="O28" i="26"/>
  <c r="K31" i="26" s="1"/>
  <c r="K28" i="26"/>
  <c r="O27" i="26"/>
  <c r="O30" i="26" s="1"/>
  <c r="K27" i="26"/>
  <c r="K26" i="26"/>
  <c r="K25" i="26"/>
  <c r="O24" i="26"/>
  <c r="K24" i="26"/>
  <c r="K23" i="26"/>
  <c r="C23" i="26"/>
  <c r="R21" i="26"/>
  <c r="F21" i="26"/>
  <c r="E21" i="26"/>
  <c r="D21" i="26"/>
  <c r="F20" i="26"/>
  <c r="D20" i="26"/>
  <c r="K19" i="26"/>
  <c r="C38" i="26" s="1"/>
  <c r="K38" i="26" s="1"/>
  <c r="F19" i="26"/>
  <c r="D19" i="26"/>
  <c r="K18" i="26"/>
  <c r="C37" i="26" s="1"/>
  <c r="R17" i="26"/>
  <c r="O17" i="26"/>
  <c r="R14" i="26"/>
  <c r="C4" i="26"/>
  <c r="F4" i="26" s="1"/>
  <c r="C3" i="26"/>
  <c r="F3" i="26" s="1"/>
  <c r="X34" i="56" l="1"/>
  <c r="H19" i="56"/>
  <c r="G20" i="56"/>
  <c r="AC7" i="56"/>
  <c r="G41" i="56" s="1"/>
  <c r="AU13" i="56"/>
  <c r="AU7" i="56"/>
  <c r="Y41" i="56" s="1"/>
  <c r="H25" i="56"/>
  <c r="AD12" i="56"/>
  <c r="G26" i="56"/>
  <c r="AC13" i="56"/>
  <c r="G24" i="56"/>
  <c r="AC11" i="56"/>
  <c r="AC6" i="56"/>
  <c r="Y14" i="56"/>
  <c r="C14" i="56" s="1"/>
  <c r="W42" i="20" s="1"/>
  <c r="I22" i="20" s="1"/>
  <c r="AU12" i="56"/>
  <c r="H21" i="56"/>
  <c r="AD8" i="56"/>
  <c r="AU11" i="56"/>
  <c r="Y42" i="56" s="1"/>
  <c r="H23" i="56"/>
  <c r="AD10" i="56"/>
  <c r="Y106" i="56"/>
  <c r="I20" i="20"/>
  <c r="I21" i="20"/>
  <c r="F35" i="56"/>
  <c r="F33" i="56"/>
  <c r="E5" i="21"/>
  <c r="Y105" i="56"/>
  <c r="F34" i="56"/>
  <c r="G14" i="56"/>
  <c r="H18" i="56"/>
  <c r="Y25" i="56"/>
  <c r="F56" i="56"/>
  <c r="G106" i="56"/>
  <c r="H84" i="56"/>
  <c r="I84" i="56" s="1"/>
  <c r="H85" i="56"/>
  <c r="G97" i="56"/>
  <c r="G95" i="56"/>
  <c r="H83" i="56"/>
  <c r="AD5" i="56" s="1"/>
  <c r="Y36" i="56"/>
  <c r="Y34" i="56"/>
  <c r="X33" i="56"/>
  <c r="X35" i="56"/>
  <c r="X56" i="56"/>
  <c r="H13" i="56"/>
  <c r="H11" i="56"/>
  <c r="J91" i="56"/>
  <c r="I103" i="56"/>
  <c r="I5" i="56"/>
  <c r="I12" i="56"/>
  <c r="I8" i="56"/>
  <c r="G28" i="56"/>
  <c r="H7" i="56"/>
  <c r="H101" i="56"/>
  <c r="I89" i="56"/>
  <c r="I10" i="56"/>
  <c r="I6" i="56"/>
  <c r="I88" i="56"/>
  <c r="H100" i="56"/>
  <c r="J86" i="56"/>
  <c r="I98" i="56"/>
  <c r="J90" i="56"/>
  <c r="I102" i="56"/>
  <c r="G46" i="26"/>
  <c r="G47" i="26" s="1"/>
  <c r="J46" i="26"/>
  <c r="J47" i="26" s="1"/>
  <c r="I46" i="26"/>
  <c r="I47" i="26" s="1"/>
  <c r="K37" i="26"/>
  <c r="K42" i="26" s="1"/>
  <c r="C42" i="26"/>
  <c r="K30" i="26"/>
  <c r="O31" i="26" s="1"/>
  <c r="P31" i="26" s="1"/>
  <c r="G29" i="56" l="1"/>
  <c r="G34" i="56" s="1"/>
  <c r="H41" i="56"/>
  <c r="H43" i="56"/>
  <c r="I21" i="56"/>
  <c r="AE8" i="56"/>
  <c r="Y44" i="56"/>
  <c r="Y43" i="56"/>
  <c r="Y51" i="56" s="1"/>
  <c r="I25" i="56"/>
  <c r="AE12" i="56"/>
  <c r="H24" i="56"/>
  <c r="AD11" i="56"/>
  <c r="G44" i="56"/>
  <c r="G42" i="56"/>
  <c r="G51" i="56" s="1"/>
  <c r="I23" i="56"/>
  <c r="AE10" i="56"/>
  <c r="I19" i="56"/>
  <c r="AE6" i="56"/>
  <c r="G43" i="56"/>
  <c r="AD6" i="56"/>
  <c r="H26" i="56"/>
  <c r="AD13" i="56"/>
  <c r="H20" i="56"/>
  <c r="H28" i="56" s="1"/>
  <c r="AD7" i="56"/>
  <c r="DX56" i="20"/>
  <c r="CM34" i="20"/>
  <c r="X57" i="56"/>
  <c r="AF5" i="21" s="1"/>
  <c r="CZ56" i="20"/>
  <c r="BO34" i="20"/>
  <c r="CH56" i="20"/>
  <c r="AW34" i="20"/>
  <c r="AK5" i="21" s="1"/>
  <c r="BT34" i="20"/>
  <c r="F57" i="56"/>
  <c r="N5" i="21" s="1"/>
  <c r="DF56" i="20"/>
  <c r="DE56" i="20"/>
  <c r="BU34" i="20"/>
  <c r="Y28" i="56"/>
  <c r="Y33" i="56" s="1"/>
  <c r="F38" i="56"/>
  <c r="K65" i="21" s="1"/>
  <c r="H96" i="56"/>
  <c r="H14" i="56"/>
  <c r="G105" i="56"/>
  <c r="I13" i="56"/>
  <c r="I18" i="56"/>
  <c r="H97" i="56"/>
  <c r="I85" i="56"/>
  <c r="H106" i="56"/>
  <c r="I83" i="56"/>
  <c r="AE5" i="56" s="1"/>
  <c r="H95" i="56"/>
  <c r="G36" i="56"/>
  <c r="G56" i="56"/>
  <c r="G33" i="56"/>
  <c r="G35" i="56"/>
  <c r="I7" i="56"/>
  <c r="J8" i="56"/>
  <c r="J5" i="56"/>
  <c r="J98" i="56"/>
  <c r="K86" i="56"/>
  <c r="J6" i="56"/>
  <c r="J102" i="56"/>
  <c r="K90" i="56"/>
  <c r="K91" i="56"/>
  <c r="J103" i="56"/>
  <c r="I96" i="56"/>
  <c r="J84" i="56"/>
  <c r="J88" i="56"/>
  <c r="I100" i="56"/>
  <c r="J12" i="56"/>
  <c r="J10" i="56"/>
  <c r="X38" i="56"/>
  <c r="AC65" i="21" s="1"/>
  <c r="I101" i="56"/>
  <c r="J89" i="56"/>
  <c r="I11" i="56"/>
  <c r="L32" i="26"/>
  <c r="K33" i="26"/>
  <c r="H29" i="56" l="1"/>
  <c r="H34" i="56" s="1"/>
  <c r="J23" i="56"/>
  <c r="AF10" i="56"/>
  <c r="H44" i="56"/>
  <c r="H42" i="56"/>
  <c r="H51" i="56" s="1"/>
  <c r="I26" i="56"/>
  <c r="AE13" i="56"/>
  <c r="I42" i="56"/>
  <c r="I44" i="56"/>
  <c r="AF5" i="56"/>
  <c r="I20" i="56"/>
  <c r="I28" i="56" s="1"/>
  <c r="AE7" i="56"/>
  <c r="I41" i="56" s="1"/>
  <c r="J25" i="56"/>
  <c r="AF12" i="56"/>
  <c r="J21" i="56"/>
  <c r="AF8" i="56"/>
  <c r="I24" i="56"/>
  <c r="AE11" i="56"/>
  <c r="J19" i="56"/>
  <c r="AF6" i="56"/>
  <c r="G57" i="56"/>
  <c r="O5" i="21" s="1"/>
  <c r="BV34" i="20"/>
  <c r="CI56" i="20"/>
  <c r="AX34" i="20"/>
  <c r="DG56" i="20"/>
  <c r="J13" i="56"/>
  <c r="I106" i="56"/>
  <c r="Y56" i="56"/>
  <c r="Y35" i="56"/>
  <c r="Y38" i="56" s="1"/>
  <c r="AD65" i="21" s="1"/>
  <c r="I14" i="56"/>
  <c r="J18" i="56"/>
  <c r="H105" i="56"/>
  <c r="J85" i="56"/>
  <c r="I97" i="56"/>
  <c r="I95" i="56"/>
  <c r="J83" i="56"/>
  <c r="H35" i="56"/>
  <c r="H33" i="56"/>
  <c r="K102" i="56"/>
  <c r="L90" i="56"/>
  <c r="J11" i="56"/>
  <c r="I29" i="56"/>
  <c r="K10" i="56"/>
  <c r="J7" i="56"/>
  <c r="K8" i="56"/>
  <c r="K88" i="56"/>
  <c r="J100" i="56"/>
  <c r="J101" i="56"/>
  <c r="K89" i="56"/>
  <c r="G38" i="56"/>
  <c r="L65" i="21" s="1"/>
  <c r="K12" i="56"/>
  <c r="K5" i="56"/>
  <c r="L91" i="56"/>
  <c r="K103" i="56"/>
  <c r="J96" i="56"/>
  <c r="K84" i="56"/>
  <c r="K6" i="56"/>
  <c r="K98" i="56"/>
  <c r="L86" i="56"/>
  <c r="E25" i="26"/>
  <c r="E22" i="26"/>
  <c r="E27" i="26"/>
  <c r="E28" i="26"/>
  <c r="E26" i="26"/>
  <c r="E24" i="26"/>
  <c r="E23" i="26"/>
  <c r="H36" i="56" l="1"/>
  <c r="H56" i="56"/>
  <c r="J24" i="56"/>
  <c r="AF11" i="56"/>
  <c r="J44" i="56" s="1"/>
  <c r="J42" i="56"/>
  <c r="J26" i="56"/>
  <c r="AF13" i="56"/>
  <c r="K25" i="56"/>
  <c r="AG12" i="56"/>
  <c r="K19" i="56"/>
  <c r="AG6" i="56"/>
  <c r="J20" i="56"/>
  <c r="J28" i="56" s="1"/>
  <c r="AF7" i="56"/>
  <c r="J41" i="56" s="1"/>
  <c r="I43" i="56"/>
  <c r="I51" i="56" s="1"/>
  <c r="K23" i="56"/>
  <c r="AG10" i="56"/>
  <c r="K21" i="56"/>
  <c r="AG8" i="56"/>
  <c r="K13" i="56"/>
  <c r="BW34" i="20"/>
  <c r="H57" i="56"/>
  <c r="P5" i="21" s="1"/>
  <c r="CJ56" i="20"/>
  <c r="AY34" i="20"/>
  <c r="DH56" i="20"/>
  <c r="Y57" i="56"/>
  <c r="AG5" i="21" s="1"/>
  <c r="BP34" i="20"/>
  <c r="DA56" i="20"/>
  <c r="I105" i="56"/>
  <c r="J14" i="56"/>
  <c r="K18" i="56"/>
  <c r="J106" i="56"/>
  <c r="K85" i="56"/>
  <c r="J97" i="56"/>
  <c r="J95" i="56"/>
  <c r="K83" i="56"/>
  <c r="AG5" i="56" s="1"/>
  <c r="I34" i="56"/>
  <c r="I36" i="56"/>
  <c r="I56" i="56"/>
  <c r="I35" i="56"/>
  <c r="I33" i="56"/>
  <c r="H38" i="56"/>
  <c r="M65" i="21" s="1"/>
  <c r="L5" i="56"/>
  <c r="K11" i="56"/>
  <c r="J29" i="56"/>
  <c r="K7" i="56"/>
  <c r="L98" i="56"/>
  <c r="M86" i="56"/>
  <c r="L6" i="56"/>
  <c r="L8" i="56"/>
  <c r="L102" i="56"/>
  <c r="M90" i="56"/>
  <c r="L89" i="56"/>
  <c r="K101" i="56"/>
  <c r="L10" i="56"/>
  <c r="L13" i="56"/>
  <c r="L84" i="56"/>
  <c r="K96" i="56"/>
  <c r="L12" i="56"/>
  <c r="M91" i="56"/>
  <c r="L103" i="56"/>
  <c r="L88" i="56"/>
  <c r="K100" i="56"/>
  <c r="D23" i="26"/>
  <c r="F23" i="26"/>
  <c r="D24" i="26"/>
  <c r="F24" i="26" s="1"/>
  <c r="D26" i="26"/>
  <c r="F26" i="26" s="1"/>
  <c r="D28" i="26"/>
  <c r="F28" i="26"/>
  <c r="D27" i="26"/>
  <c r="F27" i="26" s="1"/>
  <c r="F22" i="26"/>
  <c r="D22" i="26"/>
  <c r="D29" i="26" s="1"/>
  <c r="E29" i="26"/>
  <c r="D25" i="26"/>
  <c r="F25" i="26"/>
  <c r="K24" i="56" l="1"/>
  <c r="K29" i="56" s="1"/>
  <c r="AG11" i="56"/>
  <c r="K26" i="56"/>
  <c r="AG13" i="56"/>
  <c r="J43" i="56"/>
  <c r="J51" i="56" s="1"/>
  <c r="L26" i="56"/>
  <c r="AH13" i="56"/>
  <c r="AH5" i="56"/>
  <c r="L21" i="56"/>
  <c r="AH8" i="56"/>
  <c r="L23" i="56"/>
  <c r="AH10" i="56"/>
  <c r="L19" i="56"/>
  <c r="AH6" i="56"/>
  <c r="L25" i="56"/>
  <c r="AH12" i="56"/>
  <c r="K20" i="56"/>
  <c r="AG7" i="56"/>
  <c r="K41" i="56" s="1"/>
  <c r="K44" i="56"/>
  <c r="K42" i="56"/>
  <c r="K106" i="56"/>
  <c r="BX34" i="20"/>
  <c r="I57" i="56"/>
  <c r="Q5" i="21" s="1"/>
  <c r="CK56" i="20"/>
  <c r="AZ34" i="20"/>
  <c r="DI56" i="20"/>
  <c r="L18" i="56"/>
  <c r="K14" i="56"/>
  <c r="J105" i="56"/>
  <c r="K97" i="56"/>
  <c r="L85" i="56"/>
  <c r="K95" i="56"/>
  <c r="L83" i="56"/>
  <c r="J36" i="56"/>
  <c r="J34" i="56"/>
  <c r="J35" i="56"/>
  <c r="J56" i="56"/>
  <c r="J33" i="56"/>
  <c r="M102" i="56"/>
  <c r="N90" i="56"/>
  <c r="M5" i="56"/>
  <c r="L7" i="56"/>
  <c r="K28" i="56"/>
  <c r="L11" i="56"/>
  <c r="M84" i="56"/>
  <c r="L96" i="56"/>
  <c r="M10" i="56"/>
  <c r="I38" i="56"/>
  <c r="N65" i="21" s="1"/>
  <c r="M8" i="56"/>
  <c r="M6" i="56"/>
  <c r="M88" i="56"/>
  <c r="L100" i="56"/>
  <c r="N91" i="56"/>
  <c r="M103" i="56"/>
  <c r="M89" i="56"/>
  <c r="L101" i="56"/>
  <c r="M12" i="56"/>
  <c r="M13" i="56"/>
  <c r="M98" i="56"/>
  <c r="N86" i="56"/>
  <c r="F29" i="26"/>
  <c r="L20" i="56" l="1"/>
  <c r="AH7" i="56"/>
  <c r="L41" i="56" s="1"/>
  <c r="M19" i="56"/>
  <c r="AI6" i="56"/>
  <c r="M21" i="56"/>
  <c r="AI8" i="56"/>
  <c r="L24" i="56"/>
  <c r="L29" i="56" s="1"/>
  <c r="AH11" i="56"/>
  <c r="L44" i="56" s="1"/>
  <c r="L42" i="56"/>
  <c r="M23" i="56"/>
  <c r="AI10" i="56"/>
  <c r="K43" i="56"/>
  <c r="K51" i="56" s="1"/>
  <c r="M26" i="56"/>
  <c r="AI13" i="56"/>
  <c r="M25" i="56"/>
  <c r="AI12" i="56"/>
  <c r="K105" i="56"/>
  <c r="DJ56" i="20"/>
  <c r="BA34" i="20"/>
  <c r="BY34" i="20"/>
  <c r="J57" i="56"/>
  <c r="R5" i="21" s="1"/>
  <c r="CL56" i="20"/>
  <c r="L106" i="56"/>
  <c r="L14" i="56"/>
  <c r="M18" i="56"/>
  <c r="M85" i="56"/>
  <c r="L97" i="56"/>
  <c r="M83" i="56"/>
  <c r="AI5" i="56" s="1"/>
  <c r="L95" i="56"/>
  <c r="K36" i="56"/>
  <c r="K34" i="56"/>
  <c r="K35" i="56"/>
  <c r="K56" i="56"/>
  <c r="K33" i="56"/>
  <c r="J38" i="56"/>
  <c r="O65" i="21" s="1"/>
  <c r="M7" i="56"/>
  <c r="L28" i="56"/>
  <c r="N88" i="56"/>
  <c r="M100" i="56"/>
  <c r="N5" i="56"/>
  <c r="N12" i="56"/>
  <c r="N103" i="56"/>
  <c r="O91" i="56"/>
  <c r="N84" i="56"/>
  <c r="M96" i="56"/>
  <c r="M11" i="56"/>
  <c r="O90" i="56"/>
  <c r="N102" i="56"/>
  <c r="N10" i="56"/>
  <c r="N89" i="56"/>
  <c r="M101" i="56"/>
  <c r="N98" i="56"/>
  <c r="O86" i="56"/>
  <c r="N6" i="56"/>
  <c r="N13" i="56"/>
  <c r="N8" i="56"/>
  <c r="N23" i="56" l="1"/>
  <c r="AJ10" i="56"/>
  <c r="M20" i="56"/>
  <c r="AI7" i="56"/>
  <c r="M41" i="56" s="1"/>
  <c r="M24" i="56"/>
  <c r="M29" i="56" s="1"/>
  <c r="AI11" i="56"/>
  <c r="M42" i="56" s="1"/>
  <c r="N21" i="56"/>
  <c r="AJ8" i="56"/>
  <c r="L43" i="56"/>
  <c r="L51" i="56" s="1"/>
  <c r="N25" i="56"/>
  <c r="AJ12" i="56"/>
  <c r="N26" i="56"/>
  <c r="AJ13" i="56"/>
  <c r="N19" i="56"/>
  <c r="AJ6" i="56"/>
  <c r="DK56" i="20"/>
  <c r="BZ34" i="20"/>
  <c r="K57" i="56"/>
  <c r="S5" i="21" s="1"/>
  <c r="CM56" i="20"/>
  <c r="BB34" i="20"/>
  <c r="M106" i="56"/>
  <c r="N18" i="56"/>
  <c r="M14" i="56"/>
  <c r="L105" i="56"/>
  <c r="M97" i="56"/>
  <c r="N85" i="56"/>
  <c r="N83" i="56"/>
  <c r="AJ5" i="56" s="1"/>
  <c r="M95" i="56"/>
  <c r="L36" i="56"/>
  <c r="L34" i="56"/>
  <c r="L35" i="56"/>
  <c r="L56" i="56"/>
  <c r="L33" i="56"/>
  <c r="O5" i="56"/>
  <c r="O6" i="56"/>
  <c r="O98" i="56"/>
  <c r="P86" i="56"/>
  <c r="N11" i="56"/>
  <c r="O10" i="56"/>
  <c r="O103" i="56"/>
  <c r="P91" i="56"/>
  <c r="N7" i="56"/>
  <c r="M28" i="56"/>
  <c r="O89" i="56"/>
  <c r="N101" i="56"/>
  <c r="P90" i="56"/>
  <c r="O102" i="56"/>
  <c r="N100" i="56"/>
  <c r="O88" i="56"/>
  <c r="N96" i="56"/>
  <c r="O84" i="56"/>
  <c r="O8" i="56"/>
  <c r="O13" i="56"/>
  <c r="O12" i="56"/>
  <c r="K38" i="56"/>
  <c r="P65" i="21" s="1"/>
  <c r="J43" i="20"/>
  <c r="J44" i="20"/>
  <c r="J45" i="20"/>
  <c r="J46" i="20"/>
  <c r="N20" i="56" l="1"/>
  <c r="AJ7" i="56"/>
  <c r="N41" i="56" s="1"/>
  <c r="O23" i="56"/>
  <c r="AK10" i="56"/>
  <c r="M44" i="56"/>
  <c r="N24" i="56"/>
  <c r="N29" i="56" s="1"/>
  <c r="AJ11" i="56"/>
  <c r="N44" i="56" s="1"/>
  <c r="O19" i="56"/>
  <c r="AK6" i="56"/>
  <c r="O21" i="56"/>
  <c r="AK8" i="56"/>
  <c r="O25" i="56"/>
  <c r="AK12" i="56"/>
  <c r="M43" i="56"/>
  <c r="M51" i="56" s="1"/>
  <c r="O26" i="56"/>
  <c r="AK13" i="56"/>
  <c r="M105" i="56"/>
  <c r="N106" i="56"/>
  <c r="DL56" i="20"/>
  <c r="CA34" i="20"/>
  <c r="L57" i="56"/>
  <c r="T5" i="21" s="1"/>
  <c r="CN56" i="20"/>
  <c r="BC34" i="20"/>
  <c r="O18" i="56"/>
  <c r="N14" i="56"/>
  <c r="O85" i="56"/>
  <c r="N97" i="56"/>
  <c r="N105" i="56" s="1"/>
  <c r="O83" i="56"/>
  <c r="AK5" i="56" s="1"/>
  <c r="N95" i="56"/>
  <c r="M36" i="56"/>
  <c r="M34" i="56"/>
  <c r="M33" i="56"/>
  <c r="M56" i="56"/>
  <c r="M35" i="56"/>
  <c r="P98" i="56"/>
  <c r="Q86" i="56"/>
  <c r="O96" i="56"/>
  <c r="P84" i="56"/>
  <c r="P6" i="56"/>
  <c r="P89" i="56"/>
  <c r="O101" i="56"/>
  <c r="O100" i="56"/>
  <c r="P88" i="56"/>
  <c r="P5" i="56"/>
  <c r="P10" i="56"/>
  <c r="P12" i="56"/>
  <c r="N28" i="56"/>
  <c r="O7" i="56"/>
  <c r="O11" i="56"/>
  <c r="P8" i="56"/>
  <c r="P103" i="56"/>
  <c r="Q91" i="56"/>
  <c r="P13" i="56"/>
  <c r="Q90" i="56"/>
  <c r="P102" i="56"/>
  <c r="L38" i="56"/>
  <c r="Q65" i="21" s="1"/>
  <c r="O24" i="56" l="1"/>
  <c r="AK11" i="56"/>
  <c r="O42" i="56" s="1"/>
  <c r="O20" i="56"/>
  <c r="O28" i="56" s="1"/>
  <c r="AK7" i="56"/>
  <c r="O41" i="56" s="1"/>
  <c r="P19" i="56"/>
  <c r="AL6" i="56"/>
  <c r="P23" i="56"/>
  <c r="AL10" i="56"/>
  <c r="N42" i="56"/>
  <c r="N51" i="56" s="1"/>
  <c r="N43" i="56"/>
  <c r="P21" i="56"/>
  <c r="AL8" i="56"/>
  <c r="P25" i="56"/>
  <c r="AL12" i="56"/>
  <c r="P26" i="56"/>
  <c r="AL13" i="56"/>
  <c r="DM56" i="20"/>
  <c r="CB34" i="20"/>
  <c r="M57" i="56"/>
  <c r="CO56" i="20"/>
  <c r="BD34" i="20"/>
  <c r="P18" i="56"/>
  <c r="O14" i="56"/>
  <c r="U5" i="21"/>
  <c r="O106" i="56"/>
  <c r="P85" i="56"/>
  <c r="O97" i="56"/>
  <c r="O95" i="56"/>
  <c r="O105" i="56" s="1"/>
  <c r="P83" i="56"/>
  <c r="AL5" i="56" s="1"/>
  <c r="N36" i="56"/>
  <c r="N34" i="56"/>
  <c r="N33" i="56"/>
  <c r="N35" i="56"/>
  <c r="N56" i="56"/>
  <c r="Q13" i="56"/>
  <c r="R86" i="56"/>
  <c r="Q98" i="56"/>
  <c r="P7" i="56"/>
  <c r="Q12" i="56"/>
  <c r="R91" i="56"/>
  <c r="Q103" i="56"/>
  <c r="P96" i="56"/>
  <c r="Q84" i="56"/>
  <c r="Q89" i="56"/>
  <c r="P101" i="56"/>
  <c r="Q10" i="56"/>
  <c r="Q5" i="56"/>
  <c r="O29" i="56"/>
  <c r="P11" i="56"/>
  <c r="R90" i="56"/>
  <c r="Q102" i="56"/>
  <c r="P100" i="56"/>
  <c r="Q88" i="56"/>
  <c r="Q6" i="56"/>
  <c r="Q8" i="56"/>
  <c r="M38" i="56"/>
  <c r="R65" i="21" s="1"/>
  <c r="Q25" i="56" l="1"/>
  <c r="AM12" i="56"/>
  <c r="Q26" i="56"/>
  <c r="AM13" i="56"/>
  <c r="P20" i="56"/>
  <c r="P28" i="56" s="1"/>
  <c r="AL7" i="56"/>
  <c r="P41" i="56" s="1"/>
  <c r="P24" i="56"/>
  <c r="P29" i="56" s="1"/>
  <c r="AL11" i="56"/>
  <c r="P42" i="56" s="1"/>
  <c r="Q23" i="56"/>
  <c r="AM10" i="56"/>
  <c r="O44" i="56"/>
  <c r="O43" i="56"/>
  <c r="O51" i="56" s="1"/>
  <c r="Q21" i="56"/>
  <c r="AM8" i="56"/>
  <c r="Q19" i="56"/>
  <c r="AM6" i="56"/>
  <c r="CP56" i="20"/>
  <c r="BE34" i="20"/>
  <c r="CC34" i="20"/>
  <c r="DN56" i="20"/>
  <c r="N57" i="56"/>
  <c r="Q18" i="56"/>
  <c r="P14" i="56"/>
  <c r="V5" i="21"/>
  <c r="P106" i="56"/>
  <c r="P97" i="56"/>
  <c r="Q85" i="56"/>
  <c r="P95" i="56"/>
  <c r="Q83" i="56"/>
  <c r="AM5" i="56" s="1"/>
  <c r="O36" i="56"/>
  <c r="O34" i="56"/>
  <c r="O35" i="56"/>
  <c r="O33" i="56"/>
  <c r="O56" i="56"/>
  <c r="R13" i="56"/>
  <c r="R6" i="56"/>
  <c r="Q7" i="56"/>
  <c r="Q100" i="56"/>
  <c r="R88" i="56"/>
  <c r="Q11" i="56"/>
  <c r="S91" i="56"/>
  <c r="R103" i="56"/>
  <c r="R5" i="56"/>
  <c r="N38" i="56"/>
  <c r="S65" i="21" s="1"/>
  <c r="R8" i="56"/>
  <c r="R89" i="56"/>
  <c r="Q101" i="56"/>
  <c r="S86" i="56"/>
  <c r="R98" i="56"/>
  <c r="Q96" i="56"/>
  <c r="R84" i="56"/>
  <c r="S90" i="56"/>
  <c r="R102" i="56"/>
  <c r="R12" i="56"/>
  <c r="R10" i="56"/>
  <c r="G27" i="21"/>
  <c r="H27" i="21" s="1"/>
  <c r="Q20" i="56" l="1"/>
  <c r="AM7" i="56"/>
  <c r="Q43" i="56" s="1"/>
  <c r="Q24" i="56"/>
  <c r="Q29" i="56" s="1"/>
  <c r="AM11" i="56"/>
  <c r="Q42" i="56" s="1"/>
  <c r="R19" i="56"/>
  <c r="AN6" i="56"/>
  <c r="R21" i="56"/>
  <c r="AN8" i="56"/>
  <c r="R26" i="56"/>
  <c r="AN13" i="56"/>
  <c r="P44" i="56"/>
  <c r="R23" i="56"/>
  <c r="AN10" i="56"/>
  <c r="P43" i="56"/>
  <c r="P51" i="56" s="1"/>
  <c r="R25" i="56"/>
  <c r="AN12" i="56"/>
  <c r="P105" i="56"/>
  <c r="BF34" i="20"/>
  <c r="CQ56" i="20"/>
  <c r="DO56" i="20"/>
  <c r="CD34" i="20"/>
  <c r="O57" i="56"/>
  <c r="W5" i="21" s="1"/>
  <c r="R18" i="56"/>
  <c r="Q14" i="56"/>
  <c r="Q106" i="56"/>
  <c r="Q97" i="56"/>
  <c r="R85" i="56"/>
  <c r="R83" i="56"/>
  <c r="AN5" i="56" s="1"/>
  <c r="Q95" i="56"/>
  <c r="P34" i="56"/>
  <c r="P36" i="56"/>
  <c r="P33" i="56"/>
  <c r="P35" i="56"/>
  <c r="P56" i="56"/>
  <c r="R96" i="56"/>
  <c r="S84" i="56"/>
  <c r="S98" i="56"/>
  <c r="T86" i="56"/>
  <c r="S102" i="56"/>
  <c r="T90" i="56"/>
  <c r="S13" i="56"/>
  <c r="S10" i="56"/>
  <c r="S8" i="56"/>
  <c r="R11" i="56"/>
  <c r="Q28" i="56"/>
  <c r="R7" i="56"/>
  <c r="S6" i="56"/>
  <c r="O38" i="56"/>
  <c r="T65" i="21" s="1"/>
  <c r="R100" i="56"/>
  <c r="S88" i="56"/>
  <c r="S5" i="56"/>
  <c r="R101" i="56"/>
  <c r="S89" i="56"/>
  <c r="T91" i="56"/>
  <c r="S103" i="56"/>
  <c r="S12" i="56"/>
  <c r="S19" i="56" l="1"/>
  <c r="AO6" i="56"/>
  <c r="Q44" i="56"/>
  <c r="R42" i="56"/>
  <c r="R44" i="56"/>
  <c r="S25" i="56"/>
  <c r="AO12" i="56"/>
  <c r="R24" i="56"/>
  <c r="R29" i="56" s="1"/>
  <c r="AN11" i="56"/>
  <c r="S26" i="56"/>
  <c r="AO13" i="56"/>
  <c r="R20" i="56"/>
  <c r="R28" i="56" s="1"/>
  <c r="AN7" i="56"/>
  <c r="R43" i="56" s="1"/>
  <c r="S21" i="56"/>
  <c r="AO8" i="56"/>
  <c r="Q41" i="56"/>
  <c r="Q51" i="56" s="1"/>
  <c r="S23" i="56"/>
  <c r="AO10" i="56"/>
  <c r="Q105" i="56"/>
  <c r="CR56" i="20"/>
  <c r="BG34" i="20"/>
  <c r="DP56" i="20"/>
  <c r="CE34" i="20"/>
  <c r="P57" i="56"/>
  <c r="X5" i="21" s="1"/>
  <c r="S18" i="56"/>
  <c r="R106" i="56"/>
  <c r="R14" i="56"/>
  <c r="R97" i="56"/>
  <c r="S85" i="56"/>
  <c r="S83" i="56"/>
  <c r="AO5" i="56" s="1"/>
  <c r="R95" i="56"/>
  <c r="Q34" i="56"/>
  <c r="Q36" i="56"/>
  <c r="Q33" i="56"/>
  <c r="Q35" i="56"/>
  <c r="Q56" i="56"/>
  <c r="U90" i="56"/>
  <c r="T102" i="56"/>
  <c r="U86" i="56"/>
  <c r="T98" i="56"/>
  <c r="S100" i="56"/>
  <c r="T88" i="56"/>
  <c r="S11" i="56"/>
  <c r="S96" i="56"/>
  <c r="T84" i="56"/>
  <c r="T12" i="56"/>
  <c r="T6" i="56"/>
  <c r="P38" i="56"/>
  <c r="U65" i="21" s="1"/>
  <c r="T5" i="56"/>
  <c r="T8" i="56"/>
  <c r="T10" i="56"/>
  <c r="U91" i="56"/>
  <c r="T103" i="56"/>
  <c r="S101" i="56"/>
  <c r="T89" i="56"/>
  <c r="S7" i="56"/>
  <c r="T13" i="56"/>
  <c r="W41" i="20"/>
  <c r="T21" i="56" l="1"/>
  <c r="AP8" i="56"/>
  <c r="T23" i="56"/>
  <c r="AP10" i="56"/>
  <c r="T19" i="56"/>
  <c r="AP6" i="56"/>
  <c r="S42" i="56"/>
  <c r="T26" i="56"/>
  <c r="AP13" i="56"/>
  <c r="T25" i="56"/>
  <c r="AP12" i="56"/>
  <c r="R41" i="56"/>
  <c r="R51" i="56" s="1"/>
  <c r="S20" i="56"/>
  <c r="AO7" i="56"/>
  <c r="S41" i="56" s="1"/>
  <c r="S24" i="56"/>
  <c r="S29" i="56" s="1"/>
  <c r="AO11" i="56"/>
  <c r="S44" i="56" s="1"/>
  <c r="R105" i="56"/>
  <c r="CS56" i="20"/>
  <c r="BH34" i="20"/>
  <c r="DQ56" i="20"/>
  <c r="CF34" i="20"/>
  <c r="Q57" i="56"/>
  <c r="Y5" i="21" s="1"/>
  <c r="T18" i="56"/>
  <c r="S106" i="56"/>
  <c r="S14" i="56"/>
  <c r="T85" i="56"/>
  <c r="S97" i="56"/>
  <c r="S95" i="56"/>
  <c r="T83" i="56"/>
  <c r="AP5" i="56" s="1"/>
  <c r="R34" i="56"/>
  <c r="R36" i="56"/>
  <c r="R33" i="56"/>
  <c r="R35" i="56"/>
  <c r="R56" i="56"/>
  <c r="U12" i="56"/>
  <c r="V86" i="56"/>
  <c r="U98" i="56"/>
  <c r="U13" i="56"/>
  <c r="V90" i="56"/>
  <c r="U102" i="56"/>
  <c r="V91" i="56"/>
  <c r="U103" i="56"/>
  <c r="U10" i="56"/>
  <c r="U84" i="56"/>
  <c r="T96" i="56"/>
  <c r="Q38" i="56"/>
  <c r="V65" i="21" s="1"/>
  <c r="U6" i="56"/>
  <c r="T7" i="56"/>
  <c r="U88" i="56"/>
  <c r="T100" i="56"/>
  <c r="S28" i="56"/>
  <c r="U8" i="56"/>
  <c r="T101" i="56"/>
  <c r="U89" i="56"/>
  <c r="U5" i="56"/>
  <c r="T11" i="56"/>
  <c r="S105" i="56" l="1"/>
  <c r="U25" i="56"/>
  <c r="AQ12" i="56"/>
  <c r="U21" i="56"/>
  <c r="AQ8" i="56"/>
  <c r="T20" i="56"/>
  <c r="T28" i="56" s="1"/>
  <c r="AP7" i="56"/>
  <c r="T41" i="56" s="1"/>
  <c r="U19" i="56"/>
  <c r="AQ6" i="56"/>
  <c r="U26" i="56"/>
  <c r="AQ13" i="56"/>
  <c r="T24" i="56"/>
  <c r="T29" i="56" s="1"/>
  <c r="AP11" i="56"/>
  <c r="T44" i="56" s="1"/>
  <c r="S43" i="56"/>
  <c r="S51" i="56" s="1"/>
  <c r="U23" i="56"/>
  <c r="AQ10" i="56"/>
  <c r="CG34" i="20"/>
  <c r="R57" i="56"/>
  <c r="Z5" i="21" s="1"/>
  <c r="CT56" i="20"/>
  <c r="BI34" i="20"/>
  <c r="DR56" i="20"/>
  <c r="U18" i="56"/>
  <c r="T14" i="56"/>
  <c r="R38" i="56"/>
  <c r="W65" i="21" s="1"/>
  <c r="T106" i="56"/>
  <c r="T97" i="56"/>
  <c r="U85" i="56"/>
  <c r="T95" i="56"/>
  <c r="U83" i="56"/>
  <c r="AQ5" i="56" s="1"/>
  <c r="S34" i="56"/>
  <c r="S36" i="56"/>
  <c r="S33" i="56"/>
  <c r="S35" i="56"/>
  <c r="S56" i="56"/>
  <c r="V8" i="56"/>
  <c r="V13" i="56"/>
  <c r="V98" i="56"/>
  <c r="W86" i="56"/>
  <c r="W98" i="56" s="1"/>
  <c r="V88" i="56"/>
  <c r="U100" i="56"/>
  <c r="V12" i="56"/>
  <c r="U11" i="56"/>
  <c r="U7" i="56"/>
  <c r="U96" i="56"/>
  <c r="V84" i="56"/>
  <c r="U101" i="56"/>
  <c r="V89" i="56"/>
  <c r="V102" i="56"/>
  <c r="W90" i="56"/>
  <c r="W102" i="56" s="1"/>
  <c r="V10" i="56"/>
  <c r="V5" i="56"/>
  <c r="W91" i="56"/>
  <c r="W103" i="56" s="1"/>
  <c r="V103" i="56"/>
  <c r="V6" i="56"/>
  <c r="T42" i="56" l="1"/>
  <c r="T51" i="56" s="1"/>
  <c r="V25" i="56"/>
  <c r="AR12" i="56"/>
  <c r="V21" i="56"/>
  <c r="AR8" i="56"/>
  <c r="V19" i="56"/>
  <c r="AR6" i="56"/>
  <c r="U20" i="56"/>
  <c r="U28" i="56" s="1"/>
  <c r="AQ7" i="56"/>
  <c r="U41" i="56" s="1"/>
  <c r="T43" i="56"/>
  <c r="V23" i="56"/>
  <c r="AR10" i="56"/>
  <c r="V26" i="56"/>
  <c r="AR13" i="56"/>
  <c r="U24" i="56"/>
  <c r="U29" i="56" s="1"/>
  <c r="AQ11" i="56"/>
  <c r="U42" i="56"/>
  <c r="U44" i="56"/>
  <c r="T105" i="56"/>
  <c r="S57" i="56"/>
  <c r="AA5" i="21" s="1"/>
  <c r="CH34" i="20"/>
  <c r="CU56" i="20"/>
  <c r="BJ34" i="20"/>
  <c r="DS56" i="20"/>
  <c r="U14" i="56"/>
  <c r="V18" i="56"/>
  <c r="S38" i="56"/>
  <c r="X65" i="21" s="1"/>
  <c r="U106" i="56"/>
  <c r="U97" i="56"/>
  <c r="V85" i="56"/>
  <c r="U95" i="56"/>
  <c r="V83" i="56"/>
  <c r="AR5" i="56" s="1"/>
  <c r="T36" i="56"/>
  <c r="T34" i="56"/>
  <c r="T33" i="56"/>
  <c r="T35" i="56"/>
  <c r="T56" i="56"/>
  <c r="W88" i="56"/>
  <c r="W100" i="56" s="1"/>
  <c r="V100" i="56"/>
  <c r="W5" i="56"/>
  <c r="W10" i="56"/>
  <c r="V7" i="56"/>
  <c r="W8" i="56"/>
  <c r="W6" i="56"/>
  <c r="V101" i="56"/>
  <c r="W89" i="56"/>
  <c r="W101" i="56" s="1"/>
  <c r="W13" i="56"/>
  <c r="V11" i="56"/>
  <c r="V96" i="56"/>
  <c r="W84" i="56"/>
  <c r="W96" i="56" s="1"/>
  <c r="W12" i="56"/>
  <c r="D90" i="21"/>
  <c r="D30" i="21"/>
  <c r="V20" i="56" l="1"/>
  <c r="AR7" i="56"/>
  <c r="V41" i="56" s="1"/>
  <c r="W23" i="56"/>
  <c r="AS10" i="56"/>
  <c r="V24" i="56"/>
  <c r="V29" i="56" s="1"/>
  <c r="AR11" i="56"/>
  <c r="V44" i="56" s="1"/>
  <c r="W26" i="56"/>
  <c r="AS13" i="56"/>
  <c r="W25" i="56"/>
  <c r="AS12" i="56"/>
  <c r="W19" i="56"/>
  <c r="AS6" i="56"/>
  <c r="U43" i="56"/>
  <c r="U51" i="56" s="1"/>
  <c r="W21" i="56"/>
  <c r="AS8" i="56"/>
  <c r="U105" i="56"/>
  <c r="CI34" i="20"/>
  <c r="T57" i="56"/>
  <c r="AB5" i="21" s="1"/>
  <c r="CV56" i="20"/>
  <c r="BK34" i="20"/>
  <c r="DT56" i="20"/>
  <c r="W18" i="56"/>
  <c r="W106" i="56"/>
  <c r="V14" i="56"/>
  <c r="V106" i="56"/>
  <c r="W85" i="56"/>
  <c r="W97" i="56" s="1"/>
  <c r="V97" i="56"/>
  <c r="V95" i="56"/>
  <c r="V105" i="56" s="1"/>
  <c r="W83" i="56"/>
  <c r="W95" i="56" s="1"/>
  <c r="U34" i="56"/>
  <c r="U36" i="56"/>
  <c r="U56" i="56"/>
  <c r="U33" i="56"/>
  <c r="U35" i="56"/>
  <c r="T38" i="56"/>
  <c r="Y65" i="21" s="1"/>
  <c r="V28" i="56"/>
  <c r="W11" i="56"/>
  <c r="AS11" i="56" s="1"/>
  <c r="W7" i="56"/>
  <c r="AS7" i="56" s="1"/>
  <c r="G46" i="20"/>
  <c r="G45" i="20"/>
  <c r="G44" i="20"/>
  <c r="G43" i="20"/>
  <c r="W44" i="56" l="1"/>
  <c r="W42" i="56"/>
  <c r="AS5" i="56"/>
  <c r="V42" i="56"/>
  <c r="V51" i="56" s="1"/>
  <c r="V43" i="56"/>
  <c r="W14" i="56"/>
  <c r="CJ34" i="20"/>
  <c r="U57" i="56"/>
  <c r="AC5" i="21" s="1"/>
  <c r="CW56" i="20"/>
  <c r="BL34" i="20"/>
  <c r="DU56" i="20"/>
  <c r="W24" i="56"/>
  <c r="W20" i="56"/>
  <c r="W105" i="56"/>
  <c r="V36" i="56"/>
  <c r="V34" i="56"/>
  <c r="V35" i="56"/>
  <c r="V56" i="56"/>
  <c r="V33" i="56"/>
  <c r="U38" i="56"/>
  <c r="Z65" i="21" s="1"/>
  <c r="K28" i="21"/>
  <c r="L28" i="21" s="1"/>
  <c r="M28" i="21" s="1"/>
  <c r="N28" i="21" s="1"/>
  <c r="O28" i="21" s="1"/>
  <c r="P28" i="21" s="1"/>
  <c r="Q28" i="21" s="1"/>
  <c r="R28" i="21" s="1"/>
  <c r="S28" i="21" s="1"/>
  <c r="T28" i="21" s="1"/>
  <c r="U28" i="21" s="1"/>
  <c r="V28" i="21" s="1"/>
  <c r="W28" i="21" s="1"/>
  <c r="X28" i="21" s="1"/>
  <c r="Y28" i="21" s="1"/>
  <c r="Z28" i="21" s="1"/>
  <c r="AA28" i="21" s="1"/>
  <c r="AB28" i="21" s="1"/>
  <c r="AC28" i="21" s="1"/>
  <c r="AD28" i="21" s="1"/>
  <c r="AE28" i="21" s="1"/>
  <c r="AF28" i="21" s="1"/>
  <c r="W41" i="56" l="1"/>
  <c r="W43" i="56"/>
  <c r="DV56" i="20"/>
  <c r="BM34" i="20"/>
  <c r="CK34" i="20"/>
  <c r="V57" i="56"/>
  <c r="AD5" i="21" s="1"/>
  <c r="CX56" i="20"/>
  <c r="W29" i="56"/>
  <c r="W36" i="56" s="1"/>
  <c r="W28" i="56"/>
  <c r="V38" i="56"/>
  <c r="AA65" i="21" s="1"/>
  <c r="G89" i="20"/>
  <c r="G88" i="20"/>
  <c r="G87" i="20"/>
  <c r="G86" i="20"/>
  <c r="G85" i="20"/>
  <c r="G81" i="20"/>
  <c r="G80" i="20"/>
  <c r="G79" i="20"/>
  <c r="G78" i="20"/>
  <c r="G77" i="20"/>
  <c r="M81" i="20"/>
  <c r="J8" i="21" s="1"/>
  <c r="L81" i="20"/>
  <c r="I8" i="21" s="1"/>
  <c r="K81" i="20"/>
  <c r="H8" i="21" s="1"/>
  <c r="J81" i="20"/>
  <c r="G8" i="21" s="1"/>
  <c r="I81" i="20"/>
  <c r="F8" i="21" s="1"/>
  <c r="H81" i="20"/>
  <c r="E8" i="21" s="1"/>
  <c r="M80" i="20"/>
  <c r="J7" i="21" s="1"/>
  <c r="L80" i="20"/>
  <c r="I7" i="21" s="1"/>
  <c r="K80" i="20"/>
  <c r="H7" i="21" s="1"/>
  <c r="J80" i="20"/>
  <c r="G7" i="21" s="1"/>
  <c r="I80" i="20"/>
  <c r="F7" i="21" s="1"/>
  <c r="H80" i="20"/>
  <c r="E7" i="21" s="1"/>
  <c r="M79" i="20"/>
  <c r="J6" i="21" s="1"/>
  <c r="L79" i="20"/>
  <c r="I6" i="21" s="1"/>
  <c r="K79" i="20"/>
  <c r="H6" i="21" s="1"/>
  <c r="J79" i="20"/>
  <c r="G6" i="21" s="1"/>
  <c r="I79" i="20"/>
  <c r="F6" i="21" s="1"/>
  <c r="H79" i="20"/>
  <c r="E6" i="21" s="1"/>
  <c r="M78" i="20"/>
  <c r="J5" i="21" s="1"/>
  <c r="L78" i="20"/>
  <c r="K78" i="20"/>
  <c r="J78" i="20"/>
  <c r="I78" i="20"/>
  <c r="H78" i="20"/>
  <c r="M77" i="20"/>
  <c r="J4" i="21" s="1"/>
  <c r="L77" i="20"/>
  <c r="I4" i="21" s="1"/>
  <c r="K77" i="20"/>
  <c r="H4" i="21" s="1"/>
  <c r="J77" i="20"/>
  <c r="G4" i="21" s="1"/>
  <c r="I77" i="20"/>
  <c r="F4" i="21" s="1"/>
  <c r="H77" i="20"/>
  <c r="E4" i="21" s="1"/>
  <c r="W51" i="56" l="1"/>
  <c r="W56" i="56"/>
  <c r="W35" i="56"/>
  <c r="W33" i="56"/>
  <c r="W34" i="56"/>
  <c r="DW56" i="20"/>
  <c r="CL34" i="20"/>
  <c r="W57" i="56"/>
  <c r="AE5" i="21" s="1"/>
  <c r="CY56" i="20"/>
  <c r="BN34" i="20"/>
  <c r="K26" i="21"/>
  <c r="W38" i="56" l="1"/>
  <c r="AB65" i="21" s="1"/>
  <c r="J26" i="21"/>
  <c r="J9" i="21"/>
  <c r="I9" i="21"/>
  <c r="I26" i="21" l="1"/>
  <c r="N24" i="20"/>
  <c r="M24" i="20" s="1"/>
  <c r="N23" i="20"/>
  <c r="O23" i="20" s="1"/>
  <c r="N22" i="20"/>
  <c r="N21" i="20"/>
  <c r="N20" i="20"/>
  <c r="O20" i="20" s="1"/>
  <c r="N11" i="20"/>
  <c r="M11" i="20" s="1"/>
  <c r="N10" i="20"/>
  <c r="O10" i="20" s="1"/>
  <c r="N9" i="20"/>
  <c r="N8" i="20"/>
  <c r="N7" i="20"/>
  <c r="M7" i="20" s="1"/>
  <c r="N34" i="20" l="1"/>
  <c r="H26" i="21"/>
  <c r="O9" i="20"/>
  <c r="P9" i="20"/>
  <c r="O7" i="20"/>
  <c r="N33" i="20"/>
  <c r="H150" i="21"/>
  <c r="O22" i="20"/>
  <c r="P22" i="20"/>
  <c r="O8" i="20"/>
  <c r="P8" i="20"/>
  <c r="O21" i="20"/>
  <c r="P21" i="20"/>
  <c r="O24" i="20"/>
  <c r="O11" i="20"/>
  <c r="I90" i="21" l="1"/>
  <c r="H60" i="21"/>
  <c r="G26" i="21"/>
  <c r="G60" i="21" s="1"/>
  <c r="H120" i="21"/>
  <c r="F26" i="21"/>
  <c r="F60" i="21" s="1"/>
  <c r="G71" i="20"/>
  <c r="G70" i="20"/>
  <c r="G69" i="20"/>
  <c r="G68" i="20"/>
  <c r="G67" i="20"/>
  <c r="L63" i="20"/>
  <c r="K63" i="20"/>
  <c r="J63" i="20"/>
  <c r="I63" i="20"/>
  <c r="H63" i="20"/>
  <c r="L62" i="20"/>
  <c r="K62" i="20"/>
  <c r="J62" i="20"/>
  <c r="I62" i="20"/>
  <c r="H62" i="20"/>
  <c r="L61" i="20"/>
  <c r="K61" i="20"/>
  <c r="J61" i="20"/>
  <c r="I61" i="20"/>
  <c r="H61" i="20"/>
  <c r="L60" i="20"/>
  <c r="I5" i="21" s="1"/>
  <c r="K60" i="20"/>
  <c r="H5" i="21" s="1"/>
  <c r="J60" i="20"/>
  <c r="G5" i="21" s="1"/>
  <c r="I60" i="20"/>
  <c r="L59" i="20"/>
  <c r="K59" i="20"/>
  <c r="J59" i="20"/>
  <c r="I59" i="20"/>
  <c r="H59" i="20"/>
  <c r="F5" i="21" l="1"/>
  <c r="CM44" i="20"/>
  <c r="DA44" i="20"/>
  <c r="CX44" i="20"/>
  <c r="BR44" i="20"/>
  <c r="DE66" i="20"/>
  <c r="CJ44" i="20"/>
  <c r="CD44" i="20"/>
  <c r="CY44" i="20"/>
  <c r="BW44" i="20"/>
  <c r="BL44" i="20"/>
  <c r="CK44" i="20"/>
  <c r="CV44" i="20"/>
  <c r="BU44" i="20"/>
  <c r="CS44" i="20"/>
  <c r="BS44" i="20"/>
  <c r="BO44" i="20"/>
  <c r="CW44" i="20"/>
  <c r="CN44" i="20"/>
  <c r="BM44" i="20"/>
  <c r="CA44" i="20"/>
  <c r="BK44" i="20"/>
  <c r="CB44" i="20"/>
  <c r="CU44" i="20"/>
  <c r="CL44" i="20"/>
  <c r="CZ44" i="20"/>
  <c r="CR44" i="20"/>
  <c r="CQ44" i="20"/>
  <c r="CC44" i="20"/>
  <c r="BV44" i="20"/>
  <c r="BN44" i="20"/>
  <c r="CT44" i="20"/>
  <c r="BT44" i="20"/>
  <c r="BP44" i="20"/>
  <c r="CI44" i="20"/>
  <c r="BY44" i="20"/>
  <c r="CP44" i="20"/>
  <c r="BZ44" i="20"/>
  <c r="BX44" i="20"/>
  <c r="BQ44" i="20"/>
  <c r="CO44" i="20"/>
  <c r="CH44" i="20"/>
  <c r="AN54" i="20"/>
  <c r="BF54" i="20"/>
  <c r="AO54" i="20"/>
  <c r="AP54" i="20"/>
  <c r="BG54" i="20"/>
  <c r="AQ54" i="20"/>
  <c r="AR54" i="20"/>
  <c r="AS54" i="20"/>
  <c r="AT54" i="20"/>
  <c r="AU54" i="20"/>
  <c r="AV54" i="20"/>
  <c r="AW54" i="20"/>
  <c r="AX54" i="20"/>
  <c r="AY54" i="20"/>
  <c r="AZ54" i="20"/>
  <c r="BA54" i="20"/>
  <c r="BB54" i="20"/>
  <c r="BC54" i="20"/>
  <c r="BE54" i="20"/>
  <c r="BD54" i="20"/>
  <c r="DE67" i="20"/>
  <c r="DE65" i="20"/>
  <c r="CH67" i="20"/>
  <c r="CH65" i="20"/>
  <c r="CH66" i="20"/>
  <c r="E26" i="21"/>
  <c r="D26" i="21" s="1"/>
  <c r="A71" i="20"/>
  <c r="A70" i="20"/>
  <c r="A69" i="20"/>
  <c r="A68" i="20"/>
  <c r="A67" i="20"/>
  <c r="C37" i="20" l="1"/>
  <c r="B37" i="20"/>
  <c r="C36" i="20"/>
  <c r="B36" i="20"/>
  <c r="C35" i="20"/>
  <c r="B35" i="20"/>
  <c r="C34" i="20"/>
  <c r="B34" i="20"/>
  <c r="C33" i="20"/>
  <c r="B33" i="20"/>
  <c r="C24" i="20"/>
  <c r="B24" i="20"/>
  <c r="C23" i="20"/>
  <c r="B23" i="20"/>
  <c r="C22" i="20"/>
  <c r="B22" i="20"/>
  <c r="C21" i="20"/>
  <c r="B21" i="20"/>
  <c r="C20" i="20"/>
  <c r="B20" i="20"/>
  <c r="G63" i="20" l="1"/>
  <c r="G62" i="20"/>
  <c r="G61" i="20"/>
  <c r="G60" i="20"/>
  <c r="G59" i="20"/>
  <c r="L26" i="21" l="1"/>
  <c r="M26" i="21" s="1"/>
  <c r="N26" i="21" s="1"/>
  <c r="O26" i="21" s="1"/>
  <c r="P26" i="21" s="1"/>
  <c r="Q26" i="21" s="1"/>
  <c r="R26" i="21" s="1"/>
  <c r="S26" i="21" s="1"/>
  <c r="T26" i="21" s="1"/>
  <c r="U26" i="21" s="1"/>
  <c r="V26" i="21" s="1"/>
  <c r="W26" i="21" s="1"/>
  <c r="X26" i="21" s="1"/>
  <c r="Y26" i="21" s="1"/>
  <c r="Z26" i="21" s="1"/>
  <c r="AA26" i="21" s="1"/>
  <c r="AB26" i="21" s="1"/>
  <c r="AC26" i="21" s="1"/>
  <c r="AD26" i="21" s="1"/>
  <c r="AE26" i="21" s="1"/>
  <c r="AF26" i="21" s="1"/>
  <c r="I27" i="21" l="1"/>
  <c r="I60" i="21" s="1"/>
  <c r="I120" i="21" l="1"/>
  <c r="I150" i="21"/>
  <c r="J27" i="21"/>
  <c r="K27" i="21"/>
  <c r="K60" i="21" l="1"/>
  <c r="K85" i="21"/>
  <c r="K63" i="21"/>
  <c r="J60" i="21"/>
  <c r="K33" i="21"/>
  <c r="K93" i="21"/>
  <c r="K30" i="21"/>
  <c r="K90" i="21"/>
  <c r="J30" i="21"/>
  <c r="J150" i="21"/>
  <c r="J120" i="21"/>
  <c r="J123" i="21"/>
  <c r="K169" i="21"/>
  <c r="K139" i="21"/>
  <c r="L27" i="21"/>
  <c r="L85" i="21" s="1"/>
  <c r="L169" i="21" l="1"/>
  <c r="L139" i="21"/>
  <c r="M27" i="21"/>
  <c r="M85" i="21" s="1"/>
  <c r="G42" i="20"/>
  <c r="D48" i="20"/>
  <c r="M169" i="21" l="1"/>
  <c r="M139" i="21"/>
  <c r="AN45" i="20"/>
  <c r="AO45" i="20" s="1"/>
  <c r="AP45" i="20" s="1"/>
  <c r="AQ45" i="20" s="1"/>
  <c r="AR45" i="20" s="1"/>
  <c r="AS45" i="20" s="1"/>
  <c r="AT45" i="20" s="1"/>
  <c r="AU45" i="20" s="1"/>
  <c r="AV45" i="20" s="1"/>
  <c r="AW45" i="20" s="1"/>
  <c r="AX45" i="20" s="1"/>
  <c r="AY45" i="20" s="1"/>
  <c r="AZ45" i="20" s="1"/>
  <c r="BA45" i="20" s="1"/>
  <c r="BB45" i="20" s="1"/>
  <c r="BC45" i="20" s="1"/>
  <c r="BD45" i="20" s="1"/>
  <c r="BE45" i="20" s="1"/>
  <c r="BF45" i="20" s="1"/>
  <c r="BG45" i="20" s="1"/>
  <c r="BH45" i="20" s="1"/>
  <c r="BI45" i="20" s="1"/>
  <c r="AN46" i="20"/>
  <c r="AO46" i="20" s="1"/>
  <c r="AP46" i="20" s="1"/>
  <c r="AQ46" i="20" s="1"/>
  <c r="AR46" i="20" s="1"/>
  <c r="AS46" i="20" s="1"/>
  <c r="AT46" i="20" s="1"/>
  <c r="AU46" i="20" s="1"/>
  <c r="AV46" i="20" s="1"/>
  <c r="AW46" i="20" s="1"/>
  <c r="AX46" i="20" s="1"/>
  <c r="AY46" i="20" s="1"/>
  <c r="AZ46" i="20" s="1"/>
  <c r="BA46" i="20" s="1"/>
  <c r="BB46" i="20" s="1"/>
  <c r="BC46" i="20" s="1"/>
  <c r="BD46" i="20" s="1"/>
  <c r="BE46" i="20" s="1"/>
  <c r="BF46" i="20" s="1"/>
  <c r="BG46" i="20" s="1"/>
  <c r="BH46" i="20" s="1"/>
  <c r="BI46" i="20" s="1"/>
  <c r="AN43" i="20"/>
  <c r="AO43" i="20" s="1"/>
  <c r="AP43" i="20" s="1"/>
  <c r="AQ43" i="20" s="1"/>
  <c r="AR43" i="20" s="1"/>
  <c r="AS43" i="20" s="1"/>
  <c r="AT43" i="20" s="1"/>
  <c r="AU43" i="20" s="1"/>
  <c r="AV43" i="20" s="1"/>
  <c r="AW43" i="20" s="1"/>
  <c r="AX43" i="20" s="1"/>
  <c r="AY43" i="20" s="1"/>
  <c r="AZ43" i="20" s="1"/>
  <c r="BA43" i="20" s="1"/>
  <c r="BB43" i="20" s="1"/>
  <c r="BC43" i="20" s="1"/>
  <c r="BD43" i="20" s="1"/>
  <c r="BE43" i="20" s="1"/>
  <c r="BF43" i="20" s="1"/>
  <c r="BG43" i="20" s="1"/>
  <c r="BH43" i="20" s="1"/>
  <c r="BI43" i="20" s="1"/>
  <c r="AN47" i="20"/>
  <c r="AO47" i="20" s="1"/>
  <c r="AP47" i="20" s="1"/>
  <c r="AQ47" i="20" s="1"/>
  <c r="AR47" i="20" s="1"/>
  <c r="AS47" i="20" s="1"/>
  <c r="AT47" i="20" s="1"/>
  <c r="AU47" i="20" s="1"/>
  <c r="AV47" i="20" s="1"/>
  <c r="AW47" i="20" s="1"/>
  <c r="AX47" i="20" s="1"/>
  <c r="AY47" i="20" s="1"/>
  <c r="AZ47" i="20" s="1"/>
  <c r="BA47" i="20" s="1"/>
  <c r="BB47" i="20" s="1"/>
  <c r="BC47" i="20" s="1"/>
  <c r="BD47" i="20" s="1"/>
  <c r="BE47" i="20" s="1"/>
  <c r="BF47" i="20" s="1"/>
  <c r="BG47" i="20" s="1"/>
  <c r="BH47" i="20" s="1"/>
  <c r="BI47" i="20" s="1"/>
  <c r="AN44" i="20"/>
  <c r="AO44" i="20" s="1"/>
  <c r="AP44" i="20" s="1"/>
  <c r="AQ44" i="20" s="1"/>
  <c r="AR44" i="20" s="1"/>
  <c r="AS44" i="20" s="1"/>
  <c r="AT44" i="20" s="1"/>
  <c r="AU44" i="20" s="1"/>
  <c r="AV44" i="20" s="1"/>
  <c r="AW44" i="20" s="1"/>
  <c r="AX44" i="20" s="1"/>
  <c r="AY44" i="20" s="1"/>
  <c r="AZ44" i="20" s="1"/>
  <c r="BA44" i="20" s="1"/>
  <c r="BB44" i="20" s="1"/>
  <c r="BC44" i="20" s="1"/>
  <c r="BD44" i="20" s="1"/>
  <c r="BE44" i="20" s="1"/>
  <c r="BF44" i="20" s="1"/>
  <c r="BG44" i="20" s="1"/>
  <c r="BH44" i="20" s="1"/>
  <c r="BI44" i="20" s="1"/>
  <c r="N27" i="21"/>
  <c r="N85" i="21" s="1"/>
  <c r="N169" i="21" l="1"/>
  <c r="N139" i="21"/>
  <c r="O27" i="21"/>
  <c r="O85" i="21" s="1"/>
  <c r="O169" i="21" l="1"/>
  <c r="O139" i="21"/>
  <c r="P27" i="21"/>
  <c r="P85" i="21" s="1"/>
  <c r="AI158" i="21"/>
  <c r="AI128" i="21"/>
  <c r="AI68" i="21"/>
  <c r="AI38" i="21"/>
  <c r="P169" i="21" l="1"/>
  <c r="P139" i="21"/>
  <c r="Q27" i="21"/>
  <c r="Q85" i="21" s="1"/>
  <c r="Q169" i="21" l="1"/>
  <c r="Q139" i="21"/>
  <c r="R27" i="21"/>
  <c r="R85" i="21" s="1"/>
  <c r="R169" i="21" l="1"/>
  <c r="R139" i="21"/>
  <c r="S27" i="21"/>
  <c r="S85" i="21" s="1"/>
  <c r="CH54" i="20"/>
  <c r="CI54" i="20" s="1"/>
  <c r="CJ54" i="20" s="1"/>
  <c r="CK54" i="20" s="1"/>
  <c r="CL54" i="20" s="1"/>
  <c r="CM54" i="20" s="1"/>
  <c r="CN54" i="20" s="1"/>
  <c r="CO54" i="20" s="1"/>
  <c r="CP54" i="20" s="1"/>
  <c r="CQ54" i="20" s="1"/>
  <c r="CR54" i="20" s="1"/>
  <c r="CS54" i="20" s="1"/>
  <c r="CT54" i="20" s="1"/>
  <c r="CU54" i="20" s="1"/>
  <c r="CV54" i="20" s="1"/>
  <c r="CW54" i="20" s="1"/>
  <c r="CX54" i="20" s="1"/>
  <c r="CY54" i="20" s="1"/>
  <c r="CZ54" i="20" s="1"/>
  <c r="DA54" i="20" s="1"/>
  <c r="DB54" i="20" s="1"/>
  <c r="DC54" i="20" s="1"/>
  <c r="CH64" i="20"/>
  <c r="CI64" i="20" s="1"/>
  <c r="CI66" i="20" s="1"/>
  <c r="DE64" i="20"/>
  <c r="DF64" i="20" s="1"/>
  <c r="DF66" i="20" s="1"/>
  <c r="DE54" i="20"/>
  <c r="DF54" i="20" s="1"/>
  <c r="DG54" i="20" s="1"/>
  <c r="DH54" i="20" s="1"/>
  <c r="DI54" i="20" s="1"/>
  <c r="DJ54" i="20" s="1"/>
  <c r="DK54" i="20" s="1"/>
  <c r="DL54" i="20" s="1"/>
  <c r="DM54" i="20" s="1"/>
  <c r="DN54" i="20" s="1"/>
  <c r="DO54" i="20" s="1"/>
  <c r="DP54" i="20" s="1"/>
  <c r="DQ54" i="20" s="1"/>
  <c r="DR54" i="20" s="1"/>
  <c r="DS54" i="20" s="1"/>
  <c r="DT54" i="20" s="1"/>
  <c r="DU54" i="20" s="1"/>
  <c r="DV54" i="20" s="1"/>
  <c r="DW54" i="20" s="1"/>
  <c r="DX54" i="20" s="1"/>
  <c r="DY54" i="20" s="1"/>
  <c r="DZ54" i="20" s="1"/>
  <c r="DG64" i="20" l="1"/>
  <c r="DG66" i="20" s="1"/>
  <c r="DF67" i="20"/>
  <c r="DF65" i="20"/>
  <c r="CJ64" i="20"/>
  <c r="CJ66" i="20" s="1"/>
  <c r="CI67" i="20"/>
  <c r="CI65" i="20"/>
  <c r="S169" i="21"/>
  <c r="S139" i="21"/>
  <c r="T27" i="21"/>
  <c r="T85" i="21" s="1"/>
  <c r="DH64" i="20" l="1"/>
  <c r="DH66" i="20" s="1"/>
  <c r="DG67" i="20"/>
  <c r="DG65" i="20"/>
  <c r="CK64" i="20"/>
  <c r="CK66" i="20" s="1"/>
  <c r="CJ65" i="20"/>
  <c r="CJ67" i="20"/>
  <c r="T169" i="21"/>
  <c r="T139" i="21"/>
  <c r="AI98" i="21"/>
  <c r="U27" i="21"/>
  <c r="U85" i="21" s="1"/>
  <c r="A59" i="2"/>
  <c r="E8" i="2" s="1"/>
  <c r="E40" i="2"/>
  <c r="E7" i="2" s="1"/>
  <c r="A40" i="2"/>
  <c r="E6" i="2" s="1"/>
  <c r="E21" i="2"/>
  <c r="E5" i="2" s="1"/>
  <c r="A21" i="2"/>
  <c r="E4" i="2" s="1"/>
  <c r="B8" i="21"/>
  <c r="B7" i="21"/>
  <c r="B6" i="21"/>
  <c r="B5" i="21"/>
  <c r="B4" i="21"/>
  <c r="B8" i="63"/>
  <c r="B7" i="63"/>
  <c r="A37" i="20"/>
  <c r="A36" i="20"/>
  <c r="A35" i="20"/>
  <c r="A34" i="20"/>
  <c r="A33" i="20"/>
  <c r="A24" i="20"/>
  <c r="A23" i="20"/>
  <c r="A21" i="20"/>
  <c r="D37" i="20"/>
  <c r="D36" i="20"/>
  <c r="D35" i="20"/>
  <c r="D34" i="20"/>
  <c r="D33" i="20"/>
  <c r="D24" i="20"/>
  <c r="D23" i="20"/>
  <c r="D22" i="20"/>
  <c r="D21" i="20"/>
  <c r="D20" i="20"/>
  <c r="D11" i="20"/>
  <c r="K158" i="21" s="1"/>
  <c r="L158" i="21" s="1"/>
  <c r="M158" i="21" s="1"/>
  <c r="N158" i="21" s="1"/>
  <c r="O158" i="21" s="1"/>
  <c r="P158" i="21" s="1"/>
  <c r="Q158" i="21" s="1"/>
  <c r="R158" i="21" s="1"/>
  <c r="S158" i="21" s="1"/>
  <c r="T158" i="21" s="1"/>
  <c r="U158" i="21" s="1"/>
  <c r="V158" i="21" s="1"/>
  <c r="W158" i="21" s="1"/>
  <c r="X158" i="21" s="1"/>
  <c r="Y158" i="21" s="1"/>
  <c r="Z158" i="21" s="1"/>
  <c r="AA158" i="21" s="1"/>
  <c r="AB158" i="21" s="1"/>
  <c r="AC158" i="21" s="1"/>
  <c r="AD158" i="21" s="1"/>
  <c r="D10" i="20"/>
  <c r="K128" i="21" s="1"/>
  <c r="L128" i="21" s="1"/>
  <c r="M128" i="21" s="1"/>
  <c r="N128" i="21" s="1"/>
  <c r="O128" i="21" s="1"/>
  <c r="P128" i="21" s="1"/>
  <c r="Q128" i="21" s="1"/>
  <c r="R128" i="21" s="1"/>
  <c r="S128" i="21" s="1"/>
  <c r="T128" i="21" s="1"/>
  <c r="U128" i="21" s="1"/>
  <c r="V128" i="21" s="1"/>
  <c r="W128" i="21" s="1"/>
  <c r="X128" i="21" s="1"/>
  <c r="Y128" i="21" s="1"/>
  <c r="Z128" i="21" s="1"/>
  <c r="AA128" i="21" s="1"/>
  <c r="AB128" i="21" s="1"/>
  <c r="AC128" i="21" s="1"/>
  <c r="AD128" i="21" s="1"/>
  <c r="D9" i="20"/>
  <c r="D8" i="20"/>
  <c r="K68" i="21" s="1"/>
  <c r="L68" i="21" s="1"/>
  <c r="M68" i="21" s="1"/>
  <c r="N68" i="21" s="1"/>
  <c r="O68" i="21" s="1"/>
  <c r="P68" i="21" s="1"/>
  <c r="Q68" i="21" s="1"/>
  <c r="R68" i="21" s="1"/>
  <c r="S68" i="21" s="1"/>
  <c r="T68" i="21" s="1"/>
  <c r="U68" i="21" s="1"/>
  <c r="V68" i="21" s="1"/>
  <c r="W68" i="21" s="1"/>
  <c r="X68" i="21" s="1"/>
  <c r="Y68" i="21" s="1"/>
  <c r="Z68" i="21" s="1"/>
  <c r="AA68" i="21" s="1"/>
  <c r="AB68" i="21" s="1"/>
  <c r="AC68" i="21" s="1"/>
  <c r="AD68" i="21" s="1"/>
  <c r="D7" i="20"/>
  <c r="K38" i="21" s="1"/>
  <c r="L38" i="21" s="1"/>
  <c r="M38" i="21" s="1"/>
  <c r="N38" i="21" s="1"/>
  <c r="O38" i="21" s="1"/>
  <c r="P38" i="21" s="1"/>
  <c r="Q38" i="21" s="1"/>
  <c r="R38" i="21" s="1"/>
  <c r="S38" i="21" s="1"/>
  <c r="T38" i="21" s="1"/>
  <c r="U38" i="21" s="1"/>
  <c r="V38" i="21" s="1"/>
  <c r="W38" i="21" s="1"/>
  <c r="X38" i="21" s="1"/>
  <c r="Y38" i="21" s="1"/>
  <c r="Z38" i="21" s="1"/>
  <c r="AA38" i="21" s="1"/>
  <c r="AB38" i="21" s="1"/>
  <c r="AC38" i="21" s="1"/>
  <c r="AD38" i="21" s="1"/>
  <c r="DI64" i="20" l="1"/>
  <c r="DI66" i="20" s="1"/>
  <c r="DH67" i="20"/>
  <c r="DH65" i="20"/>
  <c r="CL64" i="20"/>
  <c r="CL66" i="20" s="1"/>
  <c r="CK65" i="20"/>
  <c r="CK67" i="20"/>
  <c r="U169" i="21"/>
  <c r="U139" i="21"/>
  <c r="K98" i="21"/>
  <c r="L98" i="21" s="1"/>
  <c r="M98" i="21" s="1"/>
  <c r="N98" i="21" s="1"/>
  <c r="O98" i="21" s="1"/>
  <c r="P98" i="21" s="1"/>
  <c r="Q98" i="21" s="1"/>
  <c r="R98" i="21" s="1"/>
  <c r="S98" i="21" s="1"/>
  <c r="T98" i="21" s="1"/>
  <c r="U98" i="21" s="1"/>
  <c r="V98" i="21" s="1"/>
  <c r="W98" i="21" s="1"/>
  <c r="X98" i="21" s="1"/>
  <c r="Y98" i="21" s="1"/>
  <c r="Z98" i="21" s="1"/>
  <c r="AA98" i="21" s="1"/>
  <c r="AB98" i="21" s="1"/>
  <c r="AC98" i="21" s="1"/>
  <c r="AD98" i="21" s="1"/>
  <c r="B118" i="21"/>
  <c r="L15" i="21"/>
  <c r="L23" i="21"/>
  <c r="B28" i="21"/>
  <c r="L20" i="21"/>
  <c r="L12" i="21"/>
  <c r="B148" i="21"/>
  <c r="L24" i="21"/>
  <c r="L16" i="21"/>
  <c r="B58" i="21"/>
  <c r="L21" i="21"/>
  <c r="L13" i="21"/>
  <c r="B88" i="21"/>
  <c r="L22" i="21"/>
  <c r="L14" i="21"/>
  <c r="V27" i="21"/>
  <c r="V85" i="21" s="1"/>
  <c r="DJ64" i="20" l="1"/>
  <c r="DJ66" i="20" s="1"/>
  <c r="DI67" i="20"/>
  <c r="DI65" i="20"/>
  <c r="CM64" i="20"/>
  <c r="CM66" i="20" s="1"/>
  <c r="CL67" i="20"/>
  <c r="CL65" i="20"/>
  <c r="V169" i="21"/>
  <c r="V139" i="21"/>
  <c r="W27" i="21"/>
  <c r="W85" i="21" s="1"/>
  <c r="DK64" i="20" l="1"/>
  <c r="DK66" i="20" s="1"/>
  <c r="DJ67" i="20"/>
  <c r="DJ65" i="20"/>
  <c r="CN64" i="20"/>
  <c r="CN66" i="20" s="1"/>
  <c r="CM65" i="20"/>
  <c r="CM67" i="20"/>
  <c r="W169" i="21"/>
  <c r="W139" i="21"/>
  <c r="X27" i="21"/>
  <c r="X85" i="21" s="1"/>
  <c r="P20" i="20"/>
  <c r="DL64" i="20" l="1"/>
  <c r="DL66" i="20" s="1"/>
  <c r="DK67" i="20"/>
  <c r="DK65" i="20"/>
  <c r="CO64" i="20"/>
  <c r="CO66" i="20" s="1"/>
  <c r="CN67" i="20"/>
  <c r="CN65" i="20"/>
  <c r="X169" i="21"/>
  <c r="X139" i="21"/>
  <c r="Y27" i="21"/>
  <c r="Y85" i="21" s="1"/>
  <c r="DM64" i="20" l="1"/>
  <c r="DM66" i="20" s="1"/>
  <c r="DL67" i="20"/>
  <c r="DL65" i="20"/>
  <c r="CP64" i="20"/>
  <c r="CP66" i="20" s="1"/>
  <c r="CO65" i="20"/>
  <c r="CO67" i="20"/>
  <c r="Y169" i="21"/>
  <c r="Y139" i="21"/>
  <c r="V49" i="21"/>
  <c r="R49" i="21"/>
  <c r="N49" i="21"/>
  <c r="U49" i="21"/>
  <c r="M49" i="21"/>
  <c r="T49" i="21"/>
  <c r="L49" i="21"/>
  <c r="W49" i="21"/>
  <c r="S49" i="21"/>
  <c r="O49" i="21"/>
  <c r="K49" i="21"/>
  <c r="Y49" i="21"/>
  <c r="Q49" i="21"/>
  <c r="X49" i="21"/>
  <c r="P49" i="21"/>
  <c r="K55" i="21"/>
  <c r="L55" i="21"/>
  <c r="M55" i="21"/>
  <c r="N55" i="21"/>
  <c r="O55" i="21"/>
  <c r="P55" i="21"/>
  <c r="Q55" i="21"/>
  <c r="R55" i="21"/>
  <c r="S55" i="21"/>
  <c r="T55" i="21"/>
  <c r="U55" i="21"/>
  <c r="V55" i="21"/>
  <c r="W55" i="21"/>
  <c r="X55" i="21"/>
  <c r="Z27" i="21"/>
  <c r="Z85" i="21" s="1"/>
  <c r="Y55" i="21"/>
  <c r="Z49" i="21" l="1"/>
  <c r="DN64" i="20"/>
  <c r="DN66" i="20" s="1"/>
  <c r="DM67" i="20"/>
  <c r="DM65" i="20"/>
  <c r="CQ64" i="20"/>
  <c r="CQ66" i="20" s="1"/>
  <c r="CP67" i="20"/>
  <c r="CP65" i="20"/>
  <c r="Z169" i="21"/>
  <c r="Z139" i="21"/>
  <c r="AA27" i="21"/>
  <c r="AA85" i="21" s="1"/>
  <c r="Z55" i="21"/>
  <c r="DO64" i="20" l="1"/>
  <c r="DO66" i="20" s="1"/>
  <c r="DN67" i="20"/>
  <c r="DN65" i="20"/>
  <c r="CR64" i="20"/>
  <c r="CR66" i="20" s="1"/>
  <c r="CQ67" i="20"/>
  <c r="CQ65" i="20"/>
  <c r="AA169" i="21"/>
  <c r="AA139" i="21"/>
  <c r="AA49" i="21"/>
  <c r="AB27" i="21"/>
  <c r="AB85" i="21" s="1"/>
  <c r="AA55" i="21"/>
  <c r="AA175" i="21"/>
  <c r="DP64" i="20" l="1"/>
  <c r="DP66" i="20" s="1"/>
  <c r="DO67" i="20"/>
  <c r="DO65" i="20"/>
  <c r="CS64" i="20"/>
  <c r="CS66" i="20" s="1"/>
  <c r="CR67" i="20"/>
  <c r="CR65" i="20"/>
  <c r="AB169" i="21"/>
  <c r="AB139" i="21"/>
  <c r="AB49" i="21"/>
  <c r="AA115" i="21"/>
  <c r="Z109" i="21"/>
  <c r="V109" i="21"/>
  <c r="R109" i="21"/>
  <c r="N109" i="21"/>
  <c r="Y109" i="21"/>
  <c r="U109" i="21"/>
  <c r="Q109" i="21"/>
  <c r="AB109" i="21"/>
  <c r="X109" i="21"/>
  <c r="T109" i="21"/>
  <c r="P109" i="21"/>
  <c r="L109" i="21"/>
  <c r="AA109" i="21"/>
  <c r="W109" i="21"/>
  <c r="S109" i="21"/>
  <c r="O109" i="21"/>
  <c r="K109" i="21"/>
  <c r="M109" i="21"/>
  <c r="K145" i="21"/>
  <c r="L145" i="21"/>
  <c r="M145" i="21"/>
  <c r="N145" i="21"/>
  <c r="O145" i="21"/>
  <c r="P145" i="21"/>
  <c r="Q145" i="21"/>
  <c r="R145" i="21"/>
  <c r="S145" i="21"/>
  <c r="T145" i="21"/>
  <c r="U145" i="21"/>
  <c r="V145" i="21"/>
  <c r="W145" i="21"/>
  <c r="X145" i="21"/>
  <c r="Y145" i="21"/>
  <c r="Z145" i="21"/>
  <c r="K115" i="21"/>
  <c r="L115" i="21"/>
  <c r="M115" i="21"/>
  <c r="N115" i="21"/>
  <c r="O115" i="21"/>
  <c r="P115" i="21"/>
  <c r="Q115" i="21"/>
  <c r="R115" i="21"/>
  <c r="S115" i="21"/>
  <c r="T115" i="21"/>
  <c r="U115" i="21"/>
  <c r="V115" i="21"/>
  <c r="W115" i="21"/>
  <c r="X115" i="21"/>
  <c r="Y115" i="21"/>
  <c r="Z115" i="21"/>
  <c r="K175" i="21"/>
  <c r="L175" i="21"/>
  <c r="M175" i="21"/>
  <c r="N175" i="21"/>
  <c r="O175" i="21"/>
  <c r="P175" i="21"/>
  <c r="Q175" i="21"/>
  <c r="R175" i="21"/>
  <c r="S175" i="21"/>
  <c r="T175" i="21"/>
  <c r="U175" i="21"/>
  <c r="V175" i="21"/>
  <c r="W175" i="21"/>
  <c r="X175" i="21"/>
  <c r="Y175" i="21"/>
  <c r="Z175" i="21"/>
  <c r="AA145" i="21"/>
  <c r="AC27" i="21"/>
  <c r="AC85" i="21" s="1"/>
  <c r="AB175" i="21"/>
  <c r="AB55" i="21"/>
  <c r="AB145" i="21"/>
  <c r="AB115" i="21"/>
  <c r="AC109" i="21" l="1"/>
  <c r="DQ64" i="20"/>
  <c r="DQ66" i="20" s="1"/>
  <c r="DP67" i="20"/>
  <c r="DP65" i="20"/>
  <c r="CT64" i="20"/>
  <c r="CT66" i="20" s="1"/>
  <c r="CS65" i="20"/>
  <c r="CS67" i="20"/>
  <c r="AC169" i="21"/>
  <c r="AC139" i="21"/>
  <c r="AC49" i="21"/>
  <c r="AD27" i="21"/>
  <c r="AC145" i="21"/>
  <c r="AC175" i="21"/>
  <c r="AC55" i="21"/>
  <c r="AC115" i="21"/>
  <c r="M20" i="20"/>
  <c r="S20" i="20"/>
  <c r="AQ33" i="20" s="1"/>
  <c r="AD83" i="21" l="1"/>
  <c r="AD85" i="21"/>
  <c r="DV55" i="20"/>
  <c r="CY55" i="20"/>
  <c r="DR64" i="20"/>
  <c r="DR66" i="20" s="1"/>
  <c r="DQ67" i="20"/>
  <c r="DQ65" i="20"/>
  <c r="CU64" i="20"/>
  <c r="CU66" i="20" s="1"/>
  <c r="CT67" i="20"/>
  <c r="CT65" i="20"/>
  <c r="AD169" i="21"/>
  <c r="AD139" i="21"/>
  <c r="AD49" i="21"/>
  <c r="AD109" i="21"/>
  <c r="AE27" i="21"/>
  <c r="AD145" i="21"/>
  <c r="G31" i="2"/>
  <c r="AD55" i="21"/>
  <c r="AD175" i="21"/>
  <c r="AD115" i="21"/>
  <c r="AF27" i="21" l="1"/>
  <c r="DS64" i="20"/>
  <c r="DS66" i="20" s="1"/>
  <c r="DR67" i="20"/>
  <c r="DR65" i="20"/>
  <c r="CV64" i="20"/>
  <c r="CV66" i="20" s="1"/>
  <c r="CU65" i="20"/>
  <c r="CU67" i="20"/>
  <c r="DT64" i="20" l="1"/>
  <c r="DT66" i="20" s="1"/>
  <c r="DS67" i="20"/>
  <c r="DS65" i="20"/>
  <c r="CW64" i="20"/>
  <c r="CW66" i="20" s="1"/>
  <c r="CV67" i="20"/>
  <c r="CV65" i="20"/>
  <c r="AA120" i="21"/>
  <c r="J153" i="21"/>
  <c r="DU64" i="20" l="1"/>
  <c r="DU66" i="20" s="1"/>
  <c r="DT67" i="20"/>
  <c r="DT65" i="20"/>
  <c r="CX64" i="20"/>
  <c r="CX66" i="20" s="1"/>
  <c r="CW67" i="20"/>
  <c r="CW65" i="20"/>
  <c r="AA150" i="21"/>
  <c r="DV64" i="20" l="1"/>
  <c r="DV66" i="20" s="1"/>
  <c r="DU67" i="20"/>
  <c r="DU65" i="20"/>
  <c r="CY64" i="20"/>
  <c r="CY66" i="20" s="1"/>
  <c r="CX67" i="20"/>
  <c r="CX65" i="20"/>
  <c r="DW64" i="20" l="1"/>
  <c r="DW66" i="20" s="1"/>
  <c r="DV67" i="20"/>
  <c r="DV65" i="20"/>
  <c r="CZ64" i="20"/>
  <c r="CZ66" i="20" s="1"/>
  <c r="CY65" i="20"/>
  <c r="CY67" i="20"/>
  <c r="U45" i="20"/>
  <c r="U44" i="20"/>
  <c r="U43" i="20"/>
  <c r="U42" i="20"/>
  <c r="U41" i="20"/>
  <c r="DX64" i="20" l="1"/>
  <c r="DX66" i="20" s="1"/>
  <c r="DW67" i="20"/>
  <c r="DW65" i="20"/>
  <c r="DA64" i="20"/>
  <c r="DA66" i="20" s="1"/>
  <c r="CZ67" i="20"/>
  <c r="CZ65" i="20"/>
  <c r="J48" i="20"/>
  <c r="BN33" i="20" s="1"/>
  <c r="DY64" i="20" l="1"/>
  <c r="DX67" i="20"/>
  <c r="DX65" i="20"/>
  <c r="DB64" i="20"/>
  <c r="DA65" i="20"/>
  <c r="DA67" i="20"/>
  <c r="CH47" i="20"/>
  <c r="CH46" i="20"/>
  <c r="CK33" i="20"/>
  <c r="DE68" i="20"/>
  <c r="DE69" i="20"/>
  <c r="CH68" i="20"/>
  <c r="CH69" i="20"/>
  <c r="DZ64" i="20" l="1"/>
  <c r="DC64" i="20"/>
  <c r="DB65" i="20"/>
  <c r="DB67" i="20"/>
  <c r="BK43" i="20"/>
  <c r="BK46" i="20"/>
  <c r="BK45" i="20"/>
  <c r="BK47" i="20"/>
  <c r="B2" i="21"/>
  <c r="DC65" i="20" l="1"/>
  <c r="DC67" i="20"/>
  <c r="DA11" i="21"/>
  <c r="BG11" i="21"/>
  <c r="AJ19" i="21"/>
  <c r="AJ11" i="21"/>
  <c r="BG3" i="21"/>
  <c r="DF69" i="20" l="1"/>
  <c r="CI47" i="20"/>
  <c r="CJ47" i="20" s="1"/>
  <c r="CK47" i="20" s="1"/>
  <c r="CL47" i="20" s="1"/>
  <c r="CM47" i="20" s="1"/>
  <c r="CN47" i="20" s="1"/>
  <c r="CO47" i="20" s="1"/>
  <c r="CP47" i="20" s="1"/>
  <c r="CQ47" i="20" s="1"/>
  <c r="CR47" i="20" s="1"/>
  <c r="CS47" i="20" s="1"/>
  <c r="CT47" i="20" s="1"/>
  <c r="CU47" i="20" s="1"/>
  <c r="CV47" i="20" s="1"/>
  <c r="CW47" i="20" s="1"/>
  <c r="CX47" i="20" s="1"/>
  <c r="CY47" i="20" s="1"/>
  <c r="CZ47" i="20" s="1"/>
  <c r="DA47" i="20" s="1"/>
  <c r="DB47" i="20" s="1"/>
  <c r="DC47" i="20" s="1"/>
  <c r="P11" i="20"/>
  <c r="S11" i="20" s="1"/>
  <c r="J90" i="21"/>
  <c r="G32" i="2"/>
  <c r="F3" i="21"/>
  <c r="G3" i="21"/>
  <c r="H3" i="21"/>
  <c r="I3" i="21"/>
  <c r="E3" i="21"/>
  <c r="DG69" i="20" l="1"/>
  <c r="W45" i="20"/>
  <c r="P24" i="20"/>
  <c r="S24" i="20" s="1"/>
  <c r="CI69" i="20"/>
  <c r="G25" i="2"/>
  <c r="CJ69" i="20" l="1"/>
  <c r="DH69" i="20"/>
  <c r="Q24" i="20"/>
  <c r="T24" i="20" s="1"/>
  <c r="Y24" i="20" s="1"/>
  <c r="Q11" i="20"/>
  <c r="T11" i="20" s="1"/>
  <c r="U11" i="20" s="1"/>
  <c r="N37" i="20"/>
  <c r="M37" i="20" s="1"/>
  <c r="DI69" i="20" l="1"/>
  <c r="CK69" i="20"/>
  <c r="V24" i="20"/>
  <c r="W24" i="20"/>
  <c r="U24" i="20"/>
  <c r="X24" i="20"/>
  <c r="W11" i="20"/>
  <c r="V11" i="20"/>
  <c r="Y11" i="20"/>
  <c r="X11" i="20"/>
  <c r="P37" i="20"/>
  <c r="CL69" i="20" l="1"/>
  <c r="DJ69" i="20"/>
  <c r="Q37" i="20"/>
  <c r="AN57" i="20" s="1"/>
  <c r="DK69" i="20" l="1"/>
  <c r="CM69" i="20"/>
  <c r="N24" i="21"/>
  <c r="CH59" i="20"/>
  <c r="K167" i="21" s="1"/>
  <c r="DE59" i="20"/>
  <c r="AD173" i="21"/>
  <c r="DF59" i="20" l="1"/>
  <c r="L166" i="21" s="1"/>
  <c r="K166" i="21"/>
  <c r="CN69" i="20"/>
  <c r="DL69" i="20"/>
  <c r="CI59" i="20"/>
  <c r="AO57" i="20"/>
  <c r="AN52" i="20"/>
  <c r="H9" i="21"/>
  <c r="G9" i="21"/>
  <c r="F9" i="21"/>
  <c r="E9" i="21"/>
  <c r="EA59" i="20" l="1"/>
  <c r="AD171" i="21"/>
  <c r="Z171" i="21"/>
  <c r="V171" i="21"/>
  <c r="R171" i="21"/>
  <c r="N171" i="21"/>
  <c r="AD141" i="21"/>
  <c r="Z141" i="21"/>
  <c r="V141" i="21"/>
  <c r="R141" i="21"/>
  <c r="N141" i="21"/>
  <c r="AD111" i="21"/>
  <c r="Z111" i="21"/>
  <c r="V111" i="21"/>
  <c r="R111" i="21"/>
  <c r="N111" i="21"/>
  <c r="AD81" i="21"/>
  <c r="Z81" i="21"/>
  <c r="V81" i="21"/>
  <c r="R81" i="21"/>
  <c r="N81" i="21"/>
  <c r="AD51" i="21"/>
  <c r="Z51" i="21"/>
  <c r="V51" i="21"/>
  <c r="R51" i="21"/>
  <c r="N51" i="21"/>
  <c r="S141" i="21"/>
  <c r="AA111" i="21"/>
  <c r="W111" i="21"/>
  <c r="S111" i="21"/>
  <c r="O111" i="21"/>
  <c r="K111" i="21"/>
  <c r="K81" i="21"/>
  <c r="AA51" i="21"/>
  <c r="W51" i="21"/>
  <c r="S51" i="21"/>
  <c r="O51" i="21"/>
  <c r="K51" i="21"/>
  <c r="AC171" i="21"/>
  <c r="Y171" i="21"/>
  <c r="U171" i="21"/>
  <c r="Q171" i="21"/>
  <c r="M171" i="21"/>
  <c r="AC141" i="21"/>
  <c r="Y141" i="21"/>
  <c r="U141" i="21"/>
  <c r="Q141" i="21"/>
  <c r="M141" i="21"/>
  <c r="AC111" i="21"/>
  <c r="Y111" i="21"/>
  <c r="U111" i="21"/>
  <c r="Q111" i="21"/>
  <c r="M111" i="21"/>
  <c r="AC81" i="21"/>
  <c r="Y81" i="21"/>
  <c r="U81" i="21"/>
  <c r="Q81" i="21"/>
  <c r="M81" i="21"/>
  <c r="AC51" i="21"/>
  <c r="Y51" i="21"/>
  <c r="U51" i="21"/>
  <c r="Q51" i="21"/>
  <c r="M51" i="21"/>
  <c r="AA141" i="21"/>
  <c r="K141" i="21"/>
  <c r="AA81" i="21"/>
  <c r="W81" i="21"/>
  <c r="S81" i="21"/>
  <c r="O81" i="21"/>
  <c r="AB171" i="21"/>
  <c r="X171" i="21"/>
  <c r="T171" i="21"/>
  <c r="P171" i="21"/>
  <c r="L171" i="21"/>
  <c r="AB141" i="21"/>
  <c r="X141" i="21"/>
  <c r="T141" i="21"/>
  <c r="P141" i="21"/>
  <c r="L141" i="21"/>
  <c r="AB111" i="21"/>
  <c r="X111" i="21"/>
  <c r="T111" i="21"/>
  <c r="P111" i="21"/>
  <c r="L111" i="21"/>
  <c r="AB81" i="21"/>
  <c r="X81" i="21"/>
  <c r="T81" i="21"/>
  <c r="P81" i="21"/>
  <c r="L81" i="21"/>
  <c r="AB51" i="21"/>
  <c r="X51" i="21"/>
  <c r="T51" i="21"/>
  <c r="P51" i="21"/>
  <c r="L51" i="21"/>
  <c r="AA171" i="21"/>
  <c r="W171" i="21"/>
  <c r="S171" i="21"/>
  <c r="O171" i="21"/>
  <c r="K171" i="21"/>
  <c r="W141" i="21"/>
  <c r="O141" i="21"/>
  <c r="DG59" i="20"/>
  <c r="M166" i="21" s="1"/>
  <c r="CJ59" i="20"/>
  <c r="M167" i="21" s="1"/>
  <c r="L167" i="21"/>
  <c r="AP57" i="20"/>
  <c r="O24" i="21"/>
  <c r="DM69" i="20"/>
  <c r="CO69" i="20"/>
  <c r="K160" i="21"/>
  <c r="AO52" i="20"/>
  <c r="N19" i="21"/>
  <c r="G29" i="2" l="1"/>
  <c r="DH59" i="20"/>
  <c r="N166" i="21" s="1"/>
  <c r="CK59" i="20"/>
  <c r="N167" i="21" s="1"/>
  <c r="DN69" i="20"/>
  <c r="CP69" i="20"/>
  <c r="AQ57" i="20"/>
  <c r="P24" i="21"/>
  <c r="O19" i="21"/>
  <c r="AP52" i="20"/>
  <c r="DI59" i="20" l="1"/>
  <c r="O166" i="21" s="1"/>
  <c r="CL59" i="20"/>
  <c r="O167" i="21" s="1"/>
  <c r="CQ69" i="20"/>
  <c r="DO69" i="20"/>
  <c r="AR57" i="20"/>
  <c r="Q24" i="21"/>
  <c r="P19" i="21"/>
  <c r="L160" i="21"/>
  <c r="AQ52" i="20"/>
  <c r="DJ59" i="20" l="1"/>
  <c r="P166" i="21" s="1"/>
  <c r="CM59" i="20"/>
  <c r="P167" i="21" s="1"/>
  <c r="DP69" i="20"/>
  <c r="AS57" i="20"/>
  <c r="R24" i="21"/>
  <c r="CR69" i="20"/>
  <c r="Q19" i="21"/>
  <c r="M160" i="21"/>
  <c r="AR52" i="20"/>
  <c r="DK59" i="20" l="1"/>
  <c r="Q166" i="21" s="1"/>
  <c r="CN59" i="20"/>
  <c r="Q167" i="21" s="1"/>
  <c r="AT57" i="20"/>
  <c r="S24" i="21"/>
  <c r="CS69" i="20"/>
  <c r="DQ69" i="20"/>
  <c r="R19" i="21"/>
  <c r="N160" i="21"/>
  <c r="AS52" i="20"/>
  <c r="CH42" i="20"/>
  <c r="BK42" i="20"/>
  <c r="AN42" i="20"/>
  <c r="DL59" i="20" l="1"/>
  <c r="R166" i="21" s="1"/>
  <c r="CH45" i="20"/>
  <c r="CH43" i="20"/>
  <c r="CO59" i="20"/>
  <c r="R167" i="21" s="1"/>
  <c r="CT69" i="20"/>
  <c r="DR69" i="20"/>
  <c r="AU57" i="20"/>
  <c r="T24" i="21"/>
  <c r="DM59" i="20"/>
  <c r="S166" i="21" s="1"/>
  <c r="CI42" i="20"/>
  <c r="CE11" i="21"/>
  <c r="S19" i="21"/>
  <c r="AO42" i="20"/>
  <c r="N11" i="21"/>
  <c r="BL42" i="20"/>
  <c r="AK11" i="21"/>
  <c r="BH11" i="21"/>
  <c r="O160" i="21"/>
  <c r="AT52" i="20"/>
  <c r="CI45" i="20" l="1"/>
  <c r="CI43" i="20"/>
  <c r="BL43" i="20"/>
  <c r="BL45" i="20"/>
  <c r="CP59" i="20"/>
  <c r="S167" i="21" s="1"/>
  <c r="DS69" i="20"/>
  <c r="AV57" i="20"/>
  <c r="U24" i="21"/>
  <c r="CU69" i="20"/>
  <c r="CQ59" i="20"/>
  <c r="T167" i="21" s="1"/>
  <c r="DN59" i="20"/>
  <c r="T166" i="21" s="1"/>
  <c r="AP42" i="20"/>
  <c r="O11" i="21"/>
  <c r="BM42" i="20"/>
  <c r="AL11" i="21"/>
  <c r="P160" i="21"/>
  <c r="T19" i="21"/>
  <c r="BI11" i="21"/>
  <c r="CJ42" i="20"/>
  <c r="CF11" i="21"/>
  <c r="AU52" i="20"/>
  <c r="CJ43" i="20" l="1"/>
  <c r="CJ45" i="20"/>
  <c r="BM43" i="20"/>
  <c r="BM45" i="20"/>
  <c r="AW57" i="20"/>
  <c r="V24" i="21"/>
  <c r="CV69" i="20"/>
  <c r="DT69" i="20"/>
  <c r="DO59" i="20"/>
  <c r="U166" i="21" s="1"/>
  <c r="CR59" i="20"/>
  <c r="U167" i="21" s="1"/>
  <c r="AQ42" i="20"/>
  <c r="P11" i="21"/>
  <c r="BN42" i="20"/>
  <c r="AM11" i="21"/>
  <c r="BJ11" i="21"/>
  <c r="U19" i="21"/>
  <c r="Q160" i="21"/>
  <c r="CK42" i="20"/>
  <c r="CG11" i="21"/>
  <c r="AV52" i="20"/>
  <c r="CK43" i="20" l="1"/>
  <c r="CK45" i="20"/>
  <c r="BN43" i="20"/>
  <c r="BN45" i="20"/>
  <c r="CW69" i="20"/>
  <c r="DU69" i="20"/>
  <c r="AX57" i="20"/>
  <c r="W24" i="21"/>
  <c r="CS59" i="20"/>
  <c r="V167" i="21" s="1"/>
  <c r="DP59" i="20"/>
  <c r="V166" i="21" s="1"/>
  <c r="V19" i="21"/>
  <c r="BK11" i="21"/>
  <c r="R160" i="21"/>
  <c r="CL42" i="20"/>
  <c r="CH11" i="21"/>
  <c r="BO42" i="20"/>
  <c r="AN11" i="21"/>
  <c r="AR42" i="20"/>
  <c r="Q11" i="21"/>
  <c r="AW52" i="20"/>
  <c r="E90" i="21"/>
  <c r="H90" i="21"/>
  <c r="BO43" i="20" l="1"/>
  <c r="BO45" i="20"/>
  <c r="CL43" i="20"/>
  <c r="CL45" i="20"/>
  <c r="DV69" i="20"/>
  <c r="AY57" i="20"/>
  <c r="X24" i="21"/>
  <c r="CX69" i="20"/>
  <c r="DQ59" i="20"/>
  <c r="W166" i="21" s="1"/>
  <c r="CT59" i="20"/>
  <c r="W167" i="21" s="1"/>
  <c r="W19" i="21"/>
  <c r="AS42" i="20"/>
  <c r="R11" i="21"/>
  <c r="BL11" i="21"/>
  <c r="BP42" i="20"/>
  <c r="AO11" i="21"/>
  <c r="CM42" i="20"/>
  <c r="CI11" i="21"/>
  <c r="S160" i="21"/>
  <c r="AX52" i="20"/>
  <c r="CM45" i="20" l="1"/>
  <c r="CM43" i="20"/>
  <c r="BP43" i="20"/>
  <c r="BP45" i="20"/>
  <c r="AZ57" i="20"/>
  <c r="Y24" i="21"/>
  <c r="CY69" i="20"/>
  <c r="DW69" i="20"/>
  <c r="DD65" i="20"/>
  <c r="EA65" i="20"/>
  <c r="AD113" i="21"/>
  <c r="CU59" i="20"/>
  <c r="X167" i="21" s="1"/>
  <c r="DR59" i="20"/>
  <c r="X166" i="21" s="1"/>
  <c r="AD143" i="21"/>
  <c r="X19" i="21"/>
  <c r="CN42" i="20"/>
  <c r="CJ11" i="21"/>
  <c r="BM11" i="21"/>
  <c r="BQ42" i="20"/>
  <c r="AP11" i="21"/>
  <c r="AT42" i="20"/>
  <c r="S11" i="21"/>
  <c r="T160" i="21"/>
  <c r="AY52" i="20"/>
  <c r="BQ43" i="20" l="1"/>
  <c r="BQ45" i="20"/>
  <c r="CN45" i="20"/>
  <c r="CN43" i="20"/>
  <c r="CZ69" i="20"/>
  <c r="DX69" i="20"/>
  <c r="BA57" i="20"/>
  <c r="Z24" i="21"/>
  <c r="DS59" i="20"/>
  <c r="Y166" i="21" s="1"/>
  <c r="CV59" i="20"/>
  <c r="Y167" i="21" s="1"/>
  <c r="BN11" i="21"/>
  <c r="AU42" i="20"/>
  <c r="T11" i="21"/>
  <c r="CO42" i="20"/>
  <c r="CK11" i="21"/>
  <c r="Y19" i="21"/>
  <c r="BR42" i="20"/>
  <c r="AQ11" i="21"/>
  <c r="U160" i="21"/>
  <c r="AZ52" i="20"/>
  <c r="BR43" i="20" l="1"/>
  <c r="BR45" i="20"/>
  <c r="CO43" i="20"/>
  <c r="CO45" i="20"/>
  <c r="DY69" i="20"/>
  <c r="DZ69" i="20" s="1"/>
  <c r="EA69" i="20" s="1"/>
  <c r="BB57" i="20"/>
  <c r="AA24" i="21"/>
  <c r="DA69" i="20"/>
  <c r="CW59" i="20"/>
  <c r="Z167" i="21" s="1"/>
  <c r="DT59" i="20"/>
  <c r="Z166" i="21" s="1"/>
  <c r="AV42" i="20"/>
  <c r="U11" i="21"/>
  <c r="Z19" i="21"/>
  <c r="CP42" i="20"/>
  <c r="CL11" i="21"/>
  <c r="BS42" i="20"/>
  <c r="AR11" i="21"/>
  <c r="V160" i="21"/>
  <c r="BO11" i="21"/>
  <c r="BA52" i="20"/>
  <c r="F90" i="21"/>
  <c r="BS45" i="20" l="1"/>
  <c r="BS43" i="20"/>
  <c r="CP43" i="20"/>
  <c r="CP45" i="20"/>
  <c r="BC57" i="20"/>
  <c r="AB24" i="21"/>
  <c r="DB69" i="20"/>
  <c r="DC69" i="20" s="1"/>
  <c r="DD69" i="20" s="1"/>
  <c r="DU59" i="20"/>
  <c r="AA166" i="21" s="1"/>
  <c r="CX59" i="20"/>
  <c r="AA167" i="21" s="1"/>
  <c r="BP11" i="21"/>
  <c r="CQ42" i="20"/>
  <c r="CM11" i="21"/>
  <c r="W160" i="21"/>
  <c r="AA19" i="21"/>
  <c r="BT42" i="20"/>
  <c r="AS11" i="21"/>
  <c r="AW42" i="20"/>
  <c r="V11" i="21"/>
  <c r="G8" i="2"/>
  <c r="BB52" i="20"/>
  <c r="H30" i="21"/>
  <c r="BT45" i="20" l="1"/>
  <c r="BT43" i="20"/>
  <c r="CQ45" i="20"/>
  <c r="CQ43" i="20"/>
  <c r="BD57" i="20"/>
  <c r="AC24" i="21"/>
  <c r="CY59" i="20"/>
  <c r="AB167" i="21" s="1"/>
  <c r="DV59" i="20"/>
  <c r="AB166" i="21" s="1"/>
  <c r="AB19" i="21"/>
  <c r="AX42" i="20"/>
  <c r="W11" i="21"/>
  <c r="BU42" i="20"/>
  <c r="AT11" i="21"/>
  <c r="CR42" i="20"/>
  <c r="CN11" i="21"/>
  <c r="X160" i="21"/>
  <c r="BQ11" i="21"/>
  <c r="I30" i="21"/>
  <c r="BC52" i="20"/>
  <c r="G30" i="21"/>
  <c r="E30" i="21"/>
  <c r="CR43" i="20" l="1"/>
  <c r="CR45" i="20"/>
  <c r="BU43" i="20"/>
  <c r="BU45" i="20"/>
  <c r="BE57" i="20"/>
  <c r="AD24" i="21"/>
  <c r="DW59" i="20"/>
  <c r="AC166" i="21" s="1"/>
  <c r="CZ59" i="20"/>
  <c r="AC167" i="21" s="1"/>
  <c r="BR11" i="21"/>
  <c r="AC19" i="21"/>
  <c r="BV42" i="20"/>
  <c r="AU11" i="21"/>
  <c r="AY42" i="20"/>
  <c r="X11" i="21"/>
  <c r="CS42" i="20"/>
  <c r="CO11" i="21"/>
  <c r="Y160" i="21"/>
  <c r="BD52" i="20"/>
  <c r="CS43" i="20" l="1"/>
  <c r="CS45" i="20"/>
  <c r="BV43" i="20"/>
  <c r="BV45" i="20"/>
  <c r="BF57" i="20"/>
  <c r="AE24" i="21"/>
  <c r="AD53" i="21"/>
  <c r="DA59" i="20"/>
  <c r="AD167" i="21" s="1"/>
  <c r="DX59" i="20"/>
  <c r="AD166" i="21" s="1"/>
  <c r="BW42" i="20"/>
  <c r="AV11" i="21"/>
  <c r="CT42" i="20"/>
  <c r="CP11" i="21"/>
  <c r="Z160" i="21"/>
  <c r="AD19" i="21"/>
  <c r="AZ42" i="20"/>
  <c r="Y11" i="21"/>
  <c r="BS11" i="21"/>
  <c r="BE52" i="20"/>
  <c r="BW43" i="20" l="1"/>
  <c r="BW45" i="20"/>
  <c r="CT45" i="20"/>
  <c r="CT43" i="20"/>
  <c r="G30" i="2"/>
  <c r="BG57" i="20"/>
  <c r="AF24" i="21"/>
  <c r="DY59" i="20"/>
  <c r="DB59" i="20"/>
  <c r="BT11" i="21"/>
  <c r="BA42" i="20"/>
  <c r="Z11" i="21"/>
  <c r="CU42" i="20"/>
  <c r="CQ11" i="21"/>
  <c r="AE19" i="21"/>
  <c r="AA160" i="21"/>
  <c r="BX42" i="20"/>
  <c r="AW11" i="21"/>
  <c r="BF52" i="20"/>
  <c r="F30" i="21"/>
  <c r="CU45" i="20" l="1"/>
  <c r="CU43" i="20"/>
  <c r="BX45" i="20"/>
  <c r="BX43" i="20"/>
  <c r="G22" i="2"/>
  <c r="BH57" i="20"/>
  <c r="AG24" i="21"/>
  <c r="CI46" i="20"/>
  <c r="CJ46" i="20" s="1"/>
  <c r="CK46" i="20" s="1"/>
  <c r="CL46" i="20" s="1"/>
  <c r="CM46" i="20" s="1"/>
  <c r="CN46" i="20" s="1"/>
  <c r="CO46" i="20" s="1"/>
  <c r="CP46" i="20" s="1"/>
  <c r="CQ46" i="20" s="1"/>
  <c r="CR46" i="20" s="1"/>
  <c r="CS46" i="20" s="1"/>
  <c r="CT46" i="20" s="1"/>
  <c r="CU46" i="20" s="1"/>
  <c r="CV46" i="20" s="1"/>
  <c r="CW46" i="20" s="1"/>
  <c r="CX46" i="20" s="1"/>
  <c r="CY46" i="20" s="1"/>
  <c r="CZ46" i="20" s="1"/>
  <c r="DA46" i="20" s="1"/>
  <c r="CI68" i="20"/>
  <c r="DC59" i="20"/>
  <c r="DD59" i="20" s="1"/>
  <c r="DZ59" i="20"/>
  <c r="BB42" i="20"/>
  <c r="AA11" i="21"/>
  <c r="BY42" i="20"/>
  <c r="AX11" i="21"/>
  <c r="CV42" i="20"/>
  <c r="CR11" i="21"/>
  <c r="AF19" i="21"/>
  <c r="AB160" i="21"/>
  <c r="BU11" i="21"/>
  <c r="BG52" i="20"/>
  <c r="CV43" i="20" l="1"/>
  <c r="CV45" i="20"/>
  <c r="BY45" i="20"/>
  <c r="BY43" i="20"/>
  <c r="CJ68" i="20"/>
  <c r="BI57" i="20"/>
  <c r="AH24" i="21"/>
  <c r="DF68" i="20"/>
  <c r="AC160" i="21"/>
  <c r="BC42" i="20"/>
  <c r="AB11" i="21"/>
  <c r="AG19" i="21"/>
  <c r="BV11" i="21"/>
  <c r="CW42" i="20"/>
  <c r="CS11" i="21"/>
  <c r="BZ42" i="20"/>
  <c r="AY11" i="21"/>
  <c r="BH52" i="20"/>
  <c r="DA3" i="21"/>
  <c r="CD3" i="21"/>
  <c r="AJ3" i="21"/>
  <c r="BZ45" i="20" l="1"/>
  <c r="BZ43" i="20"/>
  <c r="CW43" i="20"/>
  <c r="CW45" i="20"/>
  <c r="AI24" i="21"/>
  <c r="BJ57" i="20"/>
  <c r="AJ24" i="21" s="1"/>
  <c r="DG68" i="20"/>
  <c r="CK68" i="20"/>
  <c r="CX42" i="20"/>
  <c r="CT11" i="21"/>
  <c r="CA42" i="20"/>
  <c r="AZ11" i="21"/>
  <c r="AD160" i="21"/>
  <c r="BD42" i="20"/>
  <c r="AC11" i="21"/>
  <c r="AH19" i="21"/>
  <c r="BW11" i="21"/>
  <c r="BI52" i="20"/>
  <c r="CX45" i="20" l="1"/>
  <c r="CX43" i="20"/>
  <c r="CA45" i="20"/>
  <c r="CA43" i="20"/>
  <c r="CL68" i="20"/>
  <c r="DH68" i="20"/>
  <c r="BX11" i="21"/>
  <c r="AI19" i="21"/>
  <c r="CB42" i="20"/>
  <c r="BA11" i="21"/>
  <c r="BE42" i="20"/>
  <c r="AD11" i="21"/>
  <c r="CY42" i="20"/>
  <c r="CU11" i="21"/>
  <c r="AW24" i="20"/>
  <c r="AW11" i="20"/>
  <c r="AW37" i="20"/>
  <c r="AX37" i="20" s="1"/>
  <c r="AY37" i="20" s="1"/>
  <c r="AZ37" i="20" s="1"/>
  <c r="BA37" i="20" s="1"/>
  <c r="BB37" i="20" s="1"/>
  <c r="BC37" i="20" s="1"/>
  <c r="BD37" i="20" s="1"/>
  <c r="BE37" i="20" s="1"/>
  <c r="BF37" i="20" s="1"/>
  <c r="BG37" i="20" s="1"/>
  <c r="BH37" i="20" s="1"/>
  <c r="BI37" i="20" s="1"/>
  <c r="BJ37" i="20" s="1"/>
  <c r="BK37" i="20" s="1"/>
  <c r="BL37" i="20" s="1"/>
  <c r="BM37" i="20" s="1"/>
  <c r="BN37" i="20" s="1"/>
  <c r="BO37" i="20" s="1"/>
  <c r="BP37" i="20" s="1"/>
  <c r="BQ37" i="20" s="1"/>
  <c r="BR37" i="20" s="1"/>
  <c r="BL47" i="20"/>
  <c r="BM47" i="20" s="1"/>
  <c r="BN47" i="20" s="1"/>
  <c r="BO47" i="20" s="1"/>
  <c r="BP47" i="20" s="1"/>
  <c r="BQ47" i="20" s="1"/>
  <c r="BR47" i="20" s="1"/>
  <c r="BS47" i="20" s="1"/>
  <c r="BT47" i="20" s="1"/>
  <c r="BU47" i="20" s="1"/>
  <c r="BV47" i="20" s="1"/>
  <c r="BW47" i="20" s="1"/>
  <c r="BX47" i="20" s="1"/>
  <c r="BY47" i="20" s="1"/>
  <c r="BZ47" i="20" s="1"/>
  <c r="CA47" i="20" s="1"/>
  <c r="CB47" i="20" s="1"/>
  <c r="CC47" i="20" s="1"/>
  <c r="CD47" i="20" s="1"/>
  <c r="CE47" i="20" s="1"/>
  <c r="CF47" i="20" s="1"/>
  <c r="BT37" i="20"/>
  <c r="BU37" i="20" s="1"/>
  <c r="BV37" i="20" s="1"/>
  <c r="BW37" i="20" s="1"/>
  <c r="BX37" i="20" s="1"/>
  <c r="BY37" i="20" s="1"/>
  <c r="BZ37" i="20" s="1"/>
  <c r="CA37" i="20" s="1"/>
  <c r="CB37" i="20" s="1"/>
  <c r="CC37" i="20" s="1"/>
  <c r="CD37" i="20" s="1"/>
  <c r="CE37" i="20" s="1"/>
  <c r="CF37" i="20" s="1"/>
  <c r="CG37" i="20" s="1"/>
  <c r="CH37" i="20" s="1"/>
  <c r="CI37" i="20" s="1"/>
  <c r="CJ37" i="20" s="1"/>
  <c r="CK37" i="20" s="1"/>
  <c r="CL37" i="20" s="1"/>
  <c r="CM37" i="20" s="1"/>
  <c r="CN37" i="20" s="1"/>
  <c r="CO37" i="20" s="1"/>
  <c r="CQ24" i="20"/>
  <c r="CQ11" i="20"/>
  <c r="BT24" i="20"/>
  <c r="BT11" i="20"/>
  <c r="BL46" i="20"/>
  <c r="BM46" i="20" s="1"/>
  <c r="BN46" i="20" s="1"/>
  <c r="BO46" i="20" s="1"/>
  <c r="BP46" i="20" s="1"/>
  <c r="BQ46" i="20" s="1"/>
  <c r="BR46" i="20" s="1"/>
  <c r="BS46" i="20" s="1"/>
  <c r="BT46" i="20" s="1"/>
  <c r="BU46" i="20" s="1"/>
  <c r="BV46" i="20" s="1"/>
  <c r="BW46" i="20" s="1"/>
  <c r="BX46" i="20" s="1"/>
  <c r="BY46" i="20" s="1"/>
  <c r="BZ46" i="20" s="1"/>
  <c r="CA46" i="20" s="1"/>
  <c r="CB46" i="20" s="1"/>
  <c r="CC46" i="20" s="1"/>
  <c r="CD46" i="20" s="1"/>
  <c r="CE46" i="20" s="1"/>
  <c r="CF46" i="20" s="1"/>
  <c r="CY45" i="20" l="1"/>
  <c r="CY43" i="20"/>
  <c r="CB45" i="20"/>
  <c r="CB43" i="20"/>
  <c r="BB12" i="21" s="1"/>
  <c r="DI68" i="20"/>
  <c r="CM68" i="20"/>
  <c r="BH14" i="21"/>
  <c r="AZ12" i="21"/>
  <c r="AM14" i="21"/>
  <c r="CL13" i="21"/>
  <c r="CE12" i="21"/>
  <c r="CK15" i="21"/>
  <c r="CA12" i="21"/>
  <c r="BY14" i="21"/>
  <c r="BY16" i="21"/>
  <c r="CI16" i="21"/>
  <c r="AS16" i="21"/>
  <c r="CC14" i="21"/>
  <c r="AX12" i="21"/>
  <c r="CV15" i="21"/>
  <c r="BU13" i="21"/>
  <c r="BY12" i="21"/>
  <c r="BS15" i="21"/>
  <c r="BP16" i="21"/>
  <c r="BC16" i="21"/>
  <c r="CB16" i="21"/>
  <c r="AM12" i="21"/>
  <c r="AV14" i="21"/>
  <c r="AV13" i="21"/>
  <c r="AY13" i="21"/>
  <c r="AP15" i="21"/>
  <c r="CV13" i="21"/>
  <c r="CR12" i="21"/>
  <c r="CF15" i="21"/>
  <c r="CT14" i="21"/>
  <c r="CN15" i="21"/>
  <c r="BJ13" i="21"/>
  <c r="BZ12" i="21"/>
  <c r="BW15" i="21"/>
  <c r="BQ14" i="21"/>
  <c r="BO16" i="21"/>
  <c r="CN16" i="21"/>
  <c r="AL16" i="21"/>
  <c r="AZ16" i="21"/>
  <c r="CZ42" i="20"/>
  <c r="CV11" i="21"/>
  <c r="BE16" i="21"/>
  <c r="CB13" i="21"/>
  <c r="CF13" i="21"/>
  <c r="AR12" i="21"/>
  <c r="AS12" i="21"/>
  <c r="BA14" i="21"/>
  <c r="AR13" i="21"/>
  <c r="AN14" i="21"/>
  <c r="AR14" i="21"/>
  <c r="AQ13" i="21"/>
  <c r="AR15" i="21"/>
  <c r="AO15" i="21"/>
  <c r="AS15" i="21"/>
  <c r="CM13" i="21"/>
  <c r="CK13" i="21"/>
  <c r="CP12" i="21"/>
  <c r="CS12" i="21"/>
  <c r="CR15" i="21"/>
  <c r="CL15" i="21"/>
  <c r="CU15" i="21"/>
  <c r="CP15" i="21"/>
  <c r="BI13" i="21"/>
  <c r="BW13" i="21"/>
  <c r="BQ13" i="21"/>
  <c r="BN12" i="21"/>
  <c r="BU12" i="21"/>
  <c r="BO14" i="21"/>
  <c r="BX15" i="21"/>
  <c r="BZ15" i="21"/>
  <c r="BP14" i="21"/>
  <c r="BL15" i="21"/>
  <c r="BX16" i="21"/>
  <c r="BZ16" i="21"/>
  <c r="CU16" i="21"/>
  <c r="CH16" i="21"/>
  <c r="BB16" i="21"/>
  <c r="AM16" i="21"/>
  <c r="AU16" i="21"/>
  <c r="CC13" i="21"/>
  <c r="AW14" i="21"/>
  <c r="AW15" i="21"/>
  <c r="CT13" i="21"/>
  <c r="CP14" i="21"/>
  <c r="CO14" i="21"/>
  <c r="BT12" i="21"/>
  <c r="BI14" i="21"/>
  <c r="BT16" i="21"/>
  <c r="CF12" i="21"/>
  <c r="AO13" i="21"/>
  <c r="AQ15" i="21"/>
  <c r="CH13" i="21"/>
  <c r="CT12" i="21"/>
  <c r="CX15" i="21"/>
  <c r="BV12" i="21"/>
  <c r="BT14" i="21"/>
  <c r="BR16" i="21"/>
  <c r="BH8" i="21"/>
  <c r="AY16" i="21"/>
  <c r="CB14" i="21"/>
  <c r="CF14" i="21"/>
  <c r="AT12" i="21"/>
  <c r="AZ13" i="21"/>
  <c r="AY15" i="21"/>
  <c r="BA15" i="21"/>
  <c r="CS13" i="21"/>
  <c r="CH12" i="21"/>
  <c r="CE15" i="21"/>
  <c r="DD46" i="20"/>
  <c r="CQ15" i="21"/>
  <c r="BL13" i="21"/>
  <c r="BT13" i="21"/>
  <c r="BI12" i="21"/>
  <c r="BX14" i="21"/>
  <c r="BZ14" i="21"/>
  <c r="BQ16" i="21"/>
  <c r="CL16" i="21"/>
  <c r="BD16" i="21"/>
  <c r="CZ15" i="21"/>
  <c r="AP12" i="21"/>
  <c r="AL12" i="21"/>
  <c r="AO12" i="21"/>
  <c r="AM13" i="21"/>
  <c r="AZ14" i="21"/>
  <c r="AS14" i="21"/>
  <c r="BB14" i="21"/>
  <c r="AP14" i="21"/>
  <c r="AZ15" i="21"/>
  <c r="AN15" i="21"/>
  <c r="CI13" i="21"/>
  <c r="CE13" i="21"/>
  <c r="CU12" i="21"/>
  <c r="CQ12" i="21"/>
  <c r="CU14" i="21"/>
  <c r="CH15" i="21"/>
  <c r="CT15" i="21"/>
  <c r="CN14" i="21"/>
  <c r="BK13" i="21"/>
  <c r="BP13" i="21"/>
  <c r="BL12" i="21"/>
  <c r="BS12" i="21"/>
  <c r="BM12" i="21"/>
  <c r="BM14" i="21"/>
  <c r="BJ14" i="21"/>
  <c r="BV15" i="21"/>
  <c r="BI15" i="21"/>
  <c r="BR14" i="21"/>
  <c r="BW16" i="21"/>
  <c r="BM16" i="21"/>
  <c r="CG16" i="21"/>
  <c r="CX16" i="21"/>
  <c r="CM16" i="21"/>
  <c r="AN16" i="21"/>
  <c r="AO16" i="21"/>
  <c r="AR16" i="21"/>
  <c r="CC15" i="21"/>
  <c r="AL14" i="21"/>
  <c r="CN12" i="21"/>
  <c r="CJ15" i="21"/>
  <c r="BY13" i="21"/>
  <c r="BW14" i="21"/>
  <c r="BV14" i="21"/>
  <c r="CS16" i="21"/>
  <c r="CY15" i="21"/>
  <c r="AW12" i="21"/>
  <c r="AU13" i="21"/>
  <c r="AV15" i="21"/>
  <c r="CL12" i="21"/>
  <c r="CM14" i="21"/>
  <c r="BX13" i="21"/>
  <c r="BK14" i="21"/>
  <c r="CW16" i="21"/>
  <c r="BF16" i="21"/>
  <c r="AV12" i="21"/>
  <c r="AQ14" i="21"/>
  <c r="BB13" i="21"/>
  <c r="AL15" i="21"/>
  <c r="CP13" i="21"/>
  <c r="CJ13" i="21"/>
  <c r="CH14" i="21"/>
  <c r="CQ14" i="21"/>
  <c r="BM13" i="21"/>
  <c r="BK12" i="21"/>
  <c r="BR12" i="21"/>
  <c r="BQ15" i="21"/>
  <c r="BY15" i="21"/>
  <c r="BN16" i="21"/>
  <c r="BK16" i="21"/>
  <c r="CR16" i="21"/>
  <c r="AP16" i="21"/>
  <c r="AW16" i="21"/>
  <c r="BF42" i="20"/>
  <c r="AE11" i="21"/>
  <c r="CC42" i="20"/>
  <c r="BB11" i="21"/>
  <c r="CB15" i="21"/>
  <c r="AQ12" i="21"/>
  <c r="BA12" i="21"/>
  <c r="AY12" i="21"/>
  <c r="AT14" i="21"/>
  <c r="AS13" i="21"/>
  <c r="BA13" i="21"/>
  <c r="BD15" i="21"/>
  <c r="AU15" i="21"/>
  <c r="CU13" i="21"/>
  <c r="CG13" i="21"/>
  <c r="CO13" i="21"/>
  <c r="CI12" i="21"/>
  <c r="CS15" i="21"/>
  <c r="CW15" i="21"/>
  <c r="CR14" i="21"/>
  <c r="CV14" i="21"/>
  <c r="CO15" i="21"/>
  <c r="BV13" i="21"/>
  <c r="CA13" i="21"/>
  <c r="BX12" i="21"/>
  <c r="BJ12" i="21"/>
  <c r="BP12" i="21"/>
  <c r="BU14" i="21"/>
  <c r="BO15" i="21"/>
  <c r="BK15" i="21"/>
  <c r="CA15" i="21"/>
  <c r="CA14" i="21"/>
  <c r="BJ16" i="21"/>
  <c r="BS16" i="21"/>
  <c r="DD47" i="20"/>
  <c r="CV16" i="21"/>
  <c r="CO16" i="21"/>
  <c r="AT16" i="21"/>
  <c r="BA16" i="21"/>
  <c r="BF15" i="21"/>
  <c r="CZ16" i="21"/>
  <c r="CB12" i="21"/>
  <c r="AX13" i="21"/>
  <c r="AX14" i="21"/>
  <c r="BB15" i="21"/>
  <c r="CO12" i="21"/>
  <c r="CL14" i="21"/>
  <c r="BZ13" i="21"/>
  <c r="BM15" i="21"/>
  <c r="BR15" i="21"/>
  <c r="BV16" i="21"/>
  <c r="AX16" i="21"/>
  <c r="CC16" i="21"/>
  <c r="AP13" i="21"/>
  <c r="AT15" i="21"/>
  <c r="CK12" i="21"/>
  <c r="CG14" i="21"/>
  <c r="BO13" i="21"/>
  <c r="BP15" i="21"/>
  <c r="BU15" i="21"/>
  <c r="CJ16" i="21"/>
  <c r="AQ16" i="21"/>
  <c r="AT13" i="21"/>
  <c r="AO14" i="21"/>
  <c r="BC15" i="21"/>
  <c r="CN13" i="21"/>
  <c r="CJ12" i="21"/>
  <c r="CM15" i="21"/>
  <c r="CG15" i="21"/>
  <c r="CJ14" i="21"/>
  <c r="BR13" i="21"/>
  <c r="BO12" i="21"/>
  <c r="BN15" i="21"/>
  <c r="BL14" i="21"/>
  <c r="BI16" i="21"/>
  <c r="CQ16" i="21"/>
  <c r="CT16" i="21"/>
  <c r="BE15" i="21"/>
  <c r="AU12" i="21"/>
  <c r="AN12" i="21"/>
  <c r="AW13" i="21"/>
  <c r="AL13" i="21"/>
  <c r="AN13" i="21"/>
  <c r="AY14" i="21"/>
  <c r="AU14" i="21"/>
  <c r="AX15" i="21"/>
  <c r="AM15" i="21"/>
  <c r="CQ13" i="21"/>
  <c r="CR13" i="21"/>
  <c r="CG12" i="21"/>
  <c r="CM12" i="21"/>
  <c r="CV12" i="21"/>
  <c r="CE14" i="21"/>
  <c r="CI15" i="21"/>
  <c r="CS14" i="21"/>
  <c r="CK14" i="21"/>
  <c r="CI14" i="21"/>
  <c r="BS13" i="21"/>
  <c r="BN13" i="21"/>
  <c r="BW12" i="21"/>
  <c r="BQ12" i="21"/>
  <c r="BS14" i="21"/>
  <c r="BT15" i="21"/>
  <c r="BJ15" i="21"/>
  <c r="BN14" i="21"/>
  <c r="BU16" i="21"/>
  <c r="BL16" i="21"/>
  <c r="CA16" i="21"/>
  <c r="CK16" i="21"/>
  <c r="CP16" i="21"/>
  <c r="CF16" i="21"/>
  <c r="AV16" i="21"/>
  <c r="CY16" i="21"/>
  <c r="CC12" i="21"/>
  <c r="BY11" i="21"/>
  <c r="BH15" i="21"/>
  <c r="BH12" i="21"/>
  <c r="BH13" i="21"/>
  <c r="AK13" i="21"/>
  <c r="AK14" i="21"/>
  <c r="AK15" i="21"/>
  <c r="CG46" i="20"/>
  <c r="AK12" i="21"/>
  <c r="CG47" i="20"/>
  <c r="CE8" i="21"/>
  <c r="AK8" i="21"/>
  <c r="BH16" i="21"/>
  <c r="CE16" i="21"/>
  <c r="AK16" i="21"/>
  <c r="CC43" i="20" l="1"/>
  <c r="CC45" i="20"/>
  <c r="CZ45" i="20"/>
  <c r="CZ43" i="20"/>
  <c r="CW12" i="21" s="1"/>
  <c r="K164" i="21"/>
  <c r="CN68" i="20"/>
  <c r="DJ68" i="20"/>
  <c r="K168" i="21"/>
  <c r="K165" i="21"/>
  <c r="DA16" i="21"/>
  <c r="CD42" i="20"/>
  <c r="BC11" i="21"/>
  <c r="DA42" i="20"/>
  <c r="CW11" i="21"/>
  <c r="DA15" i="21"/>
  <c r="CD16" i="21"/>
  <c r="BG16" i="21"/>
  <c r="BG42" i="20"/>
  <c r="AF11" i="21"/>
  <c r="BG15" i="21"/>
  <c r="BZ11" i="21"/>
  <c r="CW13" i="21" l="1"/>
  <c r="DA43" i="20"/>
  <c r="CX12" i="21" s="1"/>
  <c r="DA45" i="20"/>
  <c r="CX14" i="21" s="1"/>
  <c r="CX13" i="21"/>
  <c r="CW14" i="21"/>
  <c r="BD13" i="21"/>
  <c r="CD43" i="20"/>
  <c r="BD12" i="21" s="1"/>
  <c r="CD45" i="20"/>
  <c r="BD14" i="21" s="1"/>
  <c r="BC12" i="21"/>
  <c r="BC13" i="21"/>
  <c r="BC14" i="21"/>
  <c r="DK68" i="20"/>
  <c r="CO68" i="20"/>
  <c r="CA11" i="21"/>
  <c r="CE42" i="20"/>
  <c r="BD11" i="21"/>
  <c r="BH42" i="20"/>
  <c r="AG11" i="21"/>
  <c r="CX11" i="21"/>
  <c r="DB42" i="20"/>
  <c r="CY13" i="21" l="1"/>
  <c r="BE12" i="21"/>
  <c r="CP68" i="20"/>
  <c r="DL68" i="20"/>
  <c r="M8" i="20"/>
  <c r="M21" i="20"/>
  <c r="BI42" i="20"/>
  <c r="AH11" i="21"/>
  <c r="BE11" i="21"/>
  <c r="CF42" i="20"/>
  <c r="CY11" i="21"/>
  <c r="DC42" i="20"/>
  <c r="CB11" i="21"/>
  <c r="CZ12" i="21" l="1"/>
  <c r="CZ14" i="21"/>
  <c r="CG45" i="20"/>
  <c r="BG14" i="21" s="1"/>
  <c r="CG44" i="20"/>
  <c r="BG13" i="21" s="1"/>
  <c r="CY12" i="21"/>
  <c r="CY14" i="21"/>
  <c r="DD45" i="20"/>
  <c r="DA14" i="21" s="1"/>
  <c r="BF14" i="21"/>
  <c r="BF13" i="21"/>
  <c r="BE14" i="21"/>
  <c r="BE13" i="21"/>
  <c r="DM68" i="20"/>
  <c r="CQ68" i="20"/>
  <c r="S21" i="20"/>
  <c r="Z21" i="20" s="1"/>
  <c r="S8" i="20"/>
  <c r="BF11" i="21"/>
  <c r="CC11" i="21"/>
  <c r="CZ11" i="21"/>
  <c r="AI11" i="21"/>
  <c r="G4" i="2"/>
  <c r="G5" i="2"/>
  <c r="DD43" i="20" l="1"/>
  <c r="DA12" i="21" s="1"/>
  <c r="CZ13" i="21"/>
  <c r="DD44" i="20"/>
  <c r="DA13" i="21" s="1"/>
  <c r="BF12" i="21"/>
  <c r="CG43" i="20"/>
  <c r="BG12" i="21" s="1"/>
  <c r="CR68" i="20"/>
  <c r="DN68" i="20"/>
  <c r="Q8" i="20"/>
  <c r="T8" i="20" s="1"/>
  <c r="Q21" i="20"/>
  <c r="T21" i="20" s="1"/>
  <c r="M10" i="20"/>
  <c r="M9" i="20"/>
  <c r="DO68" i="20" l="1"/>
  <c r="CS68" i="20"/>
  <c r="Y21" i="20"/>
  <c r="X21" i="20"/>
  <c r="P10" i="20"/>
  <c r="S10" i="20" s="1"/>
  <c r="P7" i="20"/>
  <c r="S7" i="20" s="1"/>
  <c r="Z33" i="20" s="1"/>
  <c r="X8" i="20"/>
  <c r="Y8" i="20"/>
  <c r="V21" i="20"/>
  <c r="BT21" i="20" s="1"/>
  <c r="W21" i="20"/>
  <c r="CQ21" i="20" s="1"/>
  <c r="U21" i="20"/>
  <c r="W8" i="20"/>
  <c r="CQ8" i="20" s="1"/>
  <c r="U8" i="20"/>
  <c r="V8" i="20"/>
  <c r="BT8" i="20" s="1"/>
  <c r="Z8" i="20"/>
  <c r="Z37" i="20"/>
  <c r="AA37" i="20" s="1"/>
  <c r="AB37" i="20" s="1"/>
  <c r="AC37" i="20" s="1"/>
  <c r="AD37" i="20" s="1"/>
  <c r="AE37" i="20" s="1"/>
  <c r="AF37" i="20" s="1"/>
  <c r="AG37" i="20" s="1"/>
  <c r="AH37" i="20" s="1"/>
  <c r="AI37" i="20" s="1"/>
  <c r="AJ37" i="20" s="1"/>
  <c r="AK37" i="20" s="1"/>
  <c r="AL37" i="20" s="1"/>
  <c r="AM37" i="20" s="1"/>
  <c r="AN37" i="20" s="1"/>
  <c r="AO37" i="20" s="1"/>
  <c r="AP37" i="20" s="1"/>
  <c r="AQ37" i="20" s="1"/>
  <c r="AR37" i="20" s="1"/>
  <c r="AS37" i="20" s="1"/>
  <c r="AT37" i="20" s="1"/>
  <c r="Z11" i="20"/>
  <c r="Z24" i="20"/>
  <c r="M23" i="20"/>
  <c r="M22" i="20"/>
  <c r="AW32" i="20"/>
  <c r="BT32" i="20"/>
  <c r="Z32" i="20"/>
  <c r="AU37" i="20" l="1"/>
  <c r="AH8" i="21"/>
  <c r="AE33" i="20"/>
  <c r="AO33" i="20"/>
  <c r="AB33" i="20"/>
  <c r="AN33" i="20"/>
  <c r="AL33" i="20"/>
  <c r="AA33" i="20"/>
  <c r="AJ33" i="20"/>
  <c r="AR33" i="20"/>
  <c r="AH33" i="20"/>
  <c r="AM33" i="20"/>
  <c r="AF33" i="20"/>
  <c r="AK33" i="20"/>
  <c r="AD33" i="20"/>
  <c r="AI33" i="20"/>
  <c r="AP33" i="20"/>
  <c r="AG33" i="20"/>
  <c r="AS33" i="20"/>
  <c r="AC33" i="20"/>
  <c r="CT68" i="20"/>
  <c r="DP68" i="20"/>
  <c r="M34" i="20"/>
  <c r="P34" i="20"/>
  <c r="AW21" i="20"/>
  <c r="AW8" i="20"/>
  <c r="W44" i="20"/>
  <c r="P23" i="20"/>
  <c r="S23" i="20" s="1"/>
  <c r="Z23" i="20" s="1"/>
  <c r="W43" i="20"/>
  <c r="S22" i="20"/>
  <c r="Z22" i="20" s="1"/>
  <c r="S9" i="20"/>
  <c r="O12" i="21"/>
  <c r="L36" i="21" s="1"/>
  <c r="R13" i="21"/>
  <c r="O66" i="21" s="1"/>
  <c r="AE13" i="21"/>
  <c r="AB66" i="21" s="1"/>
  <c r="S16" i="21"/>
  <c r="P156" i="21" s="1"/>
  <c r="W13" i="21"/>
  <c r="T66" i="21" s="1"/>
  <c r="AG15" i="21"/>
  <c r="AD126" i="21" s="1"/>
  <c r="AI13" i="21"/>
  <c r="P15" i="21"/>
  <c r="M126" i="21" s="1"/>
  <c r="AA13" i="21"/>
  <c r="X66" i="21" s="1"/>
  <c r="X13" i="21"/>
  <c r="U66" i="21" s="1"/>
  <c r="S13" i="21"/>
  <c r="P66" i="21" s="1"/>
  <c r="U15" i="21"/>
  <c r="R126" i="21" s="1"/>
  <c r="AA15" i="21"/>
  <c r="X126" i="21" s="1"/>
  <c r="V16" i="21"/>
  <c r="S156" i="21" s="1"/>
  <c r="AH13" i="21"/>
  <c r="Q15" i="21"/>
  <c r="N126" i="21" s="1"/>
  <c r="AG16" i="21"/>
  <c r="AD156" i="21" s="1"/>
  <c r="U13" i="21"/>
  <c r="R66" i="21" s="1"/>
  <c r="AF15" i="21"/>
  <c r="AC126" i="21" s="1"/>
  <c r="Y15" i="21"/>
  <c r="V126" i="21" s="1"/>
  <c r="AF13" i="21"/>
  <c r="AC66" i="21" s="1"/>
  <c r="O16" i="21"/>
  <c r="L156" i="21" s="1"/>
  <c r="AC13" i="21"/>
  <c r="Z66" i="21" s="1"/>
  <c r="T15" i="21"/>
  <c r="Q126" i="21" s="1"/>
  <c r="AD15" i="21"/>
  <c r="AA126" i="21" s="1"/>
  <c r="W16" i="21"/>
  <c r="T156" i="21" s="1"/>
  <c r="AB16" i="21"/>
  <c r="Y156" i="21" s="1"/>
  <c r="Q16" i="21"/>
  <c r="N156" i="21" s="1"/>
  <c r="AH15" i="21"/>
  <c r="P13" i="21"/>
  <c r="M66" i="21" s="1"/>
  <c r="R16" i="21"/>
  <c r="O156" i="21" s="1"/>
  <c r="W15" i="21"/>
  <c r="T126" i="21" s="1"/>
  <c r="Z16" i="21"/>
  <c r="W156" i="21" s="1"/>
  <c r="V13" i="21"/>
  <c r="S66" i="21" s="1"/>
  <c r="AD13" i="21"/>
  <c r="AA66" i="21" s="1"/>
  <c r="O15" i="21"/>
  <c r="L126" i="21" s="1"/>
  <c r="U16" i="21"/>
  <c r="R156" i="21" s="1"/>
  <c r="BH3" i="21"/>
  <c r="S15" i="21"/>
  <c r="P126" i="21" s="1"/>
  <c r="Z15" i="21"/>
  <c r="W126" i="21" s="1"/>
  <c r="P16" i="21"/>
  <c r="M156" i="21" s="1"/>
  <c r="Y16" i="21"/>
  <c r="V156" i="21" s="1"/>
  <c r="AD16" i="21"/>
  <c r="AA156" i="21" s="1"/>
  <c r="AI15" i="21"/>
  <c r="AG13" i="21"/>
  <c r="AD66" i="21" s="1"/>
  <c r="T16" i="21"/>
  <c r="Q156" i="21" s="1"/>
  <c r="Q13" i="21"/>
  <c r="N66" i="21" s="1"/>
  <c r="Y13" i="21"/>
  <c r="V66" i="21" s="1"/>
  <c r="AB15" i="21"/>
  <c r="Y126" i="21" s="1"/>
  <c r="V15" i="21"/>
  <c r="S126" i="21" s="1"/>
  <c r="AE15" i="21"/>
  <c r="AB126" i="21" s="1"/>
  <c r="AA16" i="21"/>
  <c r="X156" i="21" s="1"/>
  <c r="X16" i="21"/>
  <c r="U156" i="21" s="1"/>
  <c r="AC16" i="21"/>
  <c r="Z156" i="21" s="1"/>
  <c r="Z13" i="21"/>
  <c r="W66" i="21" s="1"/>
  <c r="O13" i="21"/>
  <c r="L66" i="21" s="1"/>
  <c r="AB13" i="21"/>
  <c r="Y66" i="21" s="1"/>
  <c r="T13" i="21"/>
  <c r="Q66" i="21" s="1"/>
  <c r="AC15" i="21"/>
  <c r="Z126" i="21" s="1"/>
  <c r="R15" i="21"/>
  <c r="O126" i="21" s="1"/>
  <c r="X15" i="21"/>
  <c r="U126" i="21" s="1"/>
  <c r="AE16" i="21"/>
  <c r="AB156" i="21" s="1"/>
  <c r="AF16" i="21"/>
  <c r="AC156" i="21" s="1"/>
  <c r="AH16" i="21"/>
  <c r="AI16" i="21"/>
  <c r="N15" i="21"/>
  <c r="K126" i="21" s="1"/>
  <c r="BJ46" i="20"/>
  <c r="N12" i="21"/>
  <c r="K36" i="21" s="1"/>
  <c r="N13" i="21"/>
  <c r="K66" i="21" s="1"/>
  <c r="BJ44" i="20"/>
  <c r="BJ47" i="20"/>
  <c r="N14" i="21"/>
  <c r="K96" i="21" s="1"/>
  <c r="N8" i="21"/>
  <c r="K155" i="21" s="1"/>
  <c r="N16" i="21"/>
  <c r="K156" i="21" s="1"/>
  <c r="Z7" i="20"/>
  <c r="Q7" i="20"/>
  <c r="T7" i="20" s="1"/>
  <c r="AA32" i="20"/>
  <c r="BU32" i="20"/>
  <c r="AX32" i="20"/>
  <c r="AK3" i="21"/>
  <c r="N3" i="21"/>
  <c r="CE3" i="21"/>
  <c r="DR55" i="20" l="1"/>
  <c r="CU55" i="20"/>
  <c r="CP55" i="20"/>
  <c r="DM55" i="20"/>
  <c r="CN55" i="20"/>
  <c r="DK55" i="20"/>
  <c r="DH55" i="20"/>
  <c r="CK55" i="20"/>
  <c r="CZ55" i="20"/>
  <c r="DW55" i="20"/>
  <c r="DA55" i="20"/>
  <c r="DX55" i="20"/>
  <c r="DO55" i="20"/>
  <c r="CR55" i="20"/>
  <c r="CO55" i="20"/>
  <c r="DL55" i="20"/>
  <c r="CI55" i="20"/>
  <c r="DF55" i="20"/>
  <c r="DU55" i="20"/>
  <c r="CX55" i="20"/>
  <c r="DQ55" i="20"/>
  <c r="CT55" i="20"/>
  <c r="CQ55" i="20"/>
  <c r="DN55" i="20"/>
  <c r="CV55" i="20"/>
  <c r="DS55" i="20"/>
  <c r="DI55" i="20"/>
  <c r="CL55" i="20"/>
  <c r="CJ55" i="20"/>
  <c r="DG55" i="20"/>
  <c r="CS55" i="20"/>
  <c r="DP55" i="20"/>
  <c r="DT55" i="20"/>
  <c r="CW55" i="20"/>
  <c r="CM55" i="20"/>
  <c r="DJ55" i="20"/>
  <c r="CG33" i="20"/>
  <c r="BJ33" i="20"/>
  <c r="CB33" i="20"/>
  <c r="BE33" i="20"/>
  <c r="BW33" i="20"/>
  <c r="AZ33" i="20"/>
  <c r="BO33" i="20"/>
  <c r="CL33" i="20"/>
  <c r="BF53" i="20"/>
  <c r="CM33" i="20"/>
  <c r="BP33" i="20"/>
  <c r="BG33" i="20"/>
  <c r="CD33" i="20"/>
  <c r="CA33" i="20"/>
  <c r="BD33" i="20"/>
  <c r="BU33" i="20"/>
  <c r="AX33" i="20"/>
  <c r="BM33" i="20"/>
  <c r="CJ33" i="20"/>
  <c r="BI33" i="20"/>
  <c r="CF33" i="20"/>
  <c r="CC33" i="20"/>
  <c r="BF33" i="20"/>
  <c r="CH33" i="20"/>
  <c r="BK33" i="20"/>
  <c r="BC33" i="20"/>
  <c r="BZ33" i="20"/>
  <c r="BA33" i="20"/>
  <c r="BX33" i="20"/>
  <c r="BV33" i="20"/>
  <c r="AY33" i="20"/>
  <c r="BH33" i="20"/>
  <c r="CE33" i="20"/>
  <c r="CI33" i="20"/>
  <c r="BL33" i="20"/>
  <c r="BB33" i="20"/>
  <c r="BY33" i="20"/>
  <c r="AR53" i="20"/>
  <c r="BB53" i="20"/>
  <c r="AY53" i="20"/>
  <c r="AU53" i="20"/>
  <c r="AW53" i="20"/>
  <c r="AO53" i="20"/>
  <c r="BE53" i="20"/>
  <c r="AZ53" i="20"/>
  <c r="BD53" i="20"/>
  <c r="BA53" i="20"/>
  <c r="AS53" i="20"/>
  <c r="AP53" i="20"/>
  <c r="AV53" i="20"/>
  <c r="BG53" i="20"/>
  <c r="AX53" i="20"/>
  <c r="AT53" i="20"/>
  <c r="AQ53" i="20"/>
  <c r="BC53" i="20"/>
  <c r="K157" i="21"/>
  <c r="DQ68" i="20"/>
  <c r="CU68" i="20"/>
  <c r="Q23" i="20"/>
  <c r="T23" i="20" s="1"/>
  <c r="Y23" i="20" s="1"/>
  <c r="Q22" i="20"/>
  <c r="T22" i="20" s="1"/>
  <c r="Y7" i="20"/>
  <c r="X7" i="20"/>
  <c r="Q34" i="20"/>
  <c r="Q9" i="20"/>
  <c r="T9" i="20" s="1"/>
  <c r="Z9" i="20"/>
  <c r="Q10" i="20"/>
  <c r="T10" i="20" s="1"/>
  <c r="Z10" i="20"/>
  <c r="Q20" i="20"/>
  <c r="T20" i="20" s="1"/>
  <c r="AJ13" i="21"/>
  <c r="AJ16" i="21"/>
  <c r="AJ15" i="21"/>
  <c r="BI3" i="21"/>
  <c r="CF3" i="21"/>
  <c r="O3" i="21"/>
  <c r="V7" i="20"/>
  <c r="BT7" i="20" s="1"/>
  <c r="W7" i="20"/>
  <c r="CQ7" i="20" s="1"/>
  <c r="U7" i="20"/>
  <c r="AW7" i="20" s="1"/>
  <c r="BV32" i="20"/>
  <c r="AY32" i="20"/>
  <c r="AL3" i="21"/>
  <c r="AB32" i="20"/>
  <c r="CV68" i="20" l="1"/>
  <c r="DR68" i="20"/>
  <c r="X23" i="20"/>
  <c r="Y22" i="20"/>
  <c r="X22" i="20"/>
  <c r="Y10" i="20"/>
  <c r="X10" i="20"/>
  <c r="Y9" i="20"/>
  <c r="X9" i="20"/>
  <c r="X20" i="20"/>
  <c r="Y20" i="20"/>
  <c r="N35" i="20"/>
  <c r="N36" i="20"/>
  <c r="Z20" i="20"/>
  <c r="P12" i="21"/>
  <c r="M36" i="21" s="1"/>
  <c r="BI8" i="21"/>
  <c r="L165" i="21" s="1"/>
  <c r="AL8" i="21"/>
  <c r="L168" i="21" s="1"/>
  <c r="BJ3" i="21"/>
  <c r="CF8" i="21"/>
  <c r="L164" i="21" s="1"/>
  <c r="O8" i="21"/>
  <c r="L155" i="21" s="1"/>
  <c r="L157" i="21" s="1"/>
  <c r="U22" i="20"/>
  <c r="AW22" i="20" s="1"/>
  <c r="V22" i="20"/>
  <c r="BT22" i="20" s="1"/>
  <c r="W22" i="20"/>
  <c r="CQ22" i="20" s="1"/>
  <c r="U23" i="20"/>
  <c r="AW23" i="20" s="1"/>
  <c r="V23" i="20"/>
  <c r="BT23" i="20" s="1"/>
  <c r="W23" i="20"/>
  <c r="CQ23" i="20" s="1"/>
  <c r="W20" i="20"/>
  <c r="CQ20" i="20" s="1"/>
  <c r="U20" i="20"/>
  <c r="AW20" i="20" s="1"/>
  <c r="V20" i="20"/>
  <c r="BT20" i="20" s="1"/>
  <c r="U10" i="20"/>
  <c r="AW10" i="20" s="1"/>
  <c r="V10" i="20"/>
  <c r="BT10" i="20" s="1"/>
  <c r="W10" i="20"/>
  <c r="CQ10" i="20" s="1"/>
  <c r="U9" i="20"/>
  <c r="AW9" i="20" s="1"/>
  <c r="V9" i="20"/>
  <c r="BT9" i="20" s="1"/>
  <c r="W9" i="20"/>
  <c r="CQ9" i="20" s="1"/>
  <c r="AZ32" i="20"/>
  <c r="AM3" i="21"/>
  <c r="AC32" i="20"/>
  <c r="P3" i="21"/>
  <c r="BW32" i="20"/>
  <c r="CG3" i="21"/>
  <c r="L76" i="21" l="1"/>
  <c r="K76" i="21"/>
  <c r="L77" i="21"/>
  <c r="AL5" i="21"/>
  <c r="AN5" i="21"/>
  <c r="AM5" i="21"/>
  <c r="DS68" i="20"/>
  <c r="CW68" i="20"/>
  <c r="P36" i="20"/>
  <c r="Z36" i="20" s="1"/>
  <c r="AA36" i="20" s="1"/>
  <c r="M36" i="20"/>
  <c r="P35" i="20"/>
  <c r="Q35" i="20" s="1"/>
  <c r="AN55" i="20" s="1"/>
  <c r="M35" i="20"/>
  <c r="Q12" i="21"/>
  <c r="N36" i="21" s="1"/>
  <c r="CG8" i="21"/>
  <c r="M164" i="21" s="1"/>
  <c r="P8" i="21"/>
  <c r="AM8" i="21"/>
  <c r="M168" i="21" s="1"/>
  <c r="BJ8" i="21"/>
  <c r="M165" i="21" s="1"/>
  <c r="BK3" i="21"/>
  <c r="G7" i="2"/>
  <c r="AD32" i="20"/>
  <c r="Q3" i="21"/>
  <c r="BA32" i="20"/>
  <c r="AO5" i="21" s="1"/>
  <c r="AN3" i="21"/>
  <c r="BX32" i="20"/>
  <c r="CH3" i="21"/>
  <c r="DD56" i="20" l="1"/>
  <c r="K77" i="21"/>
  <c r="M76" i="21"/>
  <c r="M77" i="21"/>
  <c r="CX68" i="20"/>
  <c r="DT68" i="20"/>
  <c r="Q36" i="20"/>
  <c r="Z35" i="20"/>
  <c r="AA35" i="20" s="1"/>
  <c r="P33" i="20"/>
  <c r="M33" i="20"/>
  <c r="N76" i="21"/>
  <c r="AO55" i="20"/>
  <c r="AP55" i="20" s="1"/>
  <c r="AQ55" i="20" s="1"/>
  <c r="AR55" i="20" s="1"/>
  <c r="AS55" i="20" s="1"/>
  <c r="AT55" i="20" s="1"/>
  <c r="AU55" i="20" s="1"/>
  <c r="AV55" i="20" s="1"/>
  <c r="AW55" i="20" s="1"/>
  <c r="AX55" i="20" s="1"/>
  <c r="AY55" i="20" s="1"/>
  <c r="AZ55" i="20" s="1"/>
  <c r="BA55" i="20" s="1"/>
  <c r="BB55" i="20" s="1"/>
  <c r="BC55" i="20" s="1"/>
  <c r="BD55" i="20" s="1"/>
  <c r="BE55" i="20" s="1"/>
  <c r="BF55" i="20" s="1"/>
  <c r="BG55" i="20" s="1"/>
  <c r="AI22" i="21" s="1"/>
  <c r="CH57" i="20"/>
  <c r="AB36" i="20"/>
  <c r="O7" i="21"/>
  <c r="L125" i="21" s="1"/>
  <c r="L127" i="21" s="1"/>
  <c r="R12" i="21"/>
  <c r="O36" i="21" s="1"/>
  <c r="M155" i="21"/>
  <c r="M157" i="21" s="1"/>
  <c r="AN8" i="21"/>
  <c r="N168" i="21" s="1"/>
  <c r="BK8" i="21"/>
  <c r="N165" i="21" s="1"/>
  <c r="BI5" i="21"/>
  <c r="BJ5" i="21"/>
  <c r="CH8" i="21"/>
  <c r="N164" i="21" s="1"/>
  <c r="Q8" i="21"/>
  <c r="N155" i="21" s="1"/>
  <c r="N157" i="21" s="1"/>
  <c r="BL3" i="21"/>
  <c r="N7" i="21"/>
  <c r="K125" i="21" s="1"/>
  <c r="K127" i="21" s="1"/>
  <c r="M78" i="21"/>
  <c r="L78" i="21"/>
  <c r="N78" i="21"/>
  <c r="CG5" i="21"/>
  <c r="M74" i="21" s="1"/>
  <c r="BK5" i="21"/>
  <c r="CF5" i="21"/>
  <c r="L74" i="21" s="1"/>
  <c r="CH5" i="21"/>
  <c r="N74" i="21" s="1"/>
  <c r="AE32" i="20"/>
  <c r="R3" i="21"/>
  <c r="BY32" i="20"/>
  <c r="CI3" i="21"/>
  <c r="BB32" i="20"/>
  <c r="AP5" i="21" s="1"/>
  <c r="AO3" i="21"/>
  <c r="BU35" i="20" l="1"/>
  <c r="BT35" i="20"/>
  <c r="BW35" i="20"/>
  <c r="BY35" i="20"/>
  <c r="BX35" i="20"/>
  <c r="BV35" i="20"/>
  <c r="DO57" i="20"/>
  <c r="DF57" i="20"/>
  <c r="L106" i="21" s="1"/>
  <c r="DP57" i="20"/>
  <c r="DE57" i="20"/>
  <c r="K106" i="21" s="1"/>
  <c r="DR57" i="20"/>
  <c r="DI57" i="20"/>
  <c r="DG57" i="20"/>
  <c r="DS57" i="20"/>
  <c r="DU57" i="20"/>
  <c r="DL57" i="20"/>
  <c r="DX57" i="20"/>
  <c r="DH57" i="20"/>
  <c r="DT57" i="20"/>
  <c r="DK57" i="20"/>
  <c r="DJ57" i="20"/>
  <c r="DV57" i="20"/>
  <c r="DW57" i="20"/>
  <c r="DM57" i="20"/>
  <c r="DN57" i="20"/>
  <c r="DQ57" i="20"/>
  <c r="CJ57" i="20"/>
  <c r="CV57" i="20"/>
  <c r="CS57" i="20"/>
  <c r="CK57" i="20"/>
  <c r="CW57" i="20"/>
  <c r="CL57" i="20"/>
  <c r="CX57" i="20"/>
  <c r="K107" i="21"/>
  <c r="CM57" i="20"/>
  <c r="CY57" i="20"/>
  <c r="CN57" i="20"/>
  <c r="CZ57" i="20"/>
  <c r="CO57" i="20"/>
  <c r="DA57" i="20"/>
  <c r="CU57" i="20"/>
  <c r="CP57" i="20"/>
  <c r="CQ57" i="20"/>
  <c r="CR57" i="20"/>
  <c r="CT57" i="20"/>
  <c r="CI57" i="20"/>
  <c r="L107" i="21" s="1"/>
  <c r="AX35" i="20"/>
  <c r="AW35" i="20"/>
  <c r="AZ35" i="20"/>
  <c r="BA35" i="20"/>
  <c r="AY35" i="20"/>
  <c r="BB35" i="20"/>
  <c r="DE58" i="20"/>
  <c r="AN56" i="20"/>
  <c r="N23" i="21" s="1"/>
  <c r="O77" i="21"/>
  <c r="AW36" i="20"/>
  <c r="AX36" i="20" s="1"/>
  <c r="DU68" i="20"/>
  <c r="CY68" i="20"/>
  <c r="N6" i="21"/>
  <c r="K95" i="21" s="1"/>
  <c r="K97" i="21" s="1"/>
  <c r="CH58" i="20"/>
  <c r="K137" i="21" s="1"/>
  <c r="O76" i="21"/>
  <c r="S22" i="21"/>
  <c r="P100" i="21" s="1"/>
  <c r="AA22" i="21"/>
  <c r="X100" i="21" s="1"/>
  <c r="AG22" i="21"/>
  <c r="AD100" i="21" s="1"/>
  <c r="AH22" i="21"/>
  <c r="T22" i="21"/>
  <c r="Q100" i="21" s="1"/>
  <c r="N22" i="21"/>
  <c r="K100" i="21" s="1"/>
  <c r="AB22" i="21"/>
  <c r="Y100" i="21" s="1"/>
  <c r="BJ55" i="20"/>
  <c r="AJ22" i="21" s="1"/>
  <c r="O22" i="21"/>
  <c r="L100" i="21" s="1"/>
  <c r="Z22" i="21"/>
  <c r="W100" i="21" s="1"/>
  <c r="Y22" i="21"/>
  <c r="V100" i="21" s="1"/>
  <c r="Q22" i="21"/>
  <c r="N100" i="21" s="1"/>
  <c r="P22" i="21"/>
  <c r="M100" i="21" s="1"/>
  <c r="R22" i="21"/>
  <c r="O100" i="21" s="1"/>
  <c r="AD22" i="21"/>
  <c r="AA100" i="21" s="1"/>
  <c r="W22" i="21"/>
  <c r="T100" i="21" s="1"/>
  <c r="V22" i="21"/>
  <c r="S100" i="21" s="1"/>
  <c r="X22" i="21"/>
  <c r="U100" i="21" s="1"/>
  <c r="AE22" i="21"/>
  <c r="AB100" i="21" s="1"/>
  <c r="AF22" i="21"/>
  <c r="AC100" i="21" s="1"/>
  <c r="AC22" i="21"/>
  <c r="Z100" i="21" s="1"/>
  <c r="U22" i="21"/>
  <c r="R100" i="21" s="1"/>
  <c r="AB35" i="20"/>
  <c r="O6" i="21"/>
  <c r="L95" i="21" s="1"/>
  <c r="AC36" i="20"/>
  <c r="P7" i="21"/>
  <c r="M125" i="21" s="1"/>
  <c r="M127" i="21" s="1"/>
  <c r="Q33" i="20"/>
  <c r="AN53" i="20" s="1"/>
  <c r="O21" i="21"/>
  <c r="L70" i="21" s="1"/>
  <c r="S12" i="21"/>
  <c r="P36" i="21" s="1"/>
  <c r="BM5" i="21"/>
  <c r="R8" i="21"/>
  <c r="CI5" i="21"/>
  <c r="O74" i="21" s="1"/>
  <c r="BL8" i="21"/>
  <c r="O165" i="21" s="1"/>
  <c r="AO8" i="21"/>
  <c r="O168" i="21" s="1"/>
  <c r="N21" i="21"/>
  <c r="K70" i="21" s="1"/>
  <c r="BL5" i="21"/>
  <c r="CI8" i="21"/>
  <c r="O164" i="21" s="1"/>
  <c r="BM3" i="21"/>
  <c r="G6" i="2"/>
  <c r="O78" i="21"/>
  <c r="K78" i="21"/>
  <c r="BT36" i="20"/>
  <c r="BU36" i="20" s="1"/>
  <c r="BC32" i="20"/>
  <c r="AQ5" i="21" s="1"/>
  <c r="AP3" i="21"/>
  <c r="BZ32" i="20"/>
  <c r="CJ3" i="21"/>
  <c r="AF32" i="20"/>
  <c r="S3" i="21"/>
  <c r="BZ35" i="20" l="1"/>
  <c r="BC35" i="20"/>
  <c r="K136" i="21"/>
  <c r="DF58" i="20"/>
  <c r="L136" i="21" s="1"/>
  <c r="M107" i="21"/>
  <c r="N77" i="21"/>
  <c r="M106" i="21"/>
  <c r="CZ68" i="20"/>
  <c r="DV68" i="20"/>
  <c r="CI58" i="20"/>
  <c r="L137" i="21" s="1"/>
  <c r="AO56" i="20"/>
  <c r="O23" i="21" s="1"/>
  <c r="P76" i="21"/>
  <c r="P77" i="21"/>
  <c r="CH55" i="20"/>
  <c r="N4" i="21"/>
  <c r="K35" i="21" s="1"/>
  <c r="K37" i="21" s="1"/>
  <c r="AY36" i="20"/>
  <c r="AL7" i="21"/>
  <c r="L138" i="21" s="1"/>
  <c r="CF6" i="21"/>
  <c r="L104" i="21" s="1"/>
  <c r="BI6" i="21"/>
  <c r="AD36" i="20"/>
  <c r="Q7" i="21"/>
  <c r="N125" i="21" s="1"/>
  <c r="N127" i="21" s="1"/>
  <c r="BV36" i="20"/>
  <c r="CF7" i="21"/>
  <c r="BI7" i="21"/>
  <c r="L135" i="21" s="1"/>
  <c r="AL6" i="21"/>
  <c r="L108" i="21" s="1"/>
  <c r="AC35" i="20"/>
  <c r="P6" i="21"/>
  <c r="M95" i="21" s="1"/>
  <c r="BT33" i="20"/>
  <c r="AW33" i="20"/>
  <c r="BS33" i="20" s="1"/>
  <c r="T12" i="21"/>
  <c r="Q36" i="21" s="1"/>
  <c r="P21" i="21"/>
  <c r="M70" i="21" s="1"/>
  <c r="O155" i="21"/>
  <c r="O157" i="21" s="1"/>
  <c r="CJ8" i="21"/>
  <c r="P164" i="21" s="1"/>
  <c r="BM8" i="21"/>
  <c r="P165" i="21" s="1"/>
  <c r="CE6" i="21"/>
  <c r="K104" i="21" s="1"/>
  <c r="CJ5" i="21"/>
  <c r="P74" i="21" s="1"/>
  <c r="BH6" i="21"/>
  <c r="BH5" i="21"/>
  <c r="S8" i="21"/>
  <c r="P155" i="21" s="1"/>
  <c r="P157" i="21" s="1"/>
  <c r="BH7" i="21"/>
  <c r="K135" i="21" s="1"/>
  <c r="AP8" i="21"/>
  <c r="P168" i="21" s="1"/>
  <c r="BN3" i="21"/>
  <c r="CE7" i="21"/>
  <c r="P78" i="21"/>
  <c r="AK7" i="21"/>
  <c r="K138" i="21" s="1"/>
  <c r="AK6" i="21"/>
  <c r="K108" i="21" s="1"/>
  <c r="CE5" i="21"/>
  <c r="K74" i="21" s="1"/>
  <c r="AG32" i="20"/>
  <c r="T3" i="21"/>
  <c r="CA32" i="20"/>
  <c r="CK3" i="21"/>
  <c r="BD32" i="20"/>
  <c r="AQ3" i="21"/>
  <c r="EA58" i="20" l="1"/>
  <c r="CA35" i="20"/>
  <c r="DE55" i="20"/>
  <c r="K46" i="21" s="1"/>
  <c r="AR5" i="21"/>
  <c r="BD35" i="20"/>
  <c r="N107" i="21"/>
  <c r="DG58" i="20"/>
  <c r="N106" i="21"/>
  <c r="DW68" i="20"/>
  <c r="DA68" i="20"/>
  <c r="K130" i="21"/>
  <c r="AP56" i="20"/>
  <c r="CJ58" i="20"/>
  <c r="M137" i="21" s="1"/>
  <c r="Q77" i="21"/>
  <c r="Q76" i="21"/>
  <c r="K47" i="21"/>
  <c r="O4" i="21"/>
  <c r="L35" i="21" s="1"/>
  <c r="L37" i="21" s="1"/>
  <c r="AD35" i="20"/>
  <c r="Q6" i="21"/>
  <c r="N95" i="21" s="1"/>
  <c r="AE36" i="20"/>
  <c r="R7" i="21"/>
  <c r="O125" i="21" s="1"/>
  <c r="O127" i="21" s="1"/>
  <c r="L134" i="21"/>
  <c r="BJ7" i="21"/>
  <c r="M135" i="21" s="1"/>
  <c r="CG6" i="21"/>
  <c r="M104" i="21" s="1"/>
  <c r="AM6" i="21"/>
  <c r="M108" i="21" s="1"/>
  <c r="BW36" i="20"/>
  <c r="CG7" i="21"/>
  <c r="M134" i="21" s="1"/>
  <c r="BJ6" i="21"/>
  <c r="AZ36" i="20"/>
  <c r="AM7" i="21"/>
  <c r="M138" i="21" s="1"/>
  <c r="BH4" i="21"/>
  <c r="AK4" i="21"/>
  <c r="K48" i="21" s="1"/>
  <c r="CE4" i="21"/>
  <c r="K44" i="21" s="1"/>
  <c r="N20" i="21"/>
  <c r="K40" i="21" s="1"/>
  <c r="Q21" i="21"/>
  <c r="N70" i="21" s="1"/>
  <c r="U12" i="21"/>
  <c r="R36" i="21" s="1"/>
  <c r="K134" i="21"/>
  <c r="BP3" i="21"/>
  <c r="BO3" i="21"/>
  <c r="AQ8" i="21"/>
  <c r="Q168" i="21" s="1"/>
  <c r="BN8" i="21"/>
  <c r="Q165" i="21" s="1"/>
  <c r="CK5" i="21"/>
  <c r="Q74" i="21" s="1"/>
  <c r="BN5" i="21"/>
  <c r="CK8" i="21"/>
  <c r="Q164" i="21" s="1"/>
  <c r="T8" i="21"/>
  <c r="Q78" i="21"/>
  <c r="BE32" i="20"/>
  <c r="AR3" i="21"/>
  <c r="CB32" i="20"/>
  <c r="CL3" i="21"/>
  <c r="AH32" i="20"/>
  <c r="U3" i="21"/>
  <c r="CB35" i="20" l="1"/>
  <c r="AS5" i="21"/>
  <c r="BE35" i="20"/>
  <c r="O107" i="21"/>
  <c r="M136" i="21"/>
  <c r="DH58" i="20"/>
  <c r="O106" i="21"/>
  <c r="P23" i="21"/>
  <c r="DB68" i="20"/>
  <c r="DC68" i="20" s="1"/>
  <c r="DD68" i="20" s="1"/>
  <c r="DX68" i="20"/>
  <c r="AQ56" i="20"/>
  <c r="Q23" i="21" s="1"/>
  <c r="L130" i="21"/>
  <c r="CK58" i="20"/>
  <c r="N137" i="21" s="1"/>
  <c r="BQ3" i="21"/>
  <c r="R76" i="21"/>
  <c r="R77" i="21"/>
  <c r="L47" i="21"/>
  <c r="L46" i="21"/>
  <c r="P4" i="21"/>
  <c r="M35" i="21" s="1"/>
  <c r="M37" i="21" s="1"/>
  <c r="BK6" i="21"/>
  <c r="AN6" i="21"/>
  <c r="N108" i="21" s="1"/>
  <c r="BK7" i="21"/>
  <c r="N135" i="21" s="1"/>
  <c r="AF36" i="20"/>
  <c r="S7" i="21"/>
  <c r="P125" i="21" s="1"/>
  <c r="P127" i="21" s="1"/>
  <c r="BA36" i="20"/>
  <c r="AN7" i="21"/>
  <c r="N138" i="21" s="1"/>
  <c r="BX36" i="20"/>
  <c r="CH7" i="21"/>
  <c r="N134" i="21" s="1"/>
  <c r="CH6" i="21"/>
  <c r="N104" i="21" s="1"/>
  <c r="AE35" i="20"/>
  <c r="R6" i="21"/>
  <c r="O95" i="21" s="1"/>
  <c r="O20" i="21"/>
  <c r="L40" i="21" s="1"/>
  <c r="AL4" i="21"/>
  <c r="L48" i="21" s="1"/>
  <c r="CF4" i="21"/>
  <c r="L44" i="21" s="1"/>
  <c r="BI4" i="21"/>
  <c r="V12" i="21"/>
  <c r="S36" i="21" s="1"/>
  <c r="R21" i="21"/>
  <c r="O70" i="21" s="1"/>
  <c r="Q155" i="21"/>
  <c r="Q157" i="21" s="1"/>
  <c r="U8" i="21"/>
  <c r="CL5" i="21"/>
  <c r="R74" i="21" s="1"/>
  <c r="CL8" i="21"/>
  <c r="R164" i="21" s="1"/>
  <c r="AR8" i="21"/>
  <c r="R168" i="21" s="1"/>
  <c r="BP8" i="21"/>
  <c r="S165" i="21" s="1"/>
  <c r="BO5" i="21"/>
  <c r="BO8" i="21"/>
  <c r="R165" i="21" s="1"/>
  <c r="R78" i="21"/>
  <c r="BP5" i="21"/>
  <c r="CM3" i="21"/>
  <c r="CC32" i="20"/>
  <c r="AI32" i="20"/>
  <c r="V3" i="21"/>
  <c r="BF32" i="20"/>
  <c r="AS3" i="21"/>
  <c r="CC35" i="20" l="1"/>
  <c r="AT5" i="21"/>
  <c r="BF35" i="20"/>
  <c r="P107" i="21"/>
  <c r="P106" i="21"/>
  <c r="N136" i="21"/>
  <c r="DI58" i="20"/>
  <c r="DY68" i="20"/>
  <c r="DZ68" i="20" s="1"/>
  <c r="EA68" i="20" s="1"/>
  <c r="EA66" i="20"/>
  <c r="DD66" i="20"/>
  <c r="EA67" i="20"/>
  <c r="DD67" i="20"/>
  <c r="CL58" i="20"/>
  <c r="O137" i="21" s="1"/>
  <c r="AR56" i="20"/>
  <c r="R23" i="21" s="1"/>
  <c r="M130" i="21"/>
  <c r="S76" i="21"/>
  <c r="Q106" i="21"/>
  <c r="Q107" i="21"/>
  <c r="M46" i="21"/>
  <c r="M47" i="21"/>
  <c r="Q4" i="21"/>
  <c r="N35" i="21" s="1"/>
  <c r="N37" i="21" s="1"/>
  <c r="AF35" i="20"/>
  <c r="S6" i="21"/>
  <c r="P95" i="21" s="1"/>
  <c r="BY36" i="20"/>
  <c r="CI7" i="21"/>
  <c r="O134" i="21" s="1"/>
  <c r="AG36" i="20"/>
  <c r="T7" i="21"/>
  <c r="Q125" i="21" s="1"/>
  <c r="Q127" i="21" s="1"/>
  <c r="AO6" i="21"/>
  <c r="O108" i="21" s="1"/>
  <c r="CI6" i="21"/>
  <c r="O104" i="21" s="1"/>
  <c r="BB36" i="20"/>
  <c r="AO7" i="21"/>
  <c r="O138" i="21" s="1"/>
  <c r="BL7" i="21"/>
  <c r="O135" i="21" s="1"/>
  <c r="BL6" i="21"/>
  <c r="BJ4" i="21"/>
  <c r="AM4" i="21"/>
  <c r="M48" i="21" s="1"/>
  <c r="CG4" i="21"/>
  <c r="M44" i="21" s="1"/>
  <c r="P20" i="21"/>
  <c r="M40" i="21" s="1"/>
  <c r="S21" i="21"/>
  <c r="P70" i="21" s="1"/>
  <c r="W12" i="21"/>
  <c r="T36" i="21" s="1"/>
  <c r="R155" i="21"/>
  <c r="R157" i="21" s="1"/>
  <c r="AS8" i="21"/>
  <c r="S168" i="21" s="1"/>
  <c r="CM8" i="21"/>
  <c r="S164" i="21" s="1"/>
  <c r="CM5" i="21"/>
  <c r="S74" i="21" s="1"/>
  <c r="V8" i="21"/>
  <c r="S155" i="21" s="1"/>
  <c r="S157" i="21" s="1"/>
  <c r="BQ8" i="21"/>
  <c r="T165" i="21" s="1"/>
  <c r="S78" i="21"/>
  <c r="BR3" i="21"/>
  <c r="BQ5" i="21"/>
  <c r="CN3" i="21"/>
  <c r="CD32" i="20"/>
  <c r="BG32" i="20"/>
  <c r="AT3" i="21"/>
  <c r="AJ32" i="20"/>
  <c r="W3" i="21"/>
  <c r="CD35" i="20" l="1"/>
  <c r="AU5" i="21"/>
  <c r="BG35" i="20"/>
  <c r="O136" i="21"/>
  <c r="DJ58" i="20"/>
  <c r="S77" i="21"/>
  <c r="AS56" i="20"/>
  <c r="S23" i="21" s="1"/>
  <c r="N130" i="21"/>
  <c r="CM58" i="20"/>
  <c r="T76" i="21"/>
  <c r="T77" i="21"/>
  <c r="R107" i="21"/>
  <c r="R106" i="21"/>
  <c r="N47" i="21"/>
  <c r="N46" i="21"/>
  <c r="R4" i="21"/>
  <c r="O35" i="21" s="1"/>
  <c r="O37" i="21" s="1"/>
  <c r="BM6" i="21"/>
  <c r="BC36" i="20"/>
  <c r="AP7" i="21"/>
  <c r="P138" i="21" s="1"/>
  <c r="AP6" i="21"/>
  <c r="P108" i="21" s="1"/>
  <c r="BZ36" i="20"/>
  <c r="CJ7" i="21"/>
  <c r="P134" i="21" s="1"/>
  <c r="BM7" i="21"/>
  <c r="P135" i="21" s="1"/>
  <c r="CJ6" i="21"/>
  <c r="P104" i="21" s="1"/>
  <c r="AH36" i="20"/>
  <c r="U7" i="21"/>
  <c r="R125" i="21" s="1"/>
  <c r="R127" i="21" s="1"/>
  <c r="AG35" i="20"/>
  <c r="T6" i="21"/>
  <c r="Q95" i="21" s="1"/>
  <c r="AN4" i="21"/>
  <c r="N48" i="21" s="1"/>
  <c r="CH4" i="21"/>
  <c r="N44" i="21" s="1"/>
  <c r="Q20" i="21"/>
  <c r="N40" i="21" s="1"/>
  <c r="BK4" i="21"/>
  <c r="X12" i="21"/>
  <c r="U36" i="21" s="1"/>
  <c r="T21" i="21"/>
  <c r="Q70" i="21" s="1"/>
  <c r="CN8" i="21"/>
  <c r="T164" i="21" s="1"/>
  <c r="CN5" i="21"/>
  <c r="T74" i="21" s="1"/>
  <c r="AT8" i="21"/>
  <c r="T168" i="21" s="1"/>
  <c r="W8" i="21"/>
  <c r="T155" i="21" s="1"/>
  <c r="T157" i="21" s="1"/>
  <c r="BR8" i="21"/>
  <c r="U165" i="21" s="1"/>
  <c r="CE32" i="20"/>
  <c r="BH32" i="20"/>
  <c r="BS3" i="21"/>
  <c r="AK32" i="20"/>
  <c r="X3" i="21"/>
  <c r="T78" i="21"/>
  <c r="BR5" i="21"/>
  <c r="AU3" i="21"/>
  <c r="CO3" i="21"/>
  <c r="CE35" i="20" l="1"/>
  <c r="AV5" i="21"/>
  <c r="BH35" i="20"/>
  <c r="P136" i="21"/>
  <c r="DK58" i="20"/>
  <c r="P137" i="21"/>
  <c r="CN58" i="20"/>
  <c r="Q137" i="21" s="1"/>
  <c r="AT56" i="20"/>
  <c r="O130" i="21"/>
  <c r="U77" i="21"/>
  <c r="U76" i="21"/>
  <c r="S107" i="21"/>
  <c r="S106" i="21"/>
  <c r="O46" i="21"/>
  <c r="O47" i="21"/>
  <c r="S4" i="21"/>
  <c r="P35" i="21" s="1"/>
  <c r="P37" i="21" s="1"/>
  <c r="AH35" i="20"/>
  <c r="U6" i="21"/>
  <c r="R95" i="21" s="1"/>
  <c r="CK6" i="21"/>
  <c r="Q104" i="21" s="1"/>
  <c r="CA36" i="20"/>
  <c r="CK7" i="21"/>
  <c r="Q134" i="21" s="1"/>
  <c r="BD36" i="20"/>
  <c r="AQ7" i="21"/>
  <c r="Q138" i="21" s="1"/>
  <c r="AI36" i="20"/>
  <c r="V7" i="21"/>
  <c r="S125" i="21" s="1"/>
  <c r="S127" i="21" s="1"/>
  <c r="BN7" i="21"/>
  <c r="Q135" i="21" s="1"/>
  <c r="AQ6" i="21"/>
  <c r="Q108" i="21" s="1"/>
  <c r="BN6" i="21"/>
  <c r="BL4" i="21"/>
  <c r="CI4" i="21"/>
  <c r="O44" i="21" s="1"/>
  <c r="R20" i="21"/>
  <c r="O40" i="21" s="1"/>
  <c r="AO4" i="21"/>
  <c r="O48" i="21" s="1"/>
  <c r="U21" i="21"/>
  <c r="R70" i="21" s="1"/>
  <c r="Y12" i="21"/>
  <c r="V36" i="21" s="1"/>
  <c r="AU8" i="21"/>
  <c r="U168" i="21" s="1"/>
  <c r="BS5" i="21"/>
  <c r="U78" i="21"/>
  <c r="CO8" i="21"/>
  <c r="U164" i="21" s="1"/>
  <c r="CO5" i="21"/>
  <c r="U74" i="21" s="1"/>
  <c r="BS8" i="21"/>
  <c r="V165" i="21" s="1"/>
  <c r="X8" i="21"/>
  <c r="CF32" i="20"/>
  <c r="BT3" i="21"/>
  <c r="AV3" i="21"/>
  <c r="BI32" i="20"/>
  <c r="CP3" i="21"/>
  <c r="Y3" i="21"/>
  <c r="AL32" i="20"/>
  <c r="CF35" i="20" l="1"/>
  <c r="AW5" i="21"/>
  <c r="BI35" i="20"/>
  <c r="Q136" i="21"/>
  <c r="DL58" i="20"/>
  <c r="T23" i="21"/>
  <c r="AU56" i="20"/>
  <c r="U23" i="21" s="1"/>
  <c r="P130" i="21"/>
  <c r="CO58" i="20"/>
  <c r="R137" i="21" s="1"/>
  <c r="V76" i="21"/>
  <c r="V77" i="21"/>
  <c r="T106" i="21"/>
  <c r="T107" i="21"/>
  <c r="P47" i="21"/>
  <c r="P46" i="21"/>
  <c r="T4" i="21"/>
  <c r="Q35" i="21" s="1"/>
  <c r="Q37" i="21" s="1"/>
  <c r="BO6" i="21"/>
  <c r="BO7" i="21"/>
  <c r="R135" i="21" s="1"/>
  <c r="BE36" i="20"/>
  <c r="AR7" i="21"/>
  <c r="R138" i="21" s="1"/>
  <c r="CL6" i="21"/>
  <c r="R104" i="21" s="1"/>
  <c r="AR6" i="21"/>
  <c r="R108" i="21" s="1"/>
  <c r="AJ36" i="20"/>
  <c r="W7" i="21"/>
  <c r="T125" i="21" s="1"/>
  <c r="T127" i="21" s="1"/>
  <c r="CB36" i="20"/>
  <c r="CL7" i="21"/>
  <c r="R134" i="21" s="1"/>
  <c r="AI35" i="20"/>
  <c r="V6" i="21"/>
  <c r="S95" i="21" s="1"/>
  <c r="AP4" i="21"/>
  <c r="P48" i="21" s="1"/>
  <c r="CJ4" i="21"/>
  <c r="P44" i="21" s="1"/>
  <c r="S20" i="21"/>
  <c r="P40" i="21" s="1"/>
  <c r="BM4" i="21"/>
  <c r="Z12" i="21"/>
  <c r="W36" i="21" s="1"/>
  <c r="V21" i="21"/>
  <c r="S70" i="21" s="1"/>
  <c r="U155" i="21"/>
  <c r="U157" i="21" s="1"/>
  <c r="V78" i="21"/>
  <c r="BT8" i="21"/>
  <c r="W165" i="21" s="1"/>
  <c r="Y8" i="21"/>
  <c r="V155" i="21" s="1"/>
  <c r="V157" i="21" s="1"/>
  <c r="BT5" i="21"/>
  <c r="CP8" i="21"/>
  <c r="V164" i="21" s="1"/>
  <c r="CP5" i="21"/>
  <c r="V74" i="21" s="1"/>
  <c r="AV8" i="21"/>
  <c r="V168" i="21" s="1"/>
  <c r="BJ32" i="20"/>
  <c r="CG32" i="20"/>
  <c r="CQ3" i="21"/>
  <c r="AW3" i="21"/>
  <c r="BU3" i="21"/>
  <c r="AM32" i="20"/>
  <c r="Z3" i="21"/>
  <c r="CG35" i="20" l="1"/>
  <c r="AX5" i="21"/>
  <c r="BJ35" i="20"/>
  <c r="R136" i="21"/>
  <c r="DM58" i="20"/>
  <c r="AV56" i="20"/>
  <c r="V23" i="21" s="1"/>
  <c r="Q130" i="21"/>
  <c r="CP58" i="20"/>
  <c r="S137" i="21" s="1"/>
  <c r="W77" i="21"/>
  <c r="W76" i="21"/>
  <c r="U107" i="21"/>
  <c r="U106" i="21"/>
  <c r="Q46" i="21"/>
  <c r="Q47" i="21"/>
  <c r="U4" i="21"/>
  <c r="R35" i="21" s="1"/>
  <c r="R37" i="21" s="1"/>
  <c r="AJ35" i="20"/>
  <c r="W6" i="21"/>
  <c r="T95" i="21" s="1"/>
  <c r="AK36" i="20"/>
  <c r="X7" i="21"/>
  <c r="U125" i="21" s="1"/>
  <c r="U127" i="21" s="1"/>
  <c r="CM6" i="21"/>
  <c r="S104" i="21" s="1"/>
  <c r="BP7" i="21"/>
  <c r="S135" i="21" s="1"/>
  <c r="CC36" i="20"/>
  <c r="CM7" i="21"/>
  <c r="S134" i="21" s="1"/>
  <c r="AS6" i="21"/>
  <c r="S108" i="21" s="1"/>
  <c r="BF36" i="20"/>
  <c r="AS7" i="21"/>
  <c r="S138" i="21" s="1"/>
  <c r="BP6" i="21"/>
  <c r="BN4" i="21"/>
  <c r="CK4" i="21"/>
  <c r="Q44" i="21" s="1"/>
  <c r="T20" i="21"/>
  <c r="Q40" i="21" s="1"/>
  <c r="AQ4" i="21"/>
  <c r="Q48" i="21" s="1"/>
  <c r="W21" i="21"/>
  <c r="T70" i="21" s="1"/>
  <c r="AA12" i="21"/>
  <c r="X36" i="21" s="1"/>
  <c r="W78" i="21"/>
  <c r="CQ8" i="21"/>
  <c r="W164" i="21" s="1"/>
  <c r="BU5" i="21"/>
  <c r="CQ5" i="21"/>
  <c r="W74" i="21" s="1"/>
  <c r="AW8" i="21"/>
  <c r="W168" i="21" s="1"/>
  <c r="Z8" i="21"/>
  <c r="BU8" i="21"/>
  <c r="X165" i="21" s="1"/>
  <c r="BK32" i="20"/>
  <c r="CH32" i="20"/>
  <c r="CR3" i="21"/>
  <c r="AX3" i="21"/>
  <c r="BV3" i="21"/>
  <c r="AA3" i="21"/>
  <c r="AN32" i="20"/>
  <c r="CH35" i="20" l="1"/>
  <c r="AY5" i="21"/>
  <c r="BK35" i="20"/>
  <c r="S136" i="21"/>
  <c r="DN58" i="20"/>
  <c r="CQ58" i="20"/>
  <c r="T137" i="21" s="1"/>
  <c r="AW56" i="20"/>
  <c r="W23" i="21" s="1"/>
  <c r="R130" i="21"/>
  <c r="X76" i="21"/>
  <c r="X77" i="21"/>
  <c r="V106" i="21"/>
  <c r="V107" i="21"/>
  <c r="R47" i="21"/>
  <c r="R46" i="21"/>
  <c r="V4" i="21"/>
  <c r="S35" i="21" s="1"/>
  <c r="S37" i="21" s="1"/>
  <c r="BQ6" i="21"/>
  <c r="AT6" i="21"/>
  <c r="T108" i="21" s="1"/>
  <c r="BQ7" i="21"/>
  <c r="T135" i="21" s="1"/>
  <c r="AL36" i="20"/>
  <c r="Y7" i="21"/>
  <c r="V125" i="21" s="1"/>
  <c r="V127" i="21" s="1"/>
  <c r="BG36" i="20"/>
  <c r="AT7" i="21"/>
  <c r="T138" i="21" s="1"/>
  <c r="CD36" i="20"/>
  <c r="CN7" i="21"/>
  <c r="T134" i="21" s="1"/>
  <c r="CN6" i="21"/>
  <c r="T104" i="21" s="1"/>
  <c r="AK35" i="20"/>
  <c r="X6" i="21"/>
  <c r="U95" i="21" s="1"/>
  <c r="AR4" i="21"/>
  <c r="R48" i="21" s="1"/>
  <c r="CL4" i="21"/>
  <c r="R44" i="21" s="1"/>
  <c r="U20" i="21"/>
  <c r="R40" i="21" s="1"/>
  <c r="BO4" i="21"/>
  <c r="AB12" i="21"/>
  <c r="Y36" i="21" s="1"/>
  <c r="X21" i="21"/>
  <c r="U70" i="21" s="1"/>
  <c r="W155" i="21"/>
  <c r="W157" i="21" s="1"/>
  <c r="BV5" i="21"/>
  <c r="CR5" i="21"/>
  <c r="X74" i="21" s="1"/>
  <c r="X78" i="21"/>
  <c r="AA8" i="21"/>
  <c r="X155" i="21" s="1"/>
  <c r="X157" i="21" s="1"/>
  <c r="CR8" i="21"/>
  <c r="X164" i="21" s="1"/>
  <c r="AX8" i="21"/>
  <c r="X168" i="21" s="1"/>
  <c r="BV8" i="21"/>
  <c r="Y165" i="21" s="1"/>
  <c r="BL32" i="20"/>
  <c r="AY3" i="21"/>
  <c r="CI32" i="20"/>
  <c r="CS3" i="21"/>
  <c r="BW3" i="21"/>
  <c r="AO32" i="20"/>
  <c r="AB3" i="21"/>
  <c r="CI35" i="20" l="1"/>
  <c r="AZ5" i="21"/>
  <c r="BL35" i="20"/>
  <c r="T136" i="21"/>
  <c r="DO58" i="20"/>
  <c r="AX56" i="20"/>
  <c r="X23" i="21" s="1"/>
  <c r="S130" i="21"/>
  <c r="CR58" i="20"/>
  <c r="U137" i="21" s="1"/>
  <c r="Y77" i="21"/>
  <c r="Y76" i="21"/>
  <c r="W107" i="21"/>
  <c r="W106" i="21"/>
  <c r="S46" i="21"/>
  <c r="S47" i="21"/>
  <c r="W4" i="21"/>
  <c r="T35" i="21" s="1"/>
  <c r="T37" i="21" s="1"/>
  <c r="AL35" i="20"/>
  <c r="Y6" i="21"/>
  <c r="V95" i="21" s="1"/>
  <c r="CE36" i="20"/>
  <c r="CO7" i="21"/>
  <c r="U134" i="21" s="1"/>
  <c r="AM36" i="20"/>
  <c r="Z7" i="21"/>
  <c r="W125" i="21" s="1"/>
  <c r="W127" i="21" s="1"/>
  <c r="AU6" i="21"/>
  <c r="U108" i="21" s="1"/>
  <c r="CO6" i="21"/>
  <c r="U104" i="21" s="1"/>
  <c r="BH36" i="20"/>
  <c r="AU7" i="21"/>
  <c r="U138" i="21" s="1"/>
  <c r="BR7" i="21"/>
  <c r="U135" i="21" s="1"/>
  <c r="BR6" i="21"/>
  <c r="BP4" i="21"/>
  <c r="CM4" i="21"/>
  <c r="S44" i="21" s="1"/>
  <c r="V20" i="21"/>
  <c r="S40" i="21" s="1"/>
  <c r="AS4" i="21"/>
  <c r="S48" i="21" s="1"/>
  <c r="Y21" i="21"/>
  <c r="V70" i="21" s="1"/>
  <c r="AC12" i="21"/>
  <c r="Z36" i="21" s="1"/>
  <c r="BW5" i="21"/>
  <c r="CS5" i="21"/>
  <c r="Y74" i="21" s="1"/>
  <c r="AY8" i="21"/>
  <c r="Y168" i="21" s="1"/>
  <c r="AB8" i="21"/>
  <c r="CS8" i="21"/>
  <c r="Y164" i="21" s="1"/>
  <c r="BW8" i="21"/>
  <c r="Z165" i="21" s="1"/>
  <c r="Y78" i="21"/>
  <c r="BM32" i="20"/>
  <c r="CT3" i="21"/>
  <c r="CJ32" i="20"/>
  <c r="AZ3" i="21"/>
  <c r="BX3" i="21"/>
  <c r="AC3" i="21"/>
  <c r="AP32" i="20"/>
  <c r="CJ35" i="20" l="1"/>
  <c r="BM35" i="20"/>
  <c r="U136" i="21"/>
  <c r="DP58" i="20"/>
  <c r="CS58" i="20"/>
  <c r="V137" i="21" s="1"/>
  <c r="AY56" i="20"/>
  <c r="Y23" i="21" s="1"/>
  <c r="T130" i="21"/>
  <c r="AA7" i="21"/>
  <c r="X125" i="21" s="1"/>
  <c r="X127" i="21" s="1"/>
  <c r="AN36" i="20"/>
  <c r="Z76" i="21"/>
  <c r="Z77" i="21"/>
  <c r="X106" i="21"/>
  <c r="X107" i="21"/>
  <c r="T47" i="21"/>
  <c r="T46" i="21"/>
  <c r="X4" i="21"/>
  <c r="U35" i="21" s="1"/>
  <c r="U37" i="21" s="1"/>
  <c r="BS6" i="21"/>
  <c r="BI36" i="20"/>
  <c r="AV7" i="21"/>
  <c r="V138" i="21" s="1"/>
  <c r="AV6" i="21"/>
  <c r="V108" i="21" s="1"/>
  <c r="CF36" i="20"/>
  <c r="CP7" i="21"/>
  <c r="V134" i="21" s="1"/>
  <c r="BS7" i="21"/>
  <c r="V135" i="21" s="1"/>
  <c r="CP6" i="21"/>
  <c r="V104" i="21" s="1"/>
  <c r="AM35" i="20"/>
  <c r="AN35" i="20" s="1"/>
  <c r="Z6" i="21"/>
  <c r="W95" i="21" s="1"/>
  <c r="AT4" i="21"/>
  <c r="T48" i="21" s="1"/>
  <c r="CN4" i="21"/>
  <c r="T44" i="21" s="1"/>
  <c r="W20" i="21"/>
  <c r="T40" i="21" s="1"/>
  <c r="BQ4" i="21"/>
  <c r="AD12" i="21"/>
  <c r="AA36" i="21" s="1"/>
  <c r="Z21" i="21"/>
  <c r="W70" i="21" s="1"/>
  <c r="Y155" i="21"/>
  <c r="Y157" i="21" s="1"/>
  <c r="BA3" i="21"/>
  <c r="BN32" i="20"/>
  <c r="CT5" i="21"/>
  <c r="Z74" i="21" s="1"/>
  <c r="CU5" i="21"/>
  <c r="AA74" i="21" s="1"/>
  <c r="BX5" i="21"/>
  <c r="AZ8" i="21"/>
  <c r="Z168" i="21" s="1"/>
  <c r="BX8" i="21"/>
  <c r="AA165" i="21" s="1"/>
  <c r="AC8" i="21"/>
  <c r="CT8" i="21"/>
  <c r="Z164" i="21" s="1"/>
  <c r="Z78" i="21"/>
  <c r="CU3" i="21"/>
  <c r="CK32" i="20"/>
  <c r="BY3" i="21"/>
  <c r="AQ32" i="20"/>
  <c r="AD3" i="21"/>
  <c r="BA5" i="21" l="1"/>
  <c r="AA78" i="21" s="1"/>
  <c r="CV5" i="21"/>
  <c r="AB74" i="21" s="1"/>
  <c r="CK35" i="20"/>
  <c r="BB5" i="21"/>
  <c r="AB78" i="21" s="1"/>
  <c r="BN35" i="20"/>
  <c r="V136" i="21"/>
  <c r="DQ58" i="20"/>
  <c r="AZ56" i="20"/>
  <c r="Z23" i="21" s="1"/>
  <c r="U130" i="21"/>
  <c r="CT58" i="20"/>
  <c r="W137" i="21" s="1"/>
  <c r="AO36" i="20"/>
  <c r="AB7" i="21"/>
  <c r="Y125" i="21" s="1"/>
  <c r="Y127" i="21" s="1"/>
  <c r="AO35" i="20"/>
  <c r="AB6" i="21"/>
  <c r="Y95" i="21" s="1"/>
  <c r="AA77" i="21"/>
  <c r="AA76" i="21"/>
  <c r="Y107" i="21"/>
  <c r="AA6" i="21"/>
  <c r="X95" i="21" s="1"/>
  <c r="Y106" i="21"/>
  <c r="U46" i="21"/>
  <c r="U47" i="21"/>
  <c r="Y4" i="21"/>
  <c r="V35" i="21" s="1"/>
  <c r="V37" i="21" s="1"/>
  <c r="CQ6" i="21"/>
  <c r="W104" i="21" s="1"/>
  <c r="CG36" i="20"/>
  <c r="CQ7" i="21"/>
  <c r="W134" i="21" s="1"/>
  <c r="BJ36" i="20"/>
  <c r="AW7" i="21"/>
  <c r="W138" i="21" s="1"/>
  <c r="BT7" i="21"/>
  <c r="W135" i="21" s="1"/>
  <c r="AW6" i="21"/>
  <c r="W108" i="21" s="1"/>
  <c r="BT6" i="21"/>
  <c r="BR4" i="21"/>
  <c r="CO4" i="21"/>
  <c r="U44" i="21" s="1"/>
  <c r="X20" i="21"/>
  <c r="U40" i="21" s="1"/>
  <c r="AU4" i="21"/>
  <c r="U48" i="21" s="1"/>
  <c r="AA21" i="21"/>
  <c r="X70" i="21" s="1"/>
  <c r="AE12" i="21"/>
  <c r="AB36" i="21" s="1"/>
  <c r="Z155" i="21"/>
  <c r="Z157" i="21" s="1"/>
  <c r="CL32" i="20"/>
  <c r="BO32" i="20"/>
  <c r="BB3" i="21"/>
  <c r="CV3" i="21"/>
  <c r="BY5" i="21"/>
  <c r="AD8" i="21"/>
  <c r="BY8" i="21"/>
  <c r="AB165" i="21" s="1"/>
  <c r="CU8" i="21"/>
  <c r="AA164" i="21" s="1"/>
  <c r="BA8" i="21"/>
  <c r="AA168" i="21" s="1"/>
  <c r="BZ3" i="21"/>
  <c r="AR32" i="20"/>
  <c r="AE3" i="21"/>
  <c r="CW3" i="21" l="1"/>
  <c r="CL35" i="20"/>
  <c r="BO35" i="20"/>
  <c r="W136" i="21"/>
  <c r="DR58" i="20"/>
  <c r="CU58" i="20"/>
  <c r="X137" i="21" s="1"/>
  <c r="BA56" i="20"/>
  <c r="AA23" i="21" s="1"/>
  <c r="V130" i="21"/>
  <c r="AP35" i="20"/>
  <c r="AC6" i="21"/>
  <c r="Z95" i="21" s="1"/>
  <c r="AP36" i="20"/>
  <c r="AC7" i="21"/>
  <c r="Z125" i="21" s="1"/>
  <c r="Z127" i="21" s="1"/>
  <c r="AB76" i="21"/>
  <c r="CM32" i="20"/>
  <c r="AB77" i="21"/>
  <c r="Z106" i="21"/>
  <c r="Z107" i="21"/>
  <c r="V47" i="21"/>
  <c r="V46" i="21"/>
  <c r="Z4" i="21"/>
  <c r="W35" i="21" s="1"/>
  <c r="W37" i="21" s="1"/>
  <c r="BU6" i="21"/>
  <c r="BU7" i="21"/>
  <c r="X135" i="21" s="1"/>
  <c r="CH36" i="20"/>
  <c r="CR7" i="21"/>
  <c r="X134" i="21" s="1"/>
  <c r="AX6" i="21"/>
  <c r="X108" i="21" s="1"/>
  <c r="BK36" i="20"/>
  <c r="AX7" i="21"/>
  <c r="X138" i="21" s="1"/>
  <c r="CR6" i="21"/>
  <c r="X104" i="21" s="1"/>
  <c r="AV4" i="21"/>
  <c r="V48" i="21" s="1"/>
  <c r="CP4" i="21"/>
  <c r="V44" i="21" s="1"/>
  <c r="Y20" i="21"/>
  <c r="V40" i="21" s="1"/>
  <c r="BS4" i="21"/>
  <c r="AF12" i="21"/>
  <c r="AC36" i="21" s="1"/>
  <c r="AB21" i="21"/>
  <c r="Y70" i="21" s="1"/>
  <c r="AA155" i="21"/>
  <c r="AA157" i="21" s="1"/>
  <c r="BC3" i="21"/>
  <c r="BP32" i="20"/>
  <c r="BB8" i="21"/>
  <c r="AB168" i="21" s="1"/>
  <c r="CW5" i="21"/>
  <c r="AC74" i="21" s="1"/>
  <c r="CV8" i="21"/>
  <c r="AB164" i="21" s="1"/>
  <c r="BZ5" i="21"/>
  <c r="BC8" i="21"/>
  <c r="AC168" i="21" s="1"/>
  <c r="BZ8" i="21"/>
  <c r="AC165" i="21" s="1"/>
  <c r="CW8" i="21"/>
  <c r="AC164" i="21" s="1"/>
  <c r="AE8" i="21"/>
  <c r="CA3" i="21"/>
  <c r="CD15" i="21"/>
  <c r="CD14" i="21"/>
  <c r="CD13" i="21"/>
  <c r="CD12" i="21"/>
  <c r="AS32" i="20"/>
  <c r="AF3" i="21"/>
  <c r="BC5" i="21" l="1"/>
  <c r="AC78" i="21" s="1"/>
  <c r="CN32" i="20"/>
  <c r="CX5" i="21"/>
  <c r="AD74" i="21" s="1"/>
  <c r="CM35" i="20"/>
  <c r="CX3" i="21"/>
  <c r="BQ32" i="20"/>
  <c r="BP35" i="20"/>
  <c r="X136" i="21"/>
  <c r="DS58" i="20"/>
  <c r="BB56" i="20"/>
  <c r="AB23" i="21" s="1"/>
  <c r="W130" i="21"/>
  <c r="CV58" i="20"/>
  <c r="Y137" i="21" s="1"/>
  <c r="AQ36" i="20"/>
  <c r="AD7" i="21"/>
  <c r="AA125" i="21" s="1"/>
  <c r="AA127" i="21" s="1"/>
  <c r="AQ35" i="20"/>
  <c r="AD6" i="21"/>
  <c r="AA95" i="21" s="1"/>
  <c r="BD3" i="21"/>
  <c r="AC77" i="21"/>
  <c r="AC76" i="21"/>
  <c r="AA107" i="21"/>
  <c r="AA106" i="21"/>
  <c r="W46" i="21"/>
  <c r="W47" i="21"/>
  <c r="AA4" i="21"/>
  <c r="X35" i="21" s="1"/>
  <c r="X37" i="21" s="1"/>
  <c r="CS6" i="21"/>
  <c r="Y104" i="21" s="1"/>
  <c r="AY6" i="21"/>
  <c r="Y108" i="21" s="1"/>
  <c r="BV7" i="21"/>
  <c r="Y135" i="21" s="1"/>
  <c r="BL36" i="20"/>
  <c r="AY7" i="21"/>
  <c r="Y138" i="21" s="1"/>
  <c r="CI36" i="20"/>
  <c r="CS7" i="21"/>
  <c r="Y134" i="21" s="1"/>
  <c r="BV6" i="21"/>
  <c r="BT4" i="21"/>
  <c r="CQ4" i="21"/>
  <c r="W44" i="21" s="1"/>
  <c r="Z20" i="21"/>
  <c r="W40" i="21" s="1"/>
  <c r="AW4" i="21"/>
  <c r="W48" i="21" s="1"/>
  <c r="AC21" i="21"/>
  <c r="Z70" i="21" s="1"/>
  <c r="AG12" i="21"/>
  <c r="AD36" i="21" s="1"/>
  <c r="AB155" i="21"/>
  <c r="AB157" i="21" s="1"/>
  <c r="CA8" i="21"/>
  <c r="AD165" i="21" s="1"/>
  <c r="CX8" i="21"/>
  <c r="AF8" i="21"/>
  <c r="CO32" i="20"/>
  <c r="CY3" i="21"/>
  <c r="CB3" i="21"/>
  <c r="BD8" i="21"/>
  <c r="AD168" i="21" s="1"/>
  <c r="BE3" i="21"/>
  <c r="BR32" i="20"/>
  <c r="AT32" i="20"/>
  <c r="AG3" i="21"/>
  <c r="CA5" i="21"/>
  <c r="BD5" i="21" l="1"/>
  <c r="AD78" i="21" s="1"/>
  <c r="CY5" i="21"/>
  <c r="BS34" i="20"/>
  <c r="Y136" i="21"/>
  <c r="DT58" i="20"/>
  <c r="AD164" i="21"/>
  <c r="CW58" i="20"/>
  <c r="Z137" i="21" s="1"/>
  <c r="BC56" i="20"/>
  <c r="AC23" i="21" s="1"/>
  <c r="X130" i="21"/>
  <c r="AR35" i="20"/>
  <c r="AE6" i="21"/>
  <c r="AB95" i="21" s="1"/>
  <c r="AR36" i="20"/>
  <c r="AE7" i="21"/>
  <c r="AB125" i="21" s="1"/>
  <c r="AB127" i="21" s="1"/>
  <c r="AD76" i="21"/>
  <c r="AD77" i="21"/>
  <c r="AB106" i="21"/>
  <c r="AB107" i="21"/>
  <c r="X47" i="21"/>
  <c r="X46" i="21"/>
  <c r="AB4" i="21"/>
  <c r="Y35" i="21" s="1"/>
  <c r="Y37" i="21" s="1"/>
  <c r="BW6" i="21"/>
  <c r="BM36" i="20"/>
  <c r="AZ7" i="21"/>
  <c r="Z138" i="21" s="1"/>
  <c r="AZ6" i="21"/>
  <c r="Z108" i="21" s="1"/>
  <c r="CJ36" i="20"/>
  <c r="CT7" i="21"/>
  <c r="Z134" i="21" s="1"/>
  <c r="BW7" i="21"/>
  <c r="Z135" i="21" s="1"/>
  <c r="CT6" i="21"/>
  <c r="Z104" i="21" s="1"/>
  <c r="CR4" i="21"/>
  <c r="X44" i="21" s="1"/>
  <c r="AX4" i="21"/>
  <c r="X48" i="21" s="1"/>
  <c r="AA20" i="21"/>
  <c r="X40" i="21" s="1"/>
  <c r="BU4" i="21"/>
  <c r="AH12" i="21"/>
  <c r="AD21" i="21"/>
  <c r="AA70" i="21" s="1"/>
  <c r="AC155" i="21"/>
  <c r="AC157" i="21" s="1"/>
  <c r="CP34" i="20"/>
  <c r="CB8" i="21"/>
  <c r="BE8" i="21"/>
  <c r="BF3" i="21"/>
  <c r="CB5" i="21"/>
  <c r="AG8" i="21"/>
  <c r="CC3" i="21"/>
  <c r="CY8" i="21"/>
  <c r="CZ3" i="21"/>
  <c r="AU32" i="20"/>
  <c r="AV34" i="20" s="1"/>
  <c r="AJ5" i="21" s="1"/>
  <c r="BE5" i="21" l="1"/>
  <c r="Z136" i="21"/>
  <c r="DU58" i="20"/>
  <c r="BD56" i="20"/>
  <c r="AD23" i="21" s="1"/>
  <c r="Y130" i="21"/>
  <c r="CX58" i="20"/>
  <c r="AA137" i="21" s="1"/>
  <c r="AS36" i="20"/>
  <c r="AF7" i="21"/>
  <c r="AC125" i="21" s="1"/>
  <c r="AC127" i="21" s="1"/>
  <c r="AS35" i="20"/>
  <c r="AF6" i="21"/>
  <c r="AC95" i="21" s="1"/>
  <c r="AC107" i="21"/>
  <c r="AC106" i="21"/>
  <c r="Y46" i="21"/>
  <c r="Y47" i="21"/>
  <c r="AC4" i="21"/>
  <c r="Z35" i="21" s="1"/>
  <c r="Z37" i="21" s="1"/>
  <c r="CU6" i="21"/>
  <c r="AA104" i="21" s="1"/>
  <c r="CK36" i="20"/>
  <c r="CU7" i="21"/>
  <c r="AA134" i="21" s="1"/>
  <c r="BN36" i="20"/>
  <c r="BA7" i="21"/>
  <c r="AA138" i="21" s="1"/>
  <c r="BX7" i="21"/>
  <c r="AA135" i="21" s="1"/>
  <c r="BA6" i="21"/>
  <c r="AA108" i="21" s="1"/>
  <c r="BX6" i="21"/>
  <c r="BV4" i="21"/>
  <c r="AY4" i="21"/>
  <c r="Y48" i="21" s="1"/>
  <c r="AB20" i="21"/>
  <c r="Y40" i="21" s="1"/>
  <c r="CS4" i="21"/>
  <c r="Y44" i="21" s="1"/>
  <c r="AE21" i="21"/>
  <c r="AB70" i="21" s="1"/>
  <c r="AI12" i="21"/>
  <c r="BJ43" i="20"/>
  <c r="AJ12" i="21" s="1"/>
  <c r="AD155" i="21"/>
  <c r="AD157" i="21" s="1"/>
  <c r="CZ8" i="21"/>
  <c r="CP37" i="20"/>
  <c r="BF5" i="21"/>
  <c r="AI3" i="21"/>
  <c r="BS37" i="20"/>
  <c r="BF8" i="21"/>
  <c r="CZ5" i="21"/>
  <c r="CC5" i="21"/>
  <c r="CC8" i="21"/>
  <c r="AA136" i="21" l="1"/>
  <c r="DV58" i="20"/>
  <c r="CY58" i="20"/>
  <c r="AB137" i="21" s="1"/>
  <c r="BE56" i="20"/>
  <c r="AE23" i="21" s="1"/>
  <c r="Z130" i="21"/>
  <c r="AG6" i="21"/>
  <c r="AD95" i="21" s="1"/>
  <c r="AT36" i="20"/>
  <c r="AH7" i="21" s="1"/>
  <c r="AG7" i="21"/>
  <c r="AD125" i="21" s="1"/>
  <c r="AD127" i="21" s="1"/>
  <c r="EA56" i="20"/>
  <c r="G28" i="2"/>
  <c r="AD106" i="21"/>
  <c r="AD107" i="21"/>
  <c r="Z47" i="21"/>
  <c r="Z46" i="21"/>
  <c r="AD4" i="21"/>
  <c r="AA35" i="21" s="1"/>
  <c r="AA37" i="21" s="1"/>
  <c r="BY6" i="21"/>
  <c r="BY7" i="21"/>
  <c r="AB135" i="21" s="1"/>
  <c r="CL36" i="20"/>
  <c r="CV7" i="21"/>
  <c r="AB134" i="21" s="1"/>
  <c r="BB6" i="21"/>
  <c r="AB108" i="21" s="1"/>
  <c r="BO36" i="20"/>
  <c r="BB7" i="21"/>
  <c r="AB138" i="21" s="1"/>
  <c r="CV6" i="21"/>
  <c r="AB104" i="21" s="1"/>
  <c r="CT4" i="21"/>
  <c r="Z44" i="21" s="1"/>
  <c r="AZ4" i="21"/>
  <c r="Z48" i="21" s="1"/>
  <c r="AC20" i="21"/>
  <c r="Z40" i="21" s="1"/>
  <c r="BW4" i="21"/>
  <c r="AF21" i="21"/>
  <c r="AC70" i="21" s="1"/>
  <c r="AV37" i="20"/>
  <c r="AI8" i="21"/>
  <c r="CD8" i="21"/>
  <c r="DA5" i="21"/>
  <c r="DA8" i="21"/>
  <c r="BG8" i="21"/>
  <c r="BG5" i="21"/>
  <c r="CD5" i="21"/>
  <c r="AB136" i="21" l="1"/>
  <c r="DW58" i="20"/>
  <c r="BF56" i="20"/>
  <c r="AF23" i="21" s="1"/>
  <c r="AA130" i="21"/>
  <c r="CZ58" i="20"/>
  <c r="AC137" i="21" s="1"/>
  <c r="AU36" i="20"/>
  <c r="AA46" i="21"/>
  <c r="AA47" i="21"/>
  <c r="AE4" i="21"/>
  <c r="AB35" i="21" s="1"/>
  <c r="AB37" i="21" s="1"/>
  <c r="CW6" i="21"/>
  <c r="AC104" i="21" s="1"/>
  <c r="BC6" i="21"/>
  <c r="AC108" i="21" s="1"/>
  <c r="BZ7" i="21"/>
  <c r="AC135" i="21" s="1"/>
  <c r="BP36" i="20"/>
  <c r="BC7" i="21"/>
  <c r="AC138" i="21" s="1"/>
  <c r="CM36" i="20"/>
  <c r="CW7" i="21"/>
  <c r="AC134" i="21" s="1"/>
  <c r="BZ6" i="21"/>
  <c r="BA4" i="21"/>
  <c r="AA48" i="21" s="1"/>
  <c r="BX4" i="21"/>
  <c r="AD20" i="21"/>
  <c r="AA40" i="21" s="1"/>
  <c r="CU4" i="21"/>
  <c r="AA44" i="21" s="1"/>
  <c r="AG21" i="21"/>
  <c r="AD70" i="21" s="1"/>
  <c r="G27" i="2" s="1"/>
  <c r="AJ8" i="21"/>
  <c r="AC136" i="21" l="1"/>
  <c r="DX58" i="20"/>
  <c r="AI7" i="21"/>
  <c r="AV36" i="20"/>
  <c r="AJ7" i="21" s="1"/>
  <c r="AV35" i="20"/>
  <c r="AJ6" i="21" s="1"/>
  <c r="DA58" i="20"/>
  <c r="AD137" i="21" s="1"/>
  <c r="BG56" i="20"/>
  <c r="AG23" i="21" s="1"/>
  <c r="AB130" i="21"/>
  <c r="DD57" i="20"/>
  <c r="EA57" i="20"/>
  <c r="AB47" i="21"/>
  <c r="AB46" i="21"/>
  <c r="AF4" i="21"/>
  <c r="AC35" i="21" s="1"/>
  <c r="AC37" i="21" s="1"/>
  <c r="CA6" i="21"/>
  <c r="BQ36" i="20"/>
  <c r="BD7" i="21"/>
  <c r="AD138" i="21" s="1"/>
  <c r="BD6" i="21"/>
  <c r="AD108" i="21" s="1"/>
  <c r="CX7" i="21"/>
  <c r="AD134" i="21" s="1"/>
  <c r="CA7" i="21"/>
  <c r="AD135" i="21" s="1"/>
  <c r="CX6" i="21"/>
  <c r="AD104" i="21" s="1"/>
  <c r="CV4" i="21"/>
  <c r="AB44" i="21" s="1"/>
  <c r="BY4" i="21"/>
  <c r="AE20" i="21"/>
  <c r="AB40" i="21" s="1"/>
  <c r="BB4" i="21"/>
  <c r="AB48" i="21" s="1"/>
  <c r="AH21" i="21"/>
  <c r="H8" i="2"/>
  <c r="J8" i="2" s="1"/>
  <c r="AD136" i="21" l="1"/>
  <c r="DY58" i="20"/>
  <c r="DZ58" i="20" s="1"/>
  <c r="DB58" i="20"/>
  <c r="BH56" i="20"/>
  <c r="AH23" i="21" s="1"/>
  <c r="AC130" i="21"/>
  <c r="AC46" i="21"/>
  <c r="AC47" i="21"/>
  <c r="AG4" i="21"/>
  <c r="AD35" i="21" s="1"/>
  <c r="AD37" i="21" s="1"/>
  <c r="CZ6" i="21"/>
  <c r="CY6" i="21"/>
  <c r="CY7" i="21"/>
  <c r="BR36" i="20"/>
  <c r="BF7" i="21" s="1"/>
  <c r="BE7" i="21"/>
  <c r="CB7" i="21"/>
  <c r="BE6" i="21"/>
  <c r="CC6" i="21"/>
  <c r="CB6" i="21"/>
  <c r="BZ4" i="21"/>
  <c r="BC4" i="21"/>
  <c r="AC48" i="21" s="1"/>
  <c r="AF20" i="21"/>
  <c r="AC40" i="21" s="1"/>
  <c r="CW4" i="21"/>
  <c r="AC44" i="21" s="1"/>
  <c r="AI21" i="21"/>
  <c r="BJ54" i="20"/>
  <c r="AJ21" i="21" s="1"/>
  <c r="G8" i="63"/>
  <c r="BI56" i="20" l="1"/>
  <c r="AD130" i="21"/>
  <c r="H7" i="2" s="1"/>
  <c r="J7" i="2" s="1"/>
  <c r="DC58" i="20"/>
  <c r="DD58" i="20" s="1"/>
  <c r="CC7" i="21"/>
  <c r="CD7" i="21"/>
  <c r="CZ7" i="21"/>
  <c r="CP36" i="20"/>
  <c r="DA7" i="21" s="1"/>
  <c r="BS36" i="20"/>
  <c r="BG7" i="21" s="1"/>
  <c r="BF6" i="21"/>
  <c r="BS35" i="20"/>
  <c r="BG6" i="21" s="1"/>
  <c r="CP35" i="20"/>
  <c r="DA6" i="21" s="1"/>
  <c r="CD6" i="21"/>
  <c r="DD55" i="20"/>
  <c r="AD47" i="21"/>
  <c r="EA55" i="20"/>
  <c r="AD46" i="21"/>
  <c r="AV33" i="20"/>
  <c r="AJ4" i="21" s="1"/>
  <c r="CX4" i="21"/>
  <c r="AD44" i="21" s="1"/>
  <c r="BD4" i="21"/>
  <c r="AD48" i="21" s="1"/>
  <c r="AG20" i="21"/>
  <c r="AD40" i="21" s="1"/>
  <c r="CA4" i="21"/>
  <c r="I8" i="2"/>
  <c r="F8" i="63"/>
  <c r="F7" i="63" l="1"/>
  <c r="G7" i="63"/>
  <c r="AI23" i="21"/>
  <c r="BJ56" i="20"/>
  <c r="AJ23" i="21" s="1"/>
  <c r="CB4" i="21"/>
  <c r="BE4" i="21"/>
  <c r="AH20" i="21"/>
  <c r="CY4" i="21"/>
  <c r="I7" i="2" l="1"/>
  <c r="H4" i="2"/>
  <c r="J4" i="2" s="1"/>
  <c r="CZ4" i="21"/>
  <c r="CP33" i="20"/>
  <c r="DA4" i="21" s="1"/>
  <c r="BF4" i="21"/>
  <c r="BG4" i="21"/>
  <c r="AI20" i="21"/>
  <c r="BJ53" i="20"/>
  <c r="AJ20" i="21" s="1"/>
  <c r="CC4" i="21"/>
  <c r="CD4" i="21"/>
  <c r="O14" i="21" l="1"/>
  <c r="L96" i="21" s="1"/>
  <c r="L97" i="21" s="1"/>
  <c r="BJ45" i="20"/>
  <c r="AJ14" i="21" s="1"/>
  <c r="I4" i="2" l="1"/>
  <c r="P14" i="21"/>
  <c r="M96" i="21" s="1"/>
  <c r="M97" i="21" s="1"/>
  <c r="Q14" i="21" l="1"/>
  <c r="N96" i="21" s="1"/>
  <c r="N97" i="21" s="1"/>
  <c r="R14" i="21" l="1"/>
  <c r="O96" i="21" s="1"/>
  <c r="O97" i="21" s="1"/>
  <c r="S14" i="21" l="1"/>
  <c r="P96" i="21" s="1"/>
  <c r="P97" i="21" s="1"/>
  <c r="T14" i="21" l="1"/>
  <c r="Q96" i="21" s="1"/>
  <c r="Q97" i="21" s="1"/>
  <c r="U14" i="21" l="1"/>
  <c r="R96" i="21" s="1"/>
  <c r="R97" i="21" s="1"/>
  <c r="V14" i="21" l="1"/>
  <c r="S96" i="21" s="1"/>
  <c r="S97" i="21" s="1"/>
  <c r="W14" i="21" l="1"/>
  <c r="T96" i="21" s="1"/>
  <c r="T97" i="21" s="1"/>
  <c r="X14" i="21" l="1"/>
  <c r="U96" i="21" s="1"/>
  <c r="U97" i="21" s="1"/>
  <c r="Y14" i="21" l="1"/>
  <c r="V96" i="21" s="1"/>
  <c r="V97" i="21" s="1"/>
  <c r="Z14" i="21" l="1"/>
  <c r="W96" i="21" s="1"/>
  <c r="W97" i="21" s="1"/>
  <c r="AA14" i="21" l="1"/>
  <c r="X96" i="21" s="1"/>
  <c r="X97" i="21" s="1"/>
  <c r="AB14" i="21" l="1"/>
  <c r="Y96" i="21" s="1"/>
  <c r="Y97" i="21" s="1"/>
  <c r="AC14" i="21" l="1"/>
  <c r="Z96" i="21" s="1"/>
  <c r="Z97" i="21" s="1"/>
  <c r="AD14" i="21" l="1"/>
  <c r="AA96" i="21" s="1"/>
  <c r="AA97" i="21" s="1"/>
  <c r="AE14" i="21" l="1"/>
  <c r="AB96" i="21" s="1"/>
  <c r="AB97" i="21" s="1"/>
  <c r="AF14" i="21" l="1"/>
  <c r="AC96" i="21" s="1"/>
  <c r="AC97" i="21" s="1"/>
  <c r="AG14" i="21" l="1"/>
  <c r="AD96" i="21" s="1"/>
  <c r="AD97" i="21" s="1"/>
  <c r="AI14" i="21" l="1"/>
  <c r="AH14" i="21"/>
  <c r="G6" i="63" l="1"/>
  <c r="F6" i="63" l="1"/>
  <c r="H6" i="2"/>
  <c r="J6" i="2" s="1"/>
  <c r="I6" i="2" l="1"/>
  <c r="L67" i="21" l="1"/>
  <c r="M67" i="21"/>
  <c r="N67" i="21"/>
  <c r="O67" i="21"/>
  <c r="P67" i="21"/>
  <c r="Q67" i="21"/>
  <c r="R67" i="21"/>
  <c r="S67" i="21"/>
  <c r="T67" i="21"/>
  <c r="U67" i="21"/>
  <c r="V67" i="21"/>
  <c r="W67" i="21"/>
  <c r="X67" i="21"/>
  <c r="Y67" i="21"/>
  <c r="Z67" i="21"/>
  <c r="AA67" i="21"/>
  <c r="AB67" i="21"/>
  <c r="AC67" i="21"/>
  <c r="AD67" i="21"/>
  <c r="K67" i="21" l="1"/>
  <c r="G26" i="2" l="1"/>
  <c r="G34" i="2" l="1"/>
  <c r="G38" i="2" l="1"/>
  <c r="G5" i="63" s="1"/>
  <c r="G36" i="2"/>
  <c r="H5" i="2"/>
  <c r="J5" i="2" s="1"/>
  <c r="I5" i="2"/>
  <c r="F5" i="63"/>
</calcChain>
</file>

<file path=xl/comments1.xml><?xml version="1.0" encoding="utf-8"?>
<comments xmlns="http://schemas.openxmlformats.org/spreadsheetml/2006/main">
  <authors>
    <author>ROGERS Evan</author>
  </authors>
  <commentList>
    <comment ref="D30" authorId="0" shapeId="0">
      <text>
        <r>
          <rPr>
            <b/>
            <sz val="9"/>
            <color indexed="81"/>
            <rFont val="Tahoma"/>
            <family val="2"/>
          </rPr>
          <t>ROGERS Evan:</t>
        </r>
        <r>
          <rPr>
            <sz val="9"/>
            <color indexed="81"/>
            <rFont val="Tahoma"/>
            <family val="2"/>
          </rPr>
          <t xml:space="preserve">
Planning amount spent in 2017. 2017 $s converted to 2019 $
</t>
        </r>
      </text>
    </comment>
    <comment ref="D60" authorId="0" shapeId="0">
      <text>
        <r>
          <rPr>
            <b/>
            <sz val="9"/>
            <color indexed="81"/>
            <rFont val="Tahoma"/>
            <family val="2"/>
          </rPr>
          <t>ROGERS Evan:</t>
        </r>
        <r>
          <rPr>
            <sz val="9"/>
            <color indexed="81"/>
            <rFont val="Tahoma"/>
            <family val="2"/>
          </rPr>
          <t xml:space="preserve">
Planning money spent in 2017. 2017 $s converted to 2019 $
</t>
        </r>
      </text>
    </comment>
  </commentList>
</comments>
</file>

<file path=xl/comments2.xml><?xml version="1.0" encoding="utf-8"?>
<comments xmlns="http://schemas.openxmlformats.org/spreadsheetml/2006/main">
  <authors>
    <author>ROGERS Evan</author>
    <author>SVADLENAK John R</author>
    <author>hwyf12a</author>
  </authors>
  <commentList>
    <comment ref="G41" authorId="0" shapeId="0">
      <text>
        <r>
          <rPr>
            <b/>
            <sz val="9"/>
            <color indexed="81"/>
            <rFont val="Tahoma"/>
            <family val="2"/>
          </rPr>
          <t>ROGERS Evan:</t>
        </r>
        <r>
          <rPr>
            <sz val="9"/>
            <color indexed="81"/>
            <rFont val="Tahoma"/>
            <family val="2"/>
          </rPr>
          <t xml:space="preserve">
See new values from US DOT BCA Guidance 2021 Table A-6. Values table starts in cell AV68 of Inputs Worksheet</t>
        </r>
      </text>
    </comment>
    <comment ref="W41" authorId="1" shapeId="0">
      <text>
        <r>
          <rPr>
            <b/>
            <sz val="9"/>
            <color indexed="81"/>
            <rFont val="Tahoma"/>
            <family val="2"/>
          </rPr>
          <t>SVADLENAK John R:</t>
        </r>
        <r>
          <rPr>
            <sz val="9"/>
            <color indexed="81"/>
            <rFont val="Tahoma"/>
            <family val="2"/>
          </rPr>
          <t xml:space="preserve">
Because this method does not work with a negative denominator and positive numerator, used a modified straightline method instead, and inserted the ADT growth rate on Ehlen Road here.</t>
        </r>
      </text>
    </comment>
    <comment ref="D42" authorId="2" shapeId="0">
      <text>
        <r>
          <rPr>
            <sz val="9"/>
            <color indexed="81"/>
            <rFont val="Tahoma"/>
            <family val="2"/>
          </rPr>
          <t>Assumes 1.67 persons per passenger vehicle representing "all travel" from USDOT.</t>
        </r>
      </text>
    </comment>
  </commentList>
</comments>
</file>

<file path=xl/comments3.xml><?xml version="1.0" encoding="utf-8"?>
<comments xmlns="http://schemas.openxmlformats.org/spreadsheetml/2006/main">
  <authors>
    <author>tc={2F0547BF-258C-4BDE-A5A5-85281A791462}</author>
    <author>tc={976B424A-C13F-4BA9-85F9-54A024731910}</author>
  </authors>
  <commentList>
    <comment ref="O14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2020 values -- no inflation</t>
        </r>
      </text>
    </comment>
    <comment ref="O21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2020 values - no inflation</t>
        </r>
      </text>
    </comment>
  </commentList>
</comments>
</file>

<file path=xl/sharedStrings.xml><?xml version="1.0" encoding="utf-8"?>
<sst xmlns="http://schemas.openxmlformats.org/spreadsheetml/2006/main" count="1386" uniqueCount="510">
  <si>
    <t>Year:</t>
  </si>
  <si>
    <t>Economic Competitiveness:</t>
  </si>
  <si>
    <t>Environmental Sustainability:</t>
  </si>
  <si>
    <t>Safety:</t>
  </si>
  <si>
    <t>PV of Capital Costs</t>
  </si>
  <si>
    <t>PV of State of Good Repair Benefits</t>
  </si>
  <si>
    <t>PV of Economic Competitiveness Benefits</t>
  </si>
  <si>
    <t>PV of Environmental Sustainability Benefits</t>
  </si>
  <si>
    <t>PV of Safety Benefits</t>
  </si>
  <si>
    <t>PV of Residual Value</t>
  </si>
  <si>
    <t>PV of Benefits Total</t>
  </si>
  <si>
    <t>Net Present Value</t>
  </si>
  <si>
    <t>Benefit: Cost Ratio</t>
  </si>
  <si>
    <t>Residual Value:</t>
  </si>
  <si>
    <t>BENEFIT: COST ANALYSIS SUMMARY DATA</t>
  </si>
  <si>
    <t>CAPITAL COSTS:</t>
  </si>
  <si>
    <t>NET BENEFITS:</t>
  </si>
  <si>
    <t>Improvement</t>
  </si>
  <si>
    <t>Total Cost</t>
  </si>
  <si>
    <t>Estimated Cost</t>
  </si>
  <si>
    <t xml:space="preserve">Value @ Year </t>
  </si>
  <si>
    <t>Value @ Year</t>
  </si>
  <si>
    <t>Residual value of an asset is determined by depreciating that asset on a straight line basis.</t>
  </si>
  <si>
    <t>Asset Account</t>
  </si>
  <si>
    <t>Expected Life (yr)</t>
  </si>
  <si>
    <t>Depreciation/yr.</t>
  </si>
  <si>
    <t>Yearly</t>
  </si>
  <si>
    <t>Corridor</t>
  </si>
  <si>
    <t>Fuel Savings (gal)</t>
  </si>
  <si>
    <t>VHD Savings (h)</t>
  </si>
  <si>
    <t>VHD Savings %</t>
  </si>
  <si>
    <t>Daily VHD Savings</t>
  </si>
  <si>
    <t>Daily Fuel Savings</t>
  </si>
  <si>
    <t>Yearly VHD Savings</t>
  </si>
  <si>
    <t>Yearly Fuel Savings</t>
  </si>
  <si>
    <t>CO2 Benefit</t>
  </si>
  <si>
    <t>VOC Benefit</t>
  </si>
  <si>
    <t>NOX Benefit</t>
  </si>
  <si>
    <t>Carbon dioxide (CO2)</t>
  </si>
  <si>
    <t>Benefit per unit of measure (truck driver)</t>
  </si>
  <si>
    <t>Volatile Organic Compounds (VOCs)</t>
  </si>
  <si>
    <t>Assume percentage trucks</t>
  </si>
  <si>
    <t>Nitrogen oxides (NOx)</t>
  </si>
  <si>
    <t>Benefit per unit of measure</t>
  </si>
  <si>
    <t>Opening Year (interpolated)</t>
  </si>
  <si>
    <t>Annual Average</t>
  </si>
  <si>
    <t>Discounting</t>
  </si>
  <si>
    <t>Full Project Totals</t>
  </si>
  <si>
    <t>Straight-line Depreciation Residual Values</t>
  </si>
  <si>
    <t>Total Residual Value</t>
  </si>
  <si>
    <t>TOTAL</t>
  </si>
  <si>
    <t>Construction</t>
  </si>
  <si>
    <t>PDO</t>
  </si>
  <si>
    <t>INJA</t>
  </si>
  <si>
    <t>INJB</t>
  </si>
  <si>
    <t>INJC</t>
  </si>
  <si>
    <t>Value</t>
  </si>
  <si>
    <t>Utilities</t>
  </si>
  <si>
    <t>CO2</t>
  </si>
  <si>
    <t>NOx</t>
  </si>
  <si>
    <t>PM2.5</t>
  </si>
  <si>
    <t>VOC</t>
  </si>
  <si>
    <t>KILL</t>
  </si>
  <si>
    <t>Gallon fuel/ hour idling</t>
  </si>
  <si>
    <t>Yearly VOC Savings (Short tons)</t>
  </si>
  <si>
    <t>Yearly NOX Savings (Short tons)</t>
  </si>
  <si>
    <t>KABCO</t>
  </si>
  <si>
    <t>**gal fuel/crash</t>
  </si>
  <si>
    <t>State of Good Repair:</t>
  </si>
  <si>
    <t xml:space="preserve">   Improved Reliability</t>
  </si>
  <si>
    <t>Earthwork</t>
  </si>
  <si>
    <t>Roadway</t>
  </si>
  <si>
    <t>Structures</t>
  </si>
  <si>
    <t>Preliminary Engineering</t>
  </si>
  <si>
    <t>Miscellaneous</t>
  </si>
  <si>
    <t>Construction Engineering</t>
  </si>
  <si>
    <t>Reductions in Injuries per Year</t>
  </si>
  <si>
    <t xml:space="preserve">   Reduced Cost of Traffic Delay: Congestion</t>
  </si>
  <si>
    <t xml:space="preserve">   Reduced Cost of Traffic Delay: Accidents</t>
  </si>
  <si>
    <t>Yearly Delay Benefit: Congestion</t>
  </si>
  <si>
    <t>Yearly Delay Benefit: Accidents</t>
  </si>
  <si>
    <t>CO2 Benefit: Accidents</t>
  </si>
  <si>
    <t>VOC Benefit: Accidents</t>
  </si>
  <si>
    <t>NOX Benefit: Accidents</t>
  </si>
  <si>
    <t>Reliability: Reduced Congestion Traffic Delay</t>
  </si>
  <si>
    <t>Reliability: Reduced Accident Traffic Delay</t>
  </si>
  <si>
    <t>Additional Maintenance</t>
  </si>
  <si>
    <t>PV of Additional Maintenance</t>
  </si>
  <si>
    <t>NET DISBENEFITS:</t>
  </si>
  <si>
    <t xml:space="preserve">Two-way left turn lane: </t>
  </si>
  <si>
    <t xml:space="preserve">Install buffered bike lane: </t>
  </si>
  <si>
    <t>Injury A</t>
  </si>
  <si>
    <t>Injury B</t>
  </si>
  <si>
    <t>Injury C</t>
  </si>
  <si>
    <t>Fatal</t>
  </si>
  <si>
    <t>Yearly Benefit of fuel not used: Congestion &amp; Accidents</t>
  </si>
  <si>
    <t>Cost of Good Repair</t>
  </si>
  <si>
    <t>New pavement</t>
  </si>
  <si>
    <t>**Delay: Traffic (hrs)</t>
  </si>
  <si>
    <t>Total</t>
  </si>
  <si>
    <t>Planning and outreach</t>
  </si>
  <si>
    <t>Right of Way</t>
  </si>
  <si>
    <t>Capital Costs</t>
  </si>
  <si>
    <t>PV of Quality of life Benefits</t>
  </si>
  <si>
    <t xml:space="preserve">Current Status </t>
  </si>
  <si>
    <t xml:space="preserve">Change to Baseline </t>
  </si>
  <si>
    <t>Economic Benefit</t>
  </si>
  <si>
    <t xml:space="preserve">Net Present Value at 7 % Discount rate </t>
  </si>
  <si>
    <t>Benefit / Cost Ratio</t>
  </si>
  <si>
    <t xml:space="preserve">PV of Cost to Highway Users </t>
  </si>
  <si>
    <r>
      <t>http://www.oregon.gov/ODOT/Engineering/Pages/ARTS.aspx</t>
    </r>
    <r>
      <rPr>
        <u/>
        <sz val="10"/>
        <color theme="10"/>
        <rFont val="Arial"/>
        <family val="2"/>
      </rPr>
      <t xml:space="preserve"> </t>
    </r>
  </si>
  <si>
    <t xml:space="preserve">You can probably leave the life of the feature to the economist but the CRF list also lists a useful life…you can find our CRF list on this page: </t>
  </si>
  <si>
    <t>Source: Calculated from The Economic and Societal Impact of Motor Vehicle Crashes, 2010 (Revised May 2015) Tables 3-27, 3-26 &amp; 3-28.</t>
  </si>
  <si>
    <t>metric</t>
  </si>
  <si>
    <t>metric ton/gallon</t>
  </si>
  <si>
    <t>National Highway Traffic Safety Administration, DOT HS 812 013. Upstream &amp; tailpipe emissions.</t>
  </si>
  <si>
    <t>Yearly CO2 Savings (metric tons)</t>
  </si>
  <si>
    <t>Assumed Annual</t>
  </si>
  <si>
    <t>Between A3 &amp; A16</t>
  </si>
  <si>
    <t>Gasoline $s Per Gallon</t>
  </si>
  <si>
    <t>N.A.</t>
  </si>
  <si>
    <t>VMT Growth Factor:</t>
  </si>
  <si>
    <t>[1 + % Change]</t>
  </si>
  <si>
    <t>CMF #4927</t>
  </si>
  <si>
    <t>CMF #178</t>
  </si>
  <si>
    <t>CMF #460</t>
  </si>
  <si>
    <t>Install sidewalks</t>
  </si>
  <si>
    <t>CMF #7838</t>
  </si>
  <si>
    <t>At-grade intersection removal</t>
  </si>
  <si>
    <t xml:space="preserve">   Reduced Cost of Facility Preservation</t>
  </si>
  <si>
    <t>Cost/lane-mile</t>
  </si>
  <si>
    <t>New lane-miles</t>
  </si>
  <si>
    <t xml:space="preserve">    Reduced Fuel Use: Congestion Reduction</t>
  </si>
  <si>
    <t xml:space="preserve">    Reduced Vehicle Costs: Improved Pavemt</t>
  </si>
  <si>
    <t xml:space="preserve">    Mode Switch</t>
  </si>
  <si>
    <t>Quality of Life:</t>
  </si>
  <si>
    <t>Total lane-miles</t>
  </si>
  <si>
    <t>Preservation Cost</t>
  </si>
  <si>
    <t>Repairs/striping/chip seal</t>
  </si>
  <si>
    <t>Install multilane roundabout</t>
  </si>
  <si>
    <t># of Days / Year</t>
  </si>
  <si>
    <t>Modeled Future Year</t>
  </si>
  <si>
    <t>New Length</t>
  </si>
  <si>
    <t>NO BUILD</t>
  </si>
  <si>
    <t>BUILD</t>
  </si>
  <si>
    <t>Modeled Base Year</t>
  </si>
  <si>
    <t>Traffic Growth</t>
  </si>
  <si>
    <t>(enter Yes or No)</t>
  </si>
  <si>
    <t>No</t>
  </si>
  <si>
    <t>Yes</t>
  </si>
  <si>
    <t>Convert intersection with minor road stop control to modern roundabout:</t>
  </si>
  <si>
    <t>CMF #227</t>
  </si>
  <si>
    <t>Widen paved shoulder:</t>
  </si>
  <si>
    <t>CMF #5285</t>
  </si>
  <si>
    <t>Old Length</t>
  </si>
  <si>
    <t>Change</t>
  </si>
  <si>
    <t>Sub-Project:</t>
  </si>
  <si>
    <t>Emission Type:</t>
  </si>
  <si>
    <t>Name #4</t>
  </si>
  <si>
    <t>Name #5</t>
  </si>
  <si>
    <t>Project Name</t>
  </si>
  <si>
    <t xml:space="preserve">   Reduced VMT Due to Reduced Length</t>
  </si>
  <si>
    <t xml:space="preserve">    Nox</t>
  </si>
  <si>
    <t xml:space="preserve">    VOC</t>
  </si>
  <si>
    <t xml:space="preserve">    PM2.5</t>
  </si>
  <si>
    <t xml:space="preserve">    SOx</t>
  </si>
  <si>
    <t xml:space="preserve">    CO2</t>
  </si>
  <si>
    <t>Cost to Highway Users During Construction</t>
  </si>
  <si>
    <t xml:space="preserve">    NOx</t>
  </si>
  <si>
    <t xml:space="preserve">   Depreciated Asset Value</t>
  </si>
  <si>
    <t>Sulfur oxides (SOx)</t>
  </si>
  <si>
    <t>SOx</t>
  </si>
  <si>
    <t>Yearly PM2.5 Savings (Short tons)</t>
  </si>
  <si>
    <t>Yearly SOX Savings (Short tons)</t>
  </si>
  <si>
    <t>Average Daily</t>
  </si>
  <si>
    <t>Traffic</t>
  </si>
  <si>
    <t>CO2/crash</t>
  </si>
  <si>
    <t>MAIS converted to KABCO Value using MAIS/KABCO Data Conversion Matrix</t>
  </si>
  <si>
    <t>Peak Hour VHD Savings AARG Growth Factor for Interpolation:</t>
  </si>
  <si>
    <t>R-O-W</t>
  </si>
  <si>
    <t>Utility Relocation</t>
  </si>
  <si>
    <t>On-going</t>
  </si>
  <si>
    <t>CO2 Benefit: Crash Reduction</t>
  </si>
  <si>
    <t>CO2 Benefit: Congestion Reduction</t>
  </si>
  <si>
    <t>SOX Benefit: Congestion Reduction</t>
  </si>
  <si>
    <t>SOX Benefit: Crash Reduction</t>
  </si>
  <si>
    <t>NOX Benefit: Congestion Reduction</t>
  </si>
  <si>
    <t>NOX Benefit: Crash Reduction</t>
  </si>
  <si>
    <t>PM2.5 Benefit: Congestion Reduction</t>
  </si>
  <si>
    <t>PM2.5 Benefit: Crash Reduction</t>
  </si>
  <si>
    <t>Benefit per unit of measure (light vehicle)</t>
  </si>
  <si>
    <t>Benefit per unit of measure (Bus)</t>
  </si>
  <si>
    <t>Assume percentage of Buses</t>
  </si>
  <si>
    <t>Yearly Benefit of FUEL NOT USED: Congestion &amp; Accidents</t>
  </si>
  <si>
    <t>Install a traffic signal:</t>
  </si>
  <si>
    <t>CMF #319</t>
  </si>
  <si>
    <t>Convert urban 2-lane roadway to 4-lane divided roadway:</t>
  </si>
  <si>
    <t>CMF #7566</t>
  </si>
  <si>
    <t xml:space="preserve">Source:  Calculated from Journal of Transportation and Statistics, "The </t>
  </si>
  <si>
    <t xml:space="preserve">External Damage Cost of Noise Emitted from Motor Vehicles," Vol. I, </t>
  </si>
  <si>
    <t>Number 3, October 1998, United States Department of Transportation.</t>
  </si>
  <si>
    <t>Increased noise costs per added dual lane-miles</t>
  </si>
  <si>
    <t xml:space="preserve">    Increased Noise</t>
  </si>
  <si>
    <t>Source:  Transportation Cost and Benefit Analysis II - Noise Costs,</t>
  </si>
  <si>
    <t>Table 5.11.7-1, VTPI, April 2018.</t>
  </si>
  <si>
    <t>K-Factor for Design Hour Delay Calculations</t>
  </si>
  <si>
    <t>However, HSM analyses are rarely prepared before BCA report deadlines.</t>
  </si>
  <si>
    <t xml:space="preserve">should be adjusted or replaced. </t>
  </si>
  <si>
    <t xml:space="preserve">If a Highway Safety Manual analysis has been done, the equation for each year </t>
  </si>
  <si>
    <t>Crash Reduction Factor</t>
  </si>
  <si>
    <t>Source(s)</t>
  </si>
  <si>
    <t xml:space="preserve">Average Reductions in Crashes per Year: </t>
  </si>
  <si>
    <t>*Crash Modification Factors Clearinghouse during 2018 or later.</t>
  </si>
  <si>
    <t>VHD</t>
  </si>
  <si>
    <t>V:C Ratio &gt; 1?</t>
  </si>
  <si>
    <t>V:C</t>
  </si>
  <si>
    <t>Ratio</t>
  </si>
  <si>
    <t>VHD By</t>
  </si>
  <si>
    <t xml:space="preserve">VHD By </t>
  </si>
  <si>
    <t>Peak Period Analysis</t>
  </si>
  <si>
    <t>Mileage Rate</t>
  </si>
  <si>
    <t>Reduction in PDO Vehicles</t>
  </si>
  <si>
    <t>Delay Reduction Value</t>
  </si>
  <si>
    <t>A3 Annual Peak Hours Change Resulting From Improvments</t>
  </si>
  <si>
    <t>A16 Annual Peak Hours Change Resulting From Improvments</t>
  </si>
  <si>
    <t>A29 Annual Peak Hours Change Resulting From Improvments</t>
  </si>
  <si>
    <t>NHTSA DOT HS 812 013, page 91.</t>
  </si>
  <si>
    <t>**Source: The Economic and Social Impact of Motor vehicle Crashes, 2010 (Revised May 2015), Tables 3-21, 3-33, 3-34, 3-35.</t>
  </si>
  <si>
    <t>*Illustrative Crash Reduction Factors</t>
  </si>
  <si>
    <t>Yearly Delay Benefit:  Congestion</t>
  </si>
  <si>
    <t>Inj Crash No Injury Vehi</t>
  </si>
  <si>
    <t>Annual 7 Year Average of Crashes by Crash Severity:</t>
  </si>
  <si>
    <t># of Injury A</t>
  </si>
  <si>
    <t># of Injury B</t>
  </si>
  <si>
    <t># of Injury C</t>
  </si>
  <si>
    <t xml:space="preserve">Average Reduction in Fatalities, Injuries, PDO Crash Vehicles, &amp; No-Injury Vehs. Involved in Injury Crashes per Year: </t>
  </si>
  <si>
    <t>Annual 7 Year Average of Fatalities, Injuries, PDO Crash Vehicles, and No-Injury Vehicles Involved in Injury Crashes:</t>
  </si>
  <si>
    <t>Reduction in Fatalities</t>
  </si>
  <si>
    <t>Reduction in Injury A Injuries</t>
  </si>
  <si>
    <t>Reduction in Injury B Injuries</t>
  </si>
  <si>
    <t>Reduction in Injury C Injuries</t>
  </si>
  <si>
    <t>Reduction in No-Injury Vehicles Involved in Injury Crashes</t>
  </si>
  <si>
    <t># of Fatalities</t>
  </si>
  <si>
    <t># of PDO Vehicles</t>
  </si>
  <si>
    <t># of No-Injury Vehicles Involved in Injury Crashes</t>
  </si>
  <si>
    <t>No-Injury Vehs. In Injury Crashes</t>
  </si>
  <si>
    <t xml:space="preserve">   Reduced Fatalities, Injuries, Prop Damage*</t>
  </si>
  <si>
    <t>*Current entries are scoping-level, increased by traffic growth from initial year of benefits.</t>
  </si>
  <si>
    <t>(enter Yes or No)*</t>
  </si>
  <si>
    <r>
      <t xml:space="preserve">V:C Ratio </t>
    </r>
    <r>
      <rPr>
        <b/>
        <sz val="11"/>
        <rFont val="Calibri"/>
        <family val="2"/>
      </rPr>
      <t>≥</t>
    </r>
    <r>
      <rPr>
        <b/>
        <sz val="11"/>
        <rFont val="Calibri"/>
        <family val="2"/>
        <scheme val="minor"/>
      </rPr>
      <t xml:space="preserve"> 1?</t>
    </r>
  </si>
  <si>
    <t>*If nearing the cutoff point, choose Yes.</t>
  </si>
  <si>
    <t>Assumptions:</t>
  </si>
  <si>
    <t>Particulate matter 2.5</t>
  </si>
  <si>
    <t xml:space="preserve">Maintenance costs per state hwy lane </t>
  </si>
  <si>
    <t>Reduce/close driveways:</t>
  </si>
  <si>
    <t>20yr vmt increase from latent demand in API</t>
  </si>
  <si>
    <t>chained price index for state and local gross investment in highways and streets.</t>
  </si>
  <si>
    <t>$ / ton ($2018)</t>
  </si>
  <si>
    <t>Planning</t>
  </si>
  <si>
    <t>Full Project</t>
  </si>
  <si>
    <t xml:space="preserve">The Phase 1 project (see cell D5) is the starting point for Phase 2. </t>
  </si>
  <si>
    <t>Used the "Urban Arterials" column.</t>
  </si>
  <si>
    <t>Preliminary Engineering &amp; CE</t>
  </si>
  <si>
    <t>02/20/2020</t>
  </si>
  <si>
    <t>Further crash reduction. Elimination of the vehicle hours of delay that would be incurred if Phase 1 is built by itself. Further reductions in vehicle hours of delay. Associated emissions benefits.</t>
  </si>
  <si>
    <t xml:space="preserve">Alter the configuration of a Phase 1-only interchange into a diverging diamond interchange. Complete the realignment and reconstruction of local roads and intersections in the area. Lengthen I-5 on ramps. </t>
  </si>
  <si>
    <t>Crash severity proportions are assumed equal to proportions of injury severity.</t>
  </si>
  <si>
    <t>*KABCO Value: 2019 $</t>
  </si>
  <si>
    <t>*Source: USDOT. Benefit Cost Analysis Guidance 2021.pdf</t>
  </si>
  <si>
    <t>PM 2.5</t>
  </si>
  <si>
    <t>SO2</t>
  </si>
  <si>
    <t>Nox</t>
  </si>
  <si>
    <t>Discounting Carbon</t>
  </si>
  <si>
    <t>DOT Guidance measures are in metric tons. A metric ton is equal to 1.1015 short tons.</t>
  </si>
  <si>
    <t>Volume:Capacity</t>
  </si>
  <si>
    <t>Structures (New)</t>
  </si>
  <si>
    <t>Structures (Retrofit)</t>
  </si>
  <si>
    <t>Structures (Walls)</t>
  </si>
  <si>
    <t>Illumin/Signal/Sign Structures</t>
  </si>
  <si>
    <t>Barrier/Guardrail</t>
  </si>
  <si>
    <t>Contingencies</t>
  </si>
  <si>
    <t>I-5 to 10th</t>
  </si>
  <si>
    <t>CN total</t>
  </si>
  <si>
    <t>paving/agg base</t>
  </si>
  <si>
    <t>CE</t>
  </si>
  <si>
    <t>earthwork</t>
  </si>
  <si>
    <t>Contingency</t>
  </si>
  <si>
    <t>Sound Walls</t>
  </si>
  <si>
    <t>10th to OR43</t>
  </si>
  <si>
    <t>Bridges &amp; Structures - New</t>
  </si>
  <si>
    <t>Bridges &amp; Structures - Retrofit</t>
  </si>
  <si>
    <t>Bridges &amp; Strucutres - Walls</t>
  </si>
  <si>
    <t>Roadway  - Concrete</t>
  </si>
  <si>
    <t>Illumin/Signals/Sign Structures</t>
  </si>
  <si>
    <t>eRSL</t>
  </si>
  <si>
    <t>Expenditure Table</t>
  </si>
  <si>
    <t>9728A</t>
  </si>
  <si>
    <t>10th St SB</t>
  </si>
  <si>
    <t>Retrofit</t>
  </si>
  <si>
    <t>2017-FFY20</t>
  </si>
  <si>
    <t>FFY2021</t>
  </si>
  <si>
    <t>FFY2022</t>
  </si>
  <si>
    <t>FFY2023</t>
  </si>
  <si>
    <t>FFY2024</t>
  </si>
  <si>
    <t>FFY2025</t>
  </si>
  <si>
    <t>FFY2026</t>
  </si>
  <si>
    <t>FFY2027</t>
  </si>
  <si>
    <t>10th St NB</t>
  </si>
  <si>
    <t>9743A</t>
  </si>
  <si>
    <t>Blankenship SB</t>
  </si>
  <si>
    <t>Blankenship NB</t>
  </si>
  <si>
    <t>Woodbine SB</t>
  </si>
  <si>
    <t>New</t>
  </si>
  <si>
    <t>Woodbine NB</t>
  </si>
  <si>
    <t>Construction*</t>
  </si>
  <si>
    <t>Tualatin River SB</t>
  </si>
  <si>
    <t>Tualatin River NB</t>
  </si>
  <si>
    <t>* includes inflation</t>
  </si>
  <si>
    <t>Borland Rd SB</t>
  </si>
  <si>
    <t>Borland Rd NB</t>
  </si>
  <si>
    <t xml:space="preserve">West A Street </t>
  </si>
  <si>
    <t>Oct 2021 - Sep 2022</t>
  </si>
  <si>
    <t>Sunset Ave</t>
  </si>
  <si>
    <t>Oct 2022 - Sep 2023</t>
  </si>
  <si>
    <t>Oct 2023 - Sep 2024</t>
  </si>
  <si>
    <t>bid let 11/16/2023</t>
  </si>
  <si>
    <t>Oct 2024 - Sep 2025</t>
  </si>
  <si>
    <t>NTP 01/2024</t>
  </si>
  <si>
    <t>Oct 2025 - Sep 2026</t>
  </si>
  <si>
    <t>Oct 2026 - Sep 2027</t>
  </si>
  <si>
    <t>Oct 2027 - Sep 2028</t>
  </si>
  <si>
    <t>end 11/2027</t>
  </si>
  <si>
    <t>WSP memo</t>
  </si>
  <si>
    <t>05/02/2022</t>
  </si>
  <si>
    <t>Calculations based on Table A-5, 2020$.</t>
  </si>
  <si>
    <t>05/05/2022</t>
  </si>
  <si>
    <t>*Noise cost per induced VMT in 2020 $s:</t>
  </si>
  <si>
    <t>*IHS Markit is source for $2020 conversion</t>
  </si>
  <si>
    <t>per year in 2020 $s for an Other Principal Arterial</t>
  </si>
  <si>
    <t xml:space="preserve">Source: EIA US Regular Gasoline Prices (West Coast less California) </t>
  </si>
  <si>
    <t>Converted to 2020 $s.</t>
  </si>
  <si>
    <t>https://www.eia.gov/petroleum/gasdiesel/</t>
  </si>
  <si>
    <t>2020 $</t>
  </si>
  <si>
    <t>mile in 2020 $s</t>
  </si>
  <si>
    <t>7305*1.0244 for 2018$</t>
  </si>
  <si>
    <t>Divisor to Convert Expenditures to 2020 $s:</t>
  </si>
  <si>
    <t>Calculated from IHSMarkit's April 2022</t>
  </si>
  <si>
    <t xml:space="preserve">Emissions per year in 2020 $ </t>
  </si>
  <si>
    <t>Source: US DOT Benefit Cost Analysis Guidance 2022 (March).pdf Tabl A-6: Damage Costs for Emissions per metric ton</t>
  </si>
  <si>
    <t>05/05//2022</t>
  </si>
  <si>
    <t>Average annual growth implied by WSP Traffic Analysis in Build Scenario. Tolling manages and slightly reduces traffic growth over time.</t>
  </si>
  <si>
    <t xml:space="preserve">    VOC (NO LONGER ALLOWED)</t>
  </si>
  <si>
    <t>DAILY TRAFFIC VOLUMES - BUILD, PEAK PERIODS</t>
  </si>
  <si>
    <t>CAGR - implied annual growth rate of traffic under Build scenario</t>
  </si>
  <si>
    <t>Direction</t>
  </si>
  <si>
    <t>Peak Hour</t>
  </si>
  <si>
    <t>NB</t>
  </si>
  <si>
    <t>07 to 08</t>
  </si>
  <si>
    <t>SB</t>
  </si>
  <si>
    <t>08 to 09</t>
  </si>
  <si>
    <t>16 to 17</t>
  </si>
  <si>
    <t>17 to 18</t>
  </si>
  <si>
    <t>TOTAL DAILY VHD SAVED RELATIVE TO NO BUILD - Build, Peak Periods</t>
  </si>
  <si>
    <t>AM</t>
  </si>
  <si>
    <t>PM</t>
  </si>
  <si>
    <t>SUM NB</t>
  </si>
  <si>
    <t>SUM SB</t>
  </si>
  <si>
    <t>ANNUAL VALUE OF VHD SAVINGS (by Vehicle Type, Direction)</t>
  </si>
  <si>
    <t>Vehicle Type</t>
  </si>
  <si>
    <t>Truck NB</t>
  </si>
  <si>
    <t>Truck SB</t>
  </si>
  <si>
    <t>Car NB</t>
  </si>
  <si>
    <t>Car SB</t>
  </si>
  <si>
    <t>ANNUAL VALUE OF REDUCED FUEL USE</t>
  </si>
  <si>
    <t>Gallons of Fuel lost to Idling relative to No Build (daily, peak hours)</t>
  </si>
  <si>
    <t xml:space="preserve"> Benefit of gallons saved (yearly, peak hours only)</t>
  </si>
  <si>
    <t>Per car VHD saved under Build (2027): - Negative value = savings</t>
  </si>
  <si>
    <t xml:space="preserve">AM </t>
  </si>
  <si>
    <t>Peak Period days in a year</t>
  </si>
  <si>
    <t>NO BUILD VALUES</t>
  </si>
  <si>
    <t>NO BUILD TRAVEL TIME</t>
  </si>
  <si>
    <t>TRAFFIC VOLUME - NO BUILD, PEAK PERIODS</t>
  </si>
  <si>
    <t>TOTAL VHD NO BUILD (NOT USED, FOR REFERENCE OR ALTERNATIVE ANALYSIS)</t>
  </si>
  <si>
    <t>NO BUILD BASELINE</t>
  </si>
  <si>
    <t>BUILD ALTERNATIVE</t>
  </si>
  <si>
    <t>BUILD - NO-BUILD VOLUME DIFFERENCES</t>
  </si>
  <si>
    <t>Abernethy Bridge</t>
  </si>
  <si>
    <t>Post-Processed No Build Hourly Volume Forecasts</t>
  </si>
  <si>
    <t>Post-Processed Hourly Volume Forecasts</t>
  </si>
  <si>
    <t>2045 vs 2027</t>
  </si>
  <si>
    <t>Time</t>
  </si>
  <si>
    <t>SOV_Low</t>
  </si>
  <si>
    <t>SOV_Medium</t>
  </si>
  <si>
    <t>SOV_High</t>
  </si>
  <si>
    <t>HOV_Low</t>
  </si>
  <si>
    <t>HOV_Medium</t>
  </si>
  <si>
    <t>HOV_High</t>
  </si>
  <si>
    <t>Medium_Truck</t>
  </si>
  <si>
    <t>Heavy_Truck</t>
  </si>
  <si>
    <t>Total 2027 NO_Build_ Vehicle_Adj</t>
  </si>
  <si>
    <t>Total 2045 NO_Build_ Vehicle_Adj</t>
  </si>
  <si>
    <t>Volume Difference</t>
  </si>
  <si>
    <t>Percent Difference</t>
  </si>
  <si>
    <t>Total 2027 Build_ Vehicle_Adj</t>
  </si>
  <si>
    <t>Total 2045 Build_ Vehicle_Adj</t>
  </si>
  <si>
    <t>VOLUME DIFF AM (BUILD - NO BUILD)</t>
  </si>
  <si>
    <t>VOLUME DIFF PM (BUILD - NO BUILD)</t>
  </si>
  <si>
    <t>Increased Capacity from BUILD (1 = YES)</t>
  </si>
  <si>
    <t>00 to 01</t>
  </si>
  <si>
    <t>01 to 02</t>
  </si>
  <si>
    <t>02 to 03</t>
  </si>
  <si>
    <t>03 to 04</t>
  </si>
  <si>
    <t>04 to 05</t>
  </si>
  <si>
    <t>05 to 06</t>
  </si>
  <si>
    <t>06 to 07</t>
  </si>
  <si>
    <t>09 to 10</t>
  </si>
  <si>
    <t>10 to 11</t>
  </si>
  <si>
    <t>11 to 12</t>
  </si>
  <si>
    <t>12 to 13</t>
  </si>
  <si>
    <t>13 to 14</t>
  </si>
  <si>
    <t>14 to 15</t>
  </si>
  <si>
    <t>15 to 16</t>
  </si>
  <si>
    <t>18 to 19</t>
  </si>
  <si>
    <t>19 to 20</t>
  </si>
  <si>
    <t>20 to 21</t>
  </si>
  <si>
    <t>21 to 22</t>
  </si>
  <si>
    <t>22 to 23</t>
  </si>
  <si>
    <t>23 to 24</t>
  </si>
  <si>
    <t>Tualatin River Bridges</t>
  </si>
  <si>
    <t>Compound Annual Growth Rate for change in travel times.</t>
  </si>
  <si>
    <t>Build</t>
  </si>
  <si>
    <t>No Build</t>
  </si>
  <si>
    <t>Difference</t>
  </si>
  <si>
    <t>From</t>
  </si>
  <si>
    <t>To</t>
  </si>
  <si>
    <t>AM Travel</t>
  </si>
  <si>
    <t>PM Travel</t>
  </si>
  <si>
    <t>7-9 AM</t>
  </si>
  <si>
    <t>4-6 PM</t>
  </si>
  <si>
    <t>Stafford Rd</t>
  </si>
  <si>
    <t>OR-213</t>
  </si>
  <si>
    <t>Just the project Corridor</t>
  </si>
  <si>
    <t>I-15 ramps</t>
  </si>
  <si>
    <t>Includes project corridor plus affected approach segments</t>
  </si>
  <si>
    <t>Gladstone</t>
  </si>
  <si>
    <t>Through Stafford Rd</t>
  </si>
  <si>
    <t>I-5 ramps</t>
  </si>
  <si>
    <t>Full length between I-5 and Gladstone</t>
  </si>
  <si>
    <t>Location</t>
  </si>
  <si>
    <t>Name</t>
  </si>
  <si>
    <t>Cars</t>
  </si>
  <si>
    <t>Trucks</t>
  </si>
  <si>
    <t>Truck Percentage</t>
  </si>
  <si>
    <t>A</t>
  </si>
  <si>
    <t>I‑205 SB</t>
  </si>
  <si>
    <t>THIS PROJECT</t>
  </si>
  <si>
    <t>B</t>
  </si>
  <si>
    <t>I‑205 NB</t>
  </si>
  <si>
    <t>C</t>
  </si>
  <si>
    <t>I‑205 SB to I-5 NB</t>
  </si>
  <si>
    <t>D</t>
  </si>
  <si>
    <t>I‑205 SB to I-5 SB</t>
  </si>
  <si>
    <t>E</t>
  </si>
  <si>
    <t>I-5 NB to I‑205 NB</t>
  </si>
  <si>
    <t>F</t>
  </si>
  <si>
    <t>I-5 SB to I‑205 NB</t>
  </si>
  <si>
    <t>Source: MS2, daily truck volumes for Wednesday, June 19, 2019</t>
  </si>
  <si>
    <t xml:space="preserve">Note: </t>
  </si>
  <si>
    <t>The Location IDs identified in the first column of this table corresponded to Location IDs A through F in Figure 4 12.</t>
  </si>
  <si>
    <t>MS2 daily volumes are classified based on vehicles length in up to five categories (0 to 20, 20 to 35, 35 to 61, 61 to 150, and 150+ foot-long vehicles. Truck volumes reported in this section refer to vehicles longer than 20 feet. (20- to 35-foot-long vehicles are classified as Medium trucks, and vehicles longer than 35 feet are classified as Heavy trucks.)</t>
  </si>
  <si>
    <t>Table A-3: Value of Travel Time Savings</t>
  </si>
  <si>
    <t>General Travel Time</t>
  </si>
  <si>
    <t xml:space="preserve">Personal </t>
  </si>
  <si>
    <t>Business</t>
  </si>
  <si>
    <t>All Purposes</t>
  </si>
  <si>
    <t>persons per vehicle</t>
  </si>
  <si>
    <t>Walking, Cycling, Waiting, Standing, and Transfer Time</t>
  </si>
  <si>
    <t>Commercial Vehicle Operators</t>
  </si>
  <si>
    <t>Truck Drivers</t>
  </si>
  <si>
    <t>Bus Drivers</t>
  </si>
  <si>
    <t>Transit Rail Operators</t>
  </si>
  <si>
    <t>Locomotive Engineers</t>
  </si>
  <si>
    <t>I-205 Corridor Widening: Stafford Road to OR43</t>
  </si>
  <si>
    <t xml:space="preserve">I-205 is a critical link in the spine of America’s West Coast freight system, carrying more than 106,00 vehicles per day through the project area.  This 7 mile segment of I-205 is the last remaining 2 lane section which creates a bottleneck causing drivers nearly seven hours of traffic backups and congestion each day.  This is anticipated to increase to 14 hours a day by 2045.  This delay significantly impacts freight and the public.  In addition, the existing bridges on the mainline are seismically substandard and would make the corridor impassible after a significant seismic event. </t>
  </si>
  <si>
    <t>This project will add a third lane in each direction, as well as replaced 6 bridges on the mainline, seismically retrofit 4 bridges, and replace 2 bridge overcrossings of the mainline to obtain required vertical clearances for freight.</t>
  </si>
  <si>
    <t>A large amount of crash reduction. Reduced congestion and travel delays, along with the associated emissions benefits.</t>
  </si>
  <si>
    <t>2027-2046 CAGR</t>
  </si>
  <si>
    <t>Sum</t>
  </si>
  <si>
    <t>Idling Time at approach segments</t>
  </si>
  <si>
    <t>N/A SEE VHD SAVINGS WORKSHEET</t>
  </si>
  <si>
    <t>Table 4 12.</t>
  </si>
  <si>
    <t>Corridor Crashes by Severity (2015 through 2019)</t>
  </si>
  <si>
    <t>Injury</t>
  </si>
  <si>
    <t>Property Damage Only</t>
  </si>
  <si>
    <t>I‑205</t>
  </si>
  <si>
    <t>OR 213</t>
  </si>
  <si>
    <t>OR 43</t>
  </si>
  <si>
    <t>OR 99E</t>
  </si>
  <si>
    <t>SW Borland Rd</t>
  </si>
  <si>
    <t>SW Stafford Rd</t>
  </si>
  <si>
    <t>Willamette Falls Dr</t>
  </si>
  <si>
    <t>Source: ODOT Crash Reporting Unit: https://tvc.odot.state.or.us/tvc/</t>
  </si>
  <si>
    <t>NOT USED FOR THIS PROJECT</t>
  </si>
  <si>
    <t>NO USED FOR THIS PROJECT</t>
  </si>
  <si>
    <t>Not Used</t>
  </si>
  <si>
    <t>Total Value of Congestion Avoided</t>
  </si>
  <si>
    <t>Annual Avoided Cost of Congestion (by Vehicle Type, Direction)</t>
  </si>
  <si>
    <t>TOTAL VALUE OF TIME SAVINGS</t>
  </si>
  <si>
    <t>Traffic Volume by Vehicle Type (Existing User Estimated, See Section 4.8 of BCA Guidance)</t>
  </si>
  <si>
    <t>EXISTING USERS BENEFIT CALCULATION (MARCH 2022 US DOT BCA GUIDANCE SECTION 4.8)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</si>
</sst>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&quot;$&quot;#,##0"/>
    <numFmt numFmtId="166" formatCode="0.0"/>
    <numFmt numFmtId="167" formatCode="_(&quot;$&quot;* #,##0_);_(&quot;$&quot;* \(#,##0\);_(&quot;$&quot;* &quot;-&quot;??_);_(@_)"/>
    <numFmt numFmtId="168" formatCode="_(* #,##0_);_(* \(#,##0\);_(* &quot;-&quot;??_);_(@_)"/>
    <numFmt numFmtId="169" formatCode="#,##0.000"/>
    <numFmt numFmtId="170" formatCode="&quot;$&quot;#,##0.00"/>
    <numFmt numFmtId="171" formatCode="0.0%"/>
    <numFmt numFmtId="172" formatCode="0.000"/>
    <numFmt numFmtId="173" formatCode="0.0000"/>
    <numFmt numFmtId="174" formatCode="#,##0.00000_);[Red]\(#,##0.00000\)"/>
    <numFmt numFmtId="175" formatCode="&quot;$&quot;#,##0.000_);[Red]\(&quot;$&quot;#,##0.000\)"/>
    <numFmt numFmtId="176" formatCode="#,##0.0"/>
    <numFmt numFmtId="177" formatCode="#,##0.000_);[Red]\(#,##0.000\)"/>
    <numFmt numFmtId="178" formatCode="0_);[Red]\(0\)"/>
    <numFmt numFmtId="179" formatCode="&quot;$&quot;#,##0.000"/>
    <numFmt numFmtId="180" formatCode="0.000000000000"/>
  </numFmts>
  <fonts count="9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color indexed="10"/>
      <name val="Arial"/>
      <family val="2"/>
    </font>
    <font>
      <sz val="12"/>
      <name val="Times New Roman"/>
      <family val="1"/>
    </font>
    <font>
      <sz val="10"/>
      <name val="Verdana"/>
      <family val="2"/>
    </font>
    <font>
      <b/>
      <sz val="12"/>
      <name val="Times New Roman"/>
      <family val="1"/>
    </font>
    <font>
      <b/>
      <sz val="10"/>
      <color indexed="61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color rgb="FF000000"/>
      <name val="Arial"/>
      <family val="2"/>
    </font>
    <font>
      <sz val="9"/>
      <color rgb="FF000000"/>
      <name val="Calibri"/>
      <family val="2"/>
      <scheme val="minor"/>
    </font>
    <font>
      <sz val="1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4"/>
      <name val="Calibri"/>
      <family val="2"/>
      <scheme val="minor"/>
    </font>
    <font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sz val="18"/>
      <name val="Arial"/>
      <family val="2"/>
    </font>
    <font>
      <sz val="16"/>
      <color theme="1"/>
      <name val="Calibri"/>
      <family val="2"/>
      <scheme val="minor"/>
    </font>
    <font>
      <sz val="16"/>
      <name val="Arial"/>
      <family val="2"/>
    </font>
    <font>
      <sz val="16"/>
      <name val="Calibri"/>
      <family val="2"/>
      <scheme val="minor"/>
    </font>
    <font>
      <sz val="16"/>
      <name val="Times New Roman"/>
      <family val="1"/>
    </font>
    <font>
      <sz val="11"/>
      <color rgb="FF1F497D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B05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rgb="FFFF0000"/>
      <name val="Calibri"/>
      <family val="2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333333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sz val="12"/>
      <color indexed="8"/>
      <name val="Times New Roman"/>
      <family val="1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FFFF"/>
      <name val="Franklin Gothic Demi"/>
      <family val="2"/>
    </font>
    <font>
      <sz val="10"/>
      <color theme="1"/>
      <name val="Palatino Linotype"/>
      <family val="1"/>
    </font>
    <font>
      <sz val="9"/>
      <color theme="1"/>
      <name val="Palatino Linotype"/>
      <family val="1"/>
    </font>
    <font>
      <b/>
      <sz val="8"/>
      <color rgb="FFFF0000"/>
      <name val="Calibri"/>
      <family val="2"/>
    </font>
    <font>
      <b/>
      <sz val="8"/>
      <name val="Calibri"/>
      <family val="2"/>
    </font>
    <font>
      <b/>
      <sz val="18"/>
      <color rgb="FFFF0000"/>
      <name val="Calibri"/>
      <family val="2"/>
      <scheme val="minor"/>
    </font>
    <font>
      <sz val="10"/>
      <name val="Franklin Gothic Demi"/>
      <family val="2"/>
    </font>
    <font>
      <sz val="10"/>
      <name val="Palatino Linotype"/>
      <family val="1"/>
    </font>
    <font>
      <b/>
      <sz val="10"/>
      <name val="Palatino Linotype"/>
      <family val="1"/>
    </font>
    <font>
      <b/>
      <sz val="10"/>
      <color rgb="FF000000"/>
      <name val="Palatino Linotype"/>
      <family val="1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96B0"/>
        <bgColor indexed="64"/>
      </patternFill>
    </fill>
    <fill>
      <patternFill patternType="solid">
        <fgColor theme="1"/>
        <bgColor indexed="64"/>
      </patternFill>
    </fill>
  </fills>
  <borders count="1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7F7F7F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 style="medium">
        <color rgb="FF0096B0"/>
      </top>
      <bottom style="medium">
        <color rgb="FF0096B0"/>
      </bottom>
      <diagonal/>
    </border>
    <border>
      <left/>
      <right/>
      <top style="medium">
        <color rgb="FF0096B0"/>
      </top>
      <bottom style="medium">
        <color rgb="FF0096B0"/>
      </bottom>
      <diagonal/>
    </border>
    <border>
      <left/>
      <right style="medium">
        <color rgb="FF0096B0"/>
      </right>
      <top/>
      <bottom style="medium">
        <color rgb="FF0096B0"/>
      </bottom>
      <diagonal/>
    </border>
    <border>
      <left/>
      <right/>
      <top/>
      <bottom style="medium">
        <color rgb="FF0096B0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 style="medium">
        <color rgb="FFA3A3A3"/>
      </right>
      <top/>
      <bottom style="medium">
        <color rgb="FFA3A3A3"/>
      </bottom>
      <diagonal/>
    </border>
    <border>
      <left/>
      <right style="medium">
        <color rgb="FFA3A3A3"/>
      </right>
      <top/>
      <bottom style="medium">
        <color rgb="FFA3A3A3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4">
    <xf numFmtId="0" fontId="0" fillId="0" borderId="0"/>
    <xf numFmtId="0" fontId="20" fillId="0" borderId="0"/>
    <xf numFmtId="0" fontId="25" fillId="5" borderId="14" applyNumberFormat="0" applyAlignment="0" applyProtection="0"/>
    <xf numFmtId="0" fontId="13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4" fillId="0" borderId="0">
      <alignment vertical="top"/>
    </xf>
    <xf numFmtId="44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2" fillId="0" borderId="0"/>
    <xf numFmtId="0" fontId="12" fillId="0" borderId="0"/>
    <xf numFmtId="0" fontId="16" fillId="0" borderId="0"/>
    <xf numFmtId="0" fontId="16" fillId="0" borderId="0">
      <alignment wrapText="1"/>
    </xf>
    <xf numFmtId="0" fontId="33" fillId="0" borderId="0">
      <alignment wrapText="1"/>
    </xf>
    <xf numFmtId="44" fontId="33" fillId="0" borderId="0" applyFont="0" applyFill="0" applyBorder="0" applyAlignment="0" applyProtection="0">
      <alignment wrapText="1"/>
    </xf>
    <xf numFmtId="43" fontId="16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6" fillId="0" borderId="0">
      <alignment wrapText="1"/>
    </xf>
    <xf numFmtId="9" fontId="16" fillId="0" borderId="0" applyFont="0" applyFill="0" applyBorder="0" applyAlignment="0" applyProtection="0"/>
    <xf numFmtId="0" fontId="16" fillId="0" borderId="0"/>
    <xf numFmtId="0" fontId="11" fillId="0" borderId="0"/>
    <xf numFmtId="43" fontId="31" fillId="0" borderId="0" applyFont="0" applyFill="0" applyBorder="0" applyAlignment="0" applyProtection="0"/>
    <xf numFmtId="0" fontId="40" fillId="0" borderId="0">
      <alignment wrapText="1"/>
    </xf>
    <xf numFmtId="43" fontId="40" fillId="0" borderId="0" applyFont="0" applyFill="0" applyBorder="0" applyAlignment="0" applyProtection="0">
      <alignment wrapText="1"/>
    </xf>
    <xf numFmtId="0" fontId="10" fillId="0" borderId="0"/>
    <xf numFmtId="9" fontId="40" fillId="0" borderId="0" applyFont="0" applyFill="0" applyBorder="0" applyAlignment="0" applyProtection="0">
      <alignment wrapText="1"/>
    </xf>
    <xf numFmtId="0" fontId="9" fillId="0" borderId="0"/>
    <xf numFmtId="0" fontId="41" fillId="0" borderId="0"/>
    <xf numFmtId="0" fontId="16" fillId="0" borderId="0"/>
    <xf numFmtId="0" fontId="16" fillId="0" borderId="0">
      <alignment wrapText="1"/>
    </xf>
    <xf numFmtId="44" fontId="16" fillId="0" borderId="0" applyFont="0" applyFill="0" applyBorder="0" applyAlignment="0" applyProtection="0"/>
    <xf numFmtId="0" fontId="7" fillId="0" borderId="0"/>
    <xf numFmtId="0" fontId="68" fillId="0" borderId="0" applyNumberFormat="0" applyFill="0" applyBorder="0" applyAlignment="0" applyProtection="0"/>
  </cellStyleXfs>
  <cellXfs count="1023">
    <xf numFmtId="0" fontId="0" fillId="0" borderId="0" xfId="0"/>
    <xf numFmtId="0" fontId="14" fillId="0" borderId="0" xfId="0" applyFont="1" applyAlignment="1">
      <alignment horizontal="center"/>
    </xf>
    <xf numFmtId="0" fontId="14" fillId="0" borderId="0" xfId="0" applyFont="1"/>
    <xf numFmtId="6" fontId="14" fillId="0" borderId="0" xfId="0" applyNumberFormat="1" applyFont="1"/>
    <xf numFmtId="6" fontId="0" fillId="0" borderId="0" xfId="0" applyNumberFormat="1"/>
    <xf numFmtId="38" fontId="0" fillId="0" borderId="0" xfId="0" applyNumberFormat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Border="1"/>
    <xf numFmtId="0" fontId="0" fillId="0" borderId="0" xfId="0" applyFill="1"/>
    <xf numFmtId="0" fontId="14" fillId="0" borderId="0" xfId="0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3" fontId="0" fillId="0" borderId="0" xfId="0" applyNumberFormat="1" applyFill="1"/>
    <xf numFmtId="0" fontId="14" fillId="0" borderId="0" xfId="0" applyFont="1" applyFill="1" applyAlignment="1">
      <alignment wrapText="1"/>
    </xf>
    <xf numFmtId="38" fontId="0" fillId="0" borderId="0" xfId="0" applyNumberFormat="1" applyFill="1" applyAlignment="1">
      <alignment horizontal="center"/>
    </xf>
    <xf numFmtId="0" fontId="14" fillId="0" borderId="0" xfId="0" applyFont="1" applyFill="1"/>
    <xf numFmtId="6" fontId="0" fillId="0" borderId="0" xfId="0" applyNumberFormat="1" applyFill="1"/>
    <xf numFmtId="0" fontId="18" fillId="0" borderId="0" xfId="0" applyFont="1" applyFill="1"/>
    <xf numFmtId="0" fontId="0" fillId="0" borderId="0" xfId="0" applyAlignment="1">
      <alignment horizontal="center"/>
    </xf>
    <xf numFmtId="6" fontId="0" fillId="0" borderId="0" xfId="0" applyNumberFormat="1" applyBorder="1"/>
    <xf numFmtId="164" fontId="0" fillId="0" borderId="0" xfId="0" applyNumberFormat="1" applyBorder="1"/>
    <xf numFmtId="0" fontId="13" fillId="0" borderId="0" xfId="3"/>
    <xf numFmtId="0" fontId="27" fillId="0" borderId="0" xfId="3" applyFont="1"/>
    <xf numFmtId="0" fontId="28" fillId="0" borderId="0" xfId="3" applyFont="1"/>
    <xf numFmtId="0" fontId="29" fillId="0" borderId="0" xfId="3" applyFont="1"/>
    <xf numFmtId="0" fontId="26" fillId="0" borderId="0" xfId="3" applyFont="1"/>
    <xf numFmtId="6" fontId="28" fillId="0" borderId="0" xfId="3" applyNumberFormat="1" applyFont="1"/>
    <xf numFmtId="0" fontId="28" fillId="0" borderId="9" xfId="3" applyFont="1" applyBorder="1"/>
    <xf numFmtId="0" fontId="27" fillId="0" borderId="9" xfId="3" applyFont="1" applyBorder="1"/>
    <xf numFmtId="0" fontId="27" fillId="8" borderId="9" xfId="3" applyFont="1" applyFill="1" applyBorder="1" applyAlignment="1">
      <alignment horizontal="center"/>
    </xf>
    <xf numFmtId="0" fontId="28" fillId="9" borderId="9" xfId="3" applyFont="1" applyFill="1" applyBorder="1"/>
    <xf numFmtId="0" fontId="27" fillId="0" borderId="9" xfId="3" applyFont="1" applyFill="1" applyBorder="1" applyAlignment="1"/>
    <xf numFmtId="0" fontId="27" fillId="7" borderId="9" xfId="3" applyFont="1" applyFill="1" applyBorder="1"/>
    <xf numFmtId="0" fontId="27" fillId="8" borderId="9" xfId="3" applyFont="1" applyFill="1" applyBorder="1"/>
    <xf numFmtId="0" fontId="27" fillId="9" borderId="9" xfId="3" applyFont="1" applyFill="1" applyBorder="1"/>
    <xf numFmtId="6" fontId="28" fillId="0" borderId="9" xfId="3" applyNumberFormat="1" applyFont="1" applyBorder="1"/>
    <xf numFmtId="0" fontId="23" fillId="7" borderId="9" xfId="3" applyFont="1" applyFill="1" applyBorder="1"/>
    <xf numFmtId="1" fontId="27" fillId="0" borderId="9" xfId="3" applyNumberFormat="1" applyFont="1" applyBorder="1"/>
    <xf numFmtId="6" fontId="27" fillId="0" borderId="9" xfId="3" applyNumberFormat="1" applyFont="1" applyBorder="1"/>
    <xf numFmtId="0" fontId="26" fillId="0" borderId="9" xfId="3" applyFont="1" applyBorder="1"/>
    <xf numFmtId="9" fontId="27" fillId="0" borderId="9" xfId="3" applyNumberFormat="1" applyFont="1" applyBorder="1"/>
    <xf numFmtId="0" fontId="28" fillId="8" borderId="9" xfId="3" applyFont="1" applyFill="1" applyBorder="1"/>
    <xf numFmtId="1" fontId="28" fillId="9" borderId="9" xfId="3" applyNumberFormat="1" applyFont="1" applyFill="1" applyBorder="1"/>
    <xf numFmtId="1" fontId="28" fillId="0" borderId="9" xfId="3" applyNumberFormat="1" applyFont="1" applyBorder="1"/>
    <xf numFmtId="166" fontId="26" fillId="0" borderId="9" xfId="3" applyNumberFormat="1" applyFont="1" applyBorder="1"/>
    <xf numFmtId="0" fontId="29" fillId="0" borderId="9" xfId="3" applyFont="1" applyBorder="1"/>
    <xf numFmtId="0" fontId="13" fillId="0" borderId="0" xfId="3" applyFont="1"/>
    <xf numFmtId="1" fontId="28" fillId="0" borderId="0" xfId="3" applyNumberFormat="1" applyFont="1"/>
    <xf numFmtId="0" fontId="27" fillId="0" borderId="12" xfId="3" applyFont="1" applyBorder="1"/>
    <xf numFmtId="9" fontId="26" fillId="0" borderId="9" xfId="4" applyFont="1" applyBorder="1"/>
    <xf numFmtId="0" fontId="27" fillId="0" borderId="9" xfId="3" applyFont="1" applyBorder="1" applyAlignment="1"/>
    <xf numFmtId="0" fontId="30" fillId="5" borderId="9" xfId="2" applyFont="1" applyBorder="1" applyAlignment="1">
      <alignment horizontal="left"/>
    </xf>
    <xf numFmtId="0" fontId="27" fillId="9" borderId="9" xfId="3" applyFont="1" applyFill="1" applyBorder="1" applyAlignment="1">
      <alignment horizontal="center"/>
    </xf>
    <xf numFmtId="0" fontId="27" fillId="3" borderId="13" xfId="3" applyFont="1" applyFill="1" applyBorder="1" applyAlignment="1">
      <alignment horizontal="center"/>
    </xf>
    <xf numFmtId="0" fontId="27" fillId="3" borderId="11" xfId="3" applyFont="1" applyFill="1" applyBorder="1" applyAlignment="1">
      <alignment horizontal="center"/>
    </xf>
    <xf numFmtId="0" fontId="27" fillId="3" borderId="12" xfId="3" applyFont="1" applyFill="1" applyBorder="1" applyAlignment="1">
      <alignment horizontal="center"/>
    </xf>
    <xf numFmtId="6" fontId="27" fillId="4" borderId="13" xfId="3" applyNumberFormat="1" applyFont="1" applyFill="1" applyBorder="1" applyAlignment="1">
      <alignment horizontal="center"/>
    </xf>
    <xf numFmtId="6" fontId="27" fillId="4" borderId="11" xfId="3" applyNumberFormat="1" applyFont="1" applyFill="1" applyBorder="1" applyAlignment="1">
      <alignment horizontal="center"/>
    </xf>
    <xf numFmtId="6" fontId="27" fillId="4" borderId="12" xfId="3" applyNumberFormat="1" applyFont="1" applyFill="1" applyBorder="1" applyAlignment="1">
      <alignment horizontal="center"/>
    </xf>
    <xf numFmtId="0" fontId="27" fillId="9" borderId="9" xfId="5" applyNumberFormat="1" applyFont="1" applyFill="1" applyBorder="1"/>
    <xf numFmtId="0" fontId="27" fillId="3" borderId="9" xfId="5" applyNumberFormat="1" applyFont="1" applyFill="1" applyBorder="1"/>
    <xf numFmtId="0" fontId="27" fillId="3" borderId="9" xfId="3" applyFont="1" applyFill="1" applyBorder="1"/>
    <xf numFmtId="0" fontId="27" fillId="10" borderId="9" xfId="5" applyNumberFormat="1" applyFont="1" applyFill="1" applyBorder="1"/>
    <xf numFmtId="0" fontId="27" fillId="10" borderId="9" xfId="3" applyFont="1" applyFill="1" applyBorder="1"/>
    <xf numFmtId="0" fontId="27" fillId="4" borderId="9" xfId="5" applyNumberFormat="1" applyFont="1" applyFill="1" applyBorder="1"/>
    <xf numFmtId="0" fontId="27" fillId="4" borderId="9" xfId="3" applyFont="1" applyFill="1" applyBorder="1"/>
    <xf numFmtId="6" fontId="28" fillId="9" borderId="9" xfId="3" applyNumberFormat="1" applyFont="1" applyFill="1" applyBorder="1"/>
    <xf numFmtId="6" fontId="28" fillId="3" borderId="9" xfId="3" applyNumberFormat="1" applyFont="1" applyFill="1" applyBorder="1"/>
    <xf numFmtId="6" fontId="28" fillId="4" borderId="9" xfId="3" applyNumberFormat="1" applyFont="1" applyFill="1" applyBorder="1"/>
    <xf numFmtId="167" fontId="28" fillId="9" borderId="9" xfId="5" applyNumberFormat="1" applyFont="1" applyFill="1" applyBorder="1"/>
    <xf numFmtId="167" fontId="28" fillId="3" borderId="9" xfId="5" applyNumberFormat="1" applyFont="1" applyFill="1" applyBorder="1"/>
    <xf numFmtId="167" fontId="28" fillId="10" borderId="9" xfId="5" applyNumberFormat="1" applyFont="1" applyFill="1" applyBorder="1"/>
    <xf numFmtId="167" fontId="28" fillId="4" borderId="9" xfId="5" applyNumberFormat="1" applyFont="1" applyFill="1" applyBorder="1"/>
    <xf numFmtId="0" fontId="27" fillId="0" borderId="9" xfId="3" applyFont="1" applyBorder="1" applyAlignment="1">
      <alignment wrapText="1"/>
    </xf>
    <xf numFmtId="0" fontId="27" fillId="0" borderId="0" xfId="5" applyNumberFormat="1" applyFont="1" applyFill="1" applyBorder="1"/>
    <xf numFmtId="165" fontId="24" fillId="0" borderId="4" xfId="6" applyNumberFormat="1" applyFill="1" applyBorder="1" applyAlignment="1"/>
    <xf numFmtId="0" fontId="19" fillId="0" borderId="0" xfId="3" applyFont="1" applyBorder="1" applyAlignment="1">
      <alignment horizontal="center" shrinkToFit="1"/>
    </xf>
    <xf numFmtId="0" fontId="21" fillId="2" borderId="4" xfId="3" applyFont="1" applyFill="1" applyBorder="1" applyAlignment="1">
      <alignment horizontal="center" shrinkToFit="1"/>
    </xf>
    <xf numFmtId="0" fontId="19" fillId="0" borderId="0" xfId="3" applyFont="1" applyAlignment="1">
      <alignment horizontal="left"/>
    </xf>
    <xf numFmtId="0" fontId="28" fillId="0" borderId="0" xfId="3" applyFont="1" applyBorder="1"/>
    <xf numFmtId="0" fontId="21" fillId="0" borderId="3" xfId="3" applyFont="1" applyBorder="1" applyAlignment="1">
      <alignment horizontal="center" vertical="center" shrinkToFit="1"/>
    </xf>
    <xf numFmtId="0" fontId="27" fillId="0" borderId="0" xfId="3" applyFont="1" applyBorder="1"/>
    <xf numFmtId="0" fontId="13" fillId="0" borderId="0" xfId="3" applyAlignment="1">
      <alignment horizontal="center"/>
    </xf>
    <xf numFmtId="0" fontId="13" fillId="0" borderId="0" xfId="3" applyBorder="1" applyAlignment="1">
      <alignment horizontal="center"/>
    </xf>
    <xf numFmtId="10" fontId="27" fillId="11" borderId="15" xfId="8" applyNumberFormat="1" applyFont="1" applyFill="1" applyBorder="1" applyAlignment="1">
      <alignment horizontal="center"/>
    </xf>
    <xf numFmtId="0" fontId="27" fillId="0" borderId="0" xfId="3" applyFont="1" applyFill="1" applyBorder="1"/>
    <xf numFmtId="0" fontId="14" fillId="0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6" fontId="14" fillId="4" borderId="0" xfId="0" applyNumberFormat="1" applyFont="1" applyFill="1"/>
    <xf numFmtId="0" fontId="14" fillId="4" borderId="0" xfId="0" applyFont="1" applyFill="1"/>
    <xf numFmtId="0" fontId="14" fillId="4" borderId="0" xfId="0" applyFont="1" applyFill="1" applyAlignment="1">
      <alignment wrapText="1"/>
    </xf>
    <xf numFmtId="0" fontId="14" fillId="4" borderId="0" xfId="0" applyFont="1" applyFill="1" applyBorder="1" applyAlignment="1">
      <alignment horizontal="center"/>
    </xf>
    <xf numFmtId="10" fontId="27" fillId="0" borderId="0" xfId="8" applyNumberFormat="1" applyFont="1" applyFill="1" applyBorder="1" applyAlignment="1">
      <alignment horizontal="right"/>
    </xf>
    <xf numFmtId="0" fontId="27" fillId="0" borderId="0" xfId="3" applyFont="1" applyFill="1" applyBorder="1" applyAlignment="1">
      <alignment horizontal="right"/>
    </xf>
    <xf numFmtId="0" fontId="14" fillId="0" borderId="0" xfId="0" applyFont="1" applyFill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Fill="1" applyAlignment="1">
      <alignment horizontal="right" wrapText="1"/>
    </xf>
    <xf numFmtId="0" fontId="27" fillId="0" borderId="9" xfId="3" applyFont="1" applyFill="1" applyBorder="1" applyAlignment="1">
      <alignment wrapText="1"/>
    </xf>
    <xf numFmtId="0" fontId="27" fillId="0" borderId="9" xfId="3" applyFont="1" applyFill="1" applyBorder="1"/>
    <xf numFmtId="0" fontId="23" fillId="0" borderId="0" xfId="3" applyFont="1" applyAlignment="1">
      <alignment horizontal="right"/>
    </xf>
    <xf numFmtId="167" fontId="13" fillId="0" borderId="0" xfId="7" applyNumberFormat="1" applyFont="1"/>
    <xf numFmtId="0" fontId="14" fillId="13" borderId="8" xfId="0" applyFont="1" applyFill="1" applyBorder="1"/>
    <xf numFmtId="0" fontId="0" fillId="13" borderId="1" xfId="0" applyFill="1" applyBorder="1"/>
    <xf numFmtId="6" fontId="0" fillId="13" borderId="2" xfId="0" applyNumberFormat="1" applyFill="1" applyBorder="1"/>
    <xf numFmtId="0" fontId="0" fillId="13" borderId="3" xfId="0" applyFill="1" applyBorder="1"/>
    <xf numFmtId="0" fontId="0" fillId="13" borderId="0" xfId="0" applyFill="1" applyBorder="1"/>
    <xf numFmtId="6" fontId="0" fillId="13" borderId="4" xfId="0" applyNumberFormat="1" applyFill="1" applyBorder="1"/>
    <xf numFmtId="0" fontId="14" fillId="13" borderId="3" xfId="0" applyFont="1" applyFill="1" applyBorder="1"/>
    <xf numFmtId="0" fontId="0" fillId="13" borderId="4" xfId="0" applyFill="1" applyBorder="1"/>
    <xf numFmtId="0" fontId="14" fillId="13" borderId="5" xfId="0" applyFont="1" applyFill="1" applyBorder="1"/>
    <xf numFmtId="0" fontId="0" fillId="13" borderId="6" xfId="0" applyFill="1" applyBorder="1"/>
    <xf numFmtId="164" fontId="0" fillId="13" borderId="7" xfId="0" applyNumberFormat="1" applyFill="1" applyBorder="1"/>
    <xf numFmtId="6" fontId="0" fillId="0" borderId="0" xfId="0" applyNumberFormat="1" applyBorder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left" vertical="center" indent="4"/>
    </xf>
    <xf numFmtId="8" fontId="28" fillId="0" borderId="9" xfId="3" applyNumberFormat="1" applyFont="1" applyBorder="1"/>
    <xf numFmtId="0" fontId="26" fillId="0" borderId="28" xfId="3" applyFont="1" applyBorder="1"/>
    <xf numFmtId="166" fontId="26" fillId="0" borderId="9" xfId="3" applyNumberFormat="1" applyFont="1" applyFill="1" applyBorder="1"/>
    <xf numFmtId="0" fontId="27" fillId="0" borderId="30" xfId="3" applyFont="1" applyFill="1" applyBorder="1"/>
    <xf numFmtId="0" fontId="40" fillId="0" borderId="0" xfId="23">
      <alignment wrapText="1"/>
    </xf>
    <xf numFmtId="0" fontId="40" fillId="0" borderId="0" xfId="23" applyFill="1">
      <alignment wrapText="1"/>
    </xf>
    <xf numFmtId="0" fontId="27" fillId="0" borderId="30" xfId="3" applyFont="1" applyFill="1" applyBorder="1" applyAlignment="1"/>
    <xf numFmtId="0" fontId="27" fillId="0" borderId="30" xfId="3" applyFont="1" applyBorder="1"/>
    <xf numFmtId="0" fontId="28" fillId="0" borderId="30" xfId="3" applyFont="1" applyBorder="1"/>
    <xf numFmtId="0" fontId="13" fillId="0" borderId="0" xfId="3" applyFill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3" fillId="0" borderId="0" xfId="3" applyFill="1"/>
    <xf numFmtId="0" fontId="14" fillId="0" borderId="8" xfId="0" applyFont="1" applyFill="1" applyBorder="1"/>
    <xf numFmtId="0" fontId="0" fillId="0" borderId="1" xfId="0" applyFill="1" applyBorder="1"/>
    <xf numFmtId="6" fontId="0" fillId="0" borderId="2" xfId="0" applyNumberFormat="1" applyFill="1" applyBorder="1"/>
    <xf numFmtId="0" fontId="0" fillId="0" borderId="3" xfId="0" applyFill="1" applyBorder="1"/>
    <xf numFmtId="0" fontId="0" fillId="0" borderId="0" xfId="0" applyFill="1" applyBorder="1"/>
    <xf numFmtId="6" fontId="0" fillId="0" borderId="4" xfId="0" applyNumberFormat="1" applyFill="1" applyBorder="1"/>
    <xf numFmtId="0" fontId="14" fillId="0" borderId="3" xfId="0" applyFont="1" applyFill="1" applyBorder="1"/>
    <xf numFmtId="0" fontId="0" fillId="0" borderId="4" xfId="0" applyFill="1" applyBorder="1"/>
    <xf numFmtId="0" fontId="14" fillId="0" borderId="5" xfId="0" applyFont="1" applyFill="1" applyBorder="1"/>
    <xf numFmtId="0" fontId="0" fillId="0" borderId="6" xfId="0" applyFill="1" applyBorder="1"/>
    <xf numFmtId="164" fontId="0" fillId="0" borderId="7" xfId="0" applyNumberFormat="1" applyFill="1" applyBorder="1"/>
    <xf numFmtId="38" fontId="0" fillId="0" borderId="0" xfId="0" applyNumberFormat="1" applyFill="1"/>
    <xf numFmtId="166" fontId="26" fillId="0" borderId="30" xfId="3" applyNumberFormat="1" applyFont="1" applyBorder="1"/>
    <xf numFmtId="0" fontId="27" fillId="3" borderId="29" xfId="3" applyFont="1" applyFill="1" applyBorder="1" applyAlignment="1">
      <alignment horizontal="center"/>
    </xf>
    <xf numFmtId="6" fontId="28" fillId="0" borderId="30" xfId="3" applyNumberFormat="1" applyFont="1" applyBorder="1"/>
    <xf numFmtId="6" fontId="27" fillId="0" borderId="30" xfId="3" applyNumberFormat="1" applyFont="1" applyBorder="1"/>
    <xf numFmtId="6" fontId="27" fillId="4" borderId="29" xfId="3" applyNumberFormat="1" applyFont="1" applyFill="1" applyBorder="1" applyAlignment="1">
      <alignment horizontal="center"/>
    </xf>
    <xf numFmtId="166" fontId="28" fillId="0" borderId="0" xfId="3" applyNumberFormat="1" applyFont="1"/>
    <xf numFmtId="0" fontId="0" fillId="0" borderId="0" xfId="0" applyAlignment="1">
      <alignment wrapText="1"/>
    </xf>
    <xf numFmtId="0" fontId="27" fillId="9" borderId="30" xfId="3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14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 applyAlignment="1"/>
    <xf numFmtId="0" fontId="14" fillId="0" borderId="0" xfId="0" applyFont="1" applyFill="1" applyBorder="1"/>
    <xf numFmtId="0" fontId="13" fillId="0" borderId="0" xfId="3" applyFill="1" applyBorder="1"/>
    <xf numFmtId="0" fontId="14" fillId="4" borderId="0" xfId="0" applyFont="1" applyFill="1" applyBorder="1" applyAlignment="1">
      <alignment horizontal="left"/>
    </xf>
    <xf numFmtId="9" fontId="23" fillId="0" borderId="0" xfId="8" applyFont="1" applyAlignment="1">
      <alignment horizontal="right"/>
    </xf>
    <xf numFmtId="2" fontId="0" fillId="0" borderId="0" xfId="0" applyNumberFormat="1"/>
    <xf numFmtId="0" fontId="16" fillId="0" borderId="0" xfId="0" applyFont="1" applyFill="1" applyBorder="1"/>
    <xf numFmtId="0" fontId="16" fillId="0" borderId="0" xfId="0" applyFont="1" applyBorder="1"/>
    <xf numFmtId="1" fontId="27" fillId="12" borderId="30" xfId="3" applyNumberFormat="1" applyFont="1" applyFill="1" applyBorder="1" applyAlignment="1">
      <alignment wrapText="1"/>
    </xf>
    <xf numFmtId="0" fontId="0" fillId="0" borderId="0" xfId="0" applyFill="1" applyAlignment="1">
      <alignment horizontal="center"/>
    </xf>
    <xf numFmtId="173" fontId="0" fillId="0" borderId="0" xfId="0" applyNumberFormat="1" applyFill="1" applyAlignment="1">
      <alignment horizontal="center"/>
    </xf>
    <xf numFmtId="174" fontId="0" fillId="0" borderId="0" xfId="0" applyNumberFormat="1" applyFill="1" applyAlignment="1">
      <alignment horizontal="center"/>
    </xf>
    <xf numFmtId="0" fontId="0" fillId="0" borderId="10" xfId="0" applyBorder="1" applyAlignment="1">
      <alignment horizontal="right" wrapText="1"/>
    </xf>
    <xf numFmtId="0" fontId="16" fillId="12" borderId="34" xfId="0" applyFont="1" applyFill="1" applyBorder="1" applyAlignment="1">
      <alignment wrapText="1"/>
    </xf>
    <xf numFmtId="0" fontId="14" fillId="12" borderId="29" xfId="0" applyFont="1" applyFill="1" applyBorder="1" applyAlignment="1">
      <alignment horizontal="center" wrapText="1"/>
    </xf>
    <xf numFmtId="0" fontId="14" fillId="12" borderId="30" xfId="0" applyFont="1" applyFill="1" applyBorder="1" applyAlignment="1">
      <alignment vertical="center" wrapText="1"/>
    </xf>
    <xf numFmtId="0" fontId="14" fillId="12" borderId="33" xfId="0" applyFont="1" applyFill="1" applyBorder="1" applyAlignment="1">
      <alignment vertical="center" wrapText="1"/>
    </xf>
    <xf numFmtId="168" fontId="25" fillId="0" borderId="0" xfId="22" applyNumberFormat="1" applyFont="1" applyFill="1" applyBorder="1"/>
    <xf numFmtId="0" fontId="28" fillId="0" borderId="0" xfId="3" applyFont="1" applyFill="1"/>
    <xf numFmtId="43" fontId="28" fillId="0" borderId="0" xfId="3" applyNumberFormat="1" applyFont="1" applyFill="1"/>
    <xf numFmtId="0" fontId="28" fillId="0" borderId="0" xfId="3" applyFont="1" applyAlignment="1">
      <alignment horizontal="right"/>
    </xf>
    <xf numFmtId="8" fontId="28" fillId="0" borderId="0" xfId="3" applyNumberFormat="1" applyFont="1"/>
    <xf numFmtId="168" fontId="28" fillId="0" borderId="9" xfId="22" applyNumberFormat="1" applyFont="1" applyBorder="1"/>
    <xf numFmtId="172" fontId="12" fillId="0" borderId="0" xfId="10" applyNumberFormat="1" applyFill="1" applyBorder="1"/>
    <xf numFmtId="9" fontId="23" fillId="0" borderId="0" xfId="8" applyFont="1" applyFill="1" applyAlignment="1">
      <alignment horizontal="right"/>
    </xf>
    <xf numFmtId="167" fontId="13" fillId="0" borderId="0" xfId="7" applyNumberFormat="1" applyFont="1" applyFill="1"/>
    <xf numFmtId="167" fontId="28" fillId="0" borderId="0" xfId="5" applyNumberFormat="1" applyFont="1" applyFill="1" applyBorder="1"/>
    <xf numFmtId="0" fontId="27" fillId="9" borderId="9" xfId="3" applyFont="1" applyFill="1" applyBorder="1" applyAlignment="1"/>
    <xf numFmtId="0" fontId="27" fillId="3" borderId="9" xfId="3" applyFont="1" applyFill="1" applyBorder="1" applyAlignment="1"/>
    <xf numFmtId="0" fontId="27" fillId="10" borderId="9" xfId="3" applyFont="1" applyFill="1" applyBorder="1" applyAlignment="1"/>
    <xf numFmtId="0" fontId="27" fillId="4" borderId="9" xfId="3" applyFont="1" applyFill="1" applyBorder="1" applyAlignment="1"/>
    <xf numFmtId="6" fontId="28" fillId="9" borderId="9" xfId="3" applyNumberFormat="1" applyFont="1" applyFill="1" applyBorder="1" applyAlignment="1"/>
    <xf numFmtId="6" fontId="28" fillId="3" borderId="9" xfId="3" applyNumberFormat="1" applyFont="1" applyFill="1" applyBorder="1" applyAlignment="1"/>
    <xf numFmtId="6" fontId="28" fillId="10" borderId="9" xfId="3" applyNumberFormat="1" applyFont="1" applyFill="1" applyBorder="1" applyAlignment="1"/>
    <xf numFmtId="6" fontId="28" fillId="4" borderId="9" xfId="3" applyNumberFormat="1" applyFont="1" applyFill="1" applyBorder="1" applyAlignment="1"/>
    <xf numFmtId="167" fontId="28" fillId="0" borderId="0" xfId="5" applyNumberFormat="1" applyFont="1" applyFill="1" applyBorder="1" applyAlignment="1"/>
    <xf numFmtId="0" fontId="30" fillId="14" borderId="30" xfId="2" applyFont="1" applyFill="1" applyBorder="1" applyAlignment="1">
      <alignment horizontal="left" wrapText="1"/>
    </xf>
    <xf numFmtId="0" fontId="30" fillId="0" borderId="0" xfId="2" applyFont="1" applyFill="1" applyBorder="1" applyAlignment="1">
      <alignment horizontal="left" wrapText="1"/>
    </xf>
    <xf numFmtId="0" fontId="30" fillId="5" borderId="15" xfId="2" applyFont="1" applyBorder="1" applyAlignment="1">
      <alignment horizontal="left"/>
    </xf>
    <xf numFmtId="0" fontId="30" fillId="5" borderId="30" xfId="2" applyFont="1" applyBorder="1" applyAlignment="1">
      <alignment horizontal="left"/>
    </xf>
    <xf numFmtId="0" fontId="16" fillId="0" borderId="3" xfId="0" applyFont="1" applyFill="1" applyBorder="1"/>
    <xf numFmtId="164" fontId="0" fillId="0" borderId="0" xfId="0" applyNumberFormat="1" applyFill="1" applyBorder="1"/>
    <xf numFmtId="0" fontId="14" fillId="0" borderId="0" xfId="0" applyFont="1" applyAlignment="1"/>
    <xf numFmtId="0" fontId="16" fillId="0" borderId="26" xfId="0" applyFont="1" applyFill="1" applyBorder="1" applyAlignment="1"/>
    <xf numFmtId="0" fontId="14" fillId="4" borderId="0" xfId="0" applyFont="1" applyFill="1" applyAlignment="1">
      <alignment horizontal="center" wrapText="1"/>
    </xf>
    <xf numFmtId="0" fontId="14" fillId="0" borderId="0" xfId="0" applyFont="1" applyFill="1" applyBorder="1" applyAlignment="1"/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horizontal="right"/>
    </xf>
    <xf numFmtId="165" fontId="0" fillId="0" borderId="0" xfId="0" applyNumberFormat="1" applyFill="1" applyBorder="1" applyAlignment="1">
      <alignment wrapText="1"/>
    </xf>
    <xf numFmtId="0" fontId="14" fillId="0" borderId="31" xfId="0" applyFont="1" applyFill="1" applyBorder="1" applyAlignment="1"/>
    <xf numFmtId="0" fontId="16" fillId="0" borderId="44" xfId="0" applyFont="1" applyFill="1" applyBorder="1" applyAlignment="1">
      <alignment horizontal="center" wrapText="1"/>
    </xf>
    <xf numFmtId="6" fontId="17" fillId="0" borderId="20" xfId="0" applyNumberFormat="1" applyFont="1" applyBorder="1" applyAlignment="1">
      <alignment vertical="center" wrapText="1"/>
    </xf>
    <xf numFmtId="0" fontId="16" fillId="0" borderId="20" xfId="0" applyFont="1" applyFill="1" applyBorder="1" applyAlignment="1">
      <alignment horizontal="right"/>
    </xf>
    <xf numFmtId="0" fontId="44" fillId="0" borderId="0" xfId="0" applyFont="1" applyBorder="1" applyAlignment="1">
      <alignment vertical="center"/>
    </xf>
    <xf numFmtId="0" fontId="43" fillId="0" borderId="0" xfId="0" applyFont="1" applyBorder="1" applyAlignment="1"/>
    <xf numFmtId="14" fontId="14" fillId="0" borderId="0" xfId="0" applyNumberFormat="1" applyFont="1" applyFill="1" applyBorder="1" applyAlignment="1"/>
    <xf numFmtId="165" fontId="16" fillId="0" borderId="23" xfId="0" applyNumberFormat="1" applyFont="1" applyFill="1" applyBorder="1" applyAlignment="1">
      <alignment wrapText="1"/>
    </xf>
    <xf numFmtId="8" fontId="14" fillId="0" borderId="22" xfId="0" applyNumberFormat="1" applyFont="1" applyBorder="1" applyAlignment="1">
      <alignment wrapText="1"/>
    </xf>
    <xf numFmtId="167" fontId="19" fillId="0" borderId="0" xfId="7" applyNumberFormat="1" applyFont="1" applyFill="1" applyBorder="1" applyAlignment="1">
      <alignment horizontal="center"/>
    </xf>
    <xf numFmtId="6" fontId="28" fillId="0" borderId="0" xfId="3" applyNumberFormat="1" applyFont="1" applyFill="1" applyBorder="1" applyAlignment="1"/>
    <xf numFmtId="0" fontId="45" fillId="0" borderId="0" xfId="3" applyFont="1" applyFill="1"/>
    <xf numFmtId="0" fontId="47" fillId="0" borderId="0" xfId="3" applyFont="1"/>
    <xf numFmtId="0" fontId="46" fillId="0" borderId="0" xfId="3" applyFont="1" applyFill="1"/>
    <xf numFmtId="0" fontId="47" fillId="0" borderId="0" xfId="3" applyFont="1" applyFill="1"/>
    <xf numFmtId="0" fontId="48" fillId="0" borderId="0" xfId="3" applyFont="1"/>
    <xf numFmtId="0" fontId="16" fillId="0" borderId="18" xfId="0" applyFont="1" applyBorder="1" applyAlignment="1">
      <alignment vertical="center" wrapText="1"/>
    </xf>
    <xf numFmtId="6" fontId="16" fillId="0" borderId="7" xfId="0" applyNumberFormat="1" applyFont="1" applyBorder="1" applyAlignment="1">
      <alignment vertical="center" wrapText="1"/>
    </xf>
    <xf numFmtId="6" fontId="14" fillId="0" borderId="7" xfId="0" applyNumberFormat="1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165" fontId="14" fillId="0" borderId="7" xfId="0" applyNumberFormat="1" applyFont="1" applyBorder="1" applyAlignment="1">
      <alignment vertical="center" wrapText="1"/>
    </xf>
    <xf numFmtId="165" fontId="16" fillId="0" borderId="7" xfId="0" applyNumberFormat="1" applyFont="1" applyBorder="1" applyAlignment="1">
      <alignment vertical="center" wrapText="1"/>
    </xf>
    <xf numFmtId="0" fontId="27" fillId="0" borderId="0" xfId="3" applyFont="1" applyFill="1"/>
    <xf numFmtId="0" fontId="23" fillId="18" borderId="9" xfId="10" applyFont="1" applyFill="1" applyBorder="1"/>
    <xf numFmtId="0" fontId="30" fillId="18" borderId="9" xfId="2" applyFont="1" applyFill="1" applyBorder="1" applyAlignment="1">
      <alignment horizontal="left"/>
    </xf>
    <xf numFmtId="0" fontId="30" fillId="18" borderId="30" xfId="2" applyFont="1" applyFill="1" applyBorder="1" applyAlignment="1">
      <alignment horizontal="left"/>
    </xf>
    <xf numFmtId="1" fontId="27" fillId="18" borderId="9" xfId="3" applyNumberFormat="1" applyFont="1" applyFill="1" applyBorder="1" applyAlignment="1">
      <alignment wrapText="1"/>
    </xf>
    <xf numFmtId="6" fontId="28" fillId="9" borderId="33" xfId="3" applyNumberFormat="1" applyFont="1" applyFill="1" applyBorder="1" applyAlignment="1"/>
    <xf numFmtId="0" fontId="27" fillId="0" borderId="31" xfId="3" applyFont="1" applyFill="1" applyBorder="1" applyAlignment="1"/>
    <xf numFmtId="172" fontId="12" fillId="0" borderId="32" xfId="10" applyNumberFormat="1" applyFill="1" applyBorder="1"/>
    <xf numFmtId="0" fontId="27" fillId="0" borderId="28" xfId="3" applyFont="1" applyFill="1" applyBorder="1" applyAlignment="1"/>
    <xf numFmtId="172" fontId="12" fillId="0" borderId="33" xfId="10" applyNumberFormat="1" applyFill="1" applyBorder="1"/>
    <xf numFmtId="0" fontId="27" fillId="0" borderId="45" xfId="3" applyFont="1" applyFill="1" applyBorder="1" applyAlignment="1"/>
    <xf numFmtId="172" fontId="12" fillId="0" borderId="22" xfId="10" applyNumberFormat="1" applyFill="1" applyBorder="1"/>
    <xf numFmtId="0" fontId="8" fillId="0" borderId="0" xfId="3" applyFont="1"/>
    <xf numFmtId="0" fontId="50" fillId="0" borderId="0" xfId="0" applyFont="1"/>
    <xf numFmtId="0" fontId="51" fillId="0" borderId="0" xfId="3" applyFont="1"/>
    <xf numFmtId="38" fontId="52" fillId="0" borderId="0" xfId="0" applyNumberFormat="1" applyFont="1" applyAlignment="1">
      <alignment horizontal="center"/>
    </xf>
    <xf numFmtId="0" fontId="53" fillId="0" borderId="0" xfId="3" applyFont="1"/>
    <xf numFmtId="38" fontId="54" fillId="0" borderId="0" xfId="0" applyNumberFormat="1" applyFont="1" applyAlignment="1">
      <alignment horizontal="center"/>
    </xf>
    <xf numFmtId="38" fontId="54" fillId="0" borderId="0" xfId="0" applyNumberFormat="1" applyFont="1" applyFill="1" applyAlignment="1">
      <alignment horizontal="center"/>
    </xf>
    <xf numFmtId="165" fontId="54" fillId="0" borderId="0" xfId="0" applyNumberFormat="1" applyFont="1" applyFill="1" applyAlignment="1">
      <alignment horizontal="center"/>
    </xf>
    <xf numFmtId="0" fontId="16" fillId="0" borderId="0" xfId="0" applyFont="1"/>
    <xf numFmtId="0" fontId="52" fillId="0" borderId="0" xfId="0" applyFont="1"/>
    <xf numFmtId="0" fontId="54" fillId="0" borderId="0" xfId="0" applyFont="1"/>
    <xf numFmtId="167" fontId="28" fillId="0" borderId="0" xfId="7" applyNumberFormat="1" applyFont="1" applyFill="1"/>
    <xf numFmtId="167" fontId="27" fillId="0" borderId="0" xfId="7" applyNumberFormat="1" applyFont="1" applyFill="1"/>
    <xf numFmtId="0" fontId="26" fillId="0" borderId="0" xfId="3" applyFont="1" applyBorder="1"/>
    <xf numFmtId="1" fontId="28" fillId="0" borderId="0" xfId="3" applyNumberFormat="1" applyFont="1" applyBorder="1"/>
    <xf numFmtId="0" fontId="55" fillId="0" borderId="0" xfId="3" applyFont="1"/>
    <xf numFmtId="0" fontId="56" fillId="0" borderId="0" xfId="3" applyFont="1"/>
    <xf numFmtId="0" fontId="15" fillId="0" borderId="47" xfId="0" applyFont="1" applyBorder="1" applyAlignment="1">
      <alignment wrapText="1"/>
    </xf>
    <xf numFmtId="0" fontId="15" fillId="0" borderId="0" xfId="0" applyFont="1" applyBorder="1" applyAlignment="1">
      <alignment wrapText="1"/>
    </xf>
    <xf numFmtId="6" fontId="0" fillId="0" borderId="0" xfId="0" applyNumberFormat="1" applyFill="1" applyBorder="1"/>
    <xf numFmtId="0" fontId="27" fillId="9" borderId="30" xfId="3" applyFont="1" applyFill="1" applyBorder="1" applyAlignment="1">
      <alignment horizontal="center"/>
    </xf>
    <xf numFmtId="0" fontId="27" fillId="3" borderId="29" xfId="3" applyFont="1" applyFill="1" applyBorder="1" applyAlignment="1">
      <alignment horizontal="center"/>
    </xf>
    <xf numFmtId="6" fontId="27" fillId="4" borderId="29" xfId="3" applyNumberFormat="1" applyFont="1" applyFill="1" applyBorder="1" applyAlignment="1">
      <alignment horizontal="center"/>
    </xf>
    <xf numFmtId="6" fontId="28" fillId="9" borderId="30" xfId="3" applyNumberFormat="1" applyFont="1" applyFill="1" applyBorder="1"/>
    <xf numFmtId="0" fontId="13" fillId="0" borderId="0" xfId="3" applyFill="1" applyBorder="1" applyAlignment="1">
      <alignment horizontal="center"/>
    </xf>
    <xf numFmtId="6" fontId="14" fillId="0" borderId="0" xfId="0" applyNumberFormat="1" applyFont="1" applyFill="1"/>
    <xf numFmtId="3" fontId="0" fillId="0" borderId="0" xfId="0" applyNumberFormat="1"/>
    <xf numFmtId="0" fontId="0" fillId="0" borderId="48" xfId="0" applyBorder="1" applyAlignment="1">
      <alignment horizontal="right" wrapText="1"/>
    </xf>
    <xf numFmtId="1" fontId="27" fillId="12" borderId="48" xfId="3" applyNumberFormat="1" applyFont="1" applyFill="1" applyBorder="1" applyAlignment="1">
      <alignment wrapText="1"/>
    </xf>
    <xf numFmtId="165" fontId="0" fillId="10" borderId="0" xfId="0" applyNumberFormat="1" applyFill="1" applyAlignment="1">
      <alignment horizontal="center"/>
    </xf>
    <xf numFmtId="0" fontId="58" fillId="0" borderId="0" xfId="3" applyFont="1"/>
    <xf numFmtId="0" fontId="59" fillId="0" borderId="0" xfId="3" applyFont="1"/>
    <xf numFmtId="0" fontId="60" fillId="0" borderId="0" xfId="3" applyFont="1"/>
    <xf numFmtId="1" fontId="59" fillId="0" borderId="0" xfId="3" applyNumberFormat="1" applyFont="1"/>
    <xf numFmtId="0" fontId="61" fillId="0" borderId="0" xfId="3" applyFont="1"/>
    <xf numFmtId="0" fontId="62" fillId="0" borderId="0" xfId="3" applyFont="1"/>
    <xf numFmtId="0" fontId="63" fillId="0" borderId="0" xfId="3" applyFont="1"/>
    <xf numFmtId="6" fontId="59" fillId="0" borderId="0" xfId="3" applyNumberFormat="1" applyFont="1"/>
    <xf numFmtId="0" fontId="64" fillId="0" borderId="0" xfId="3" applyFont="1"/>
    <xf numFmtId="0" fontId="65" fillId="0" borderId="0" xfId="3" applyFont="1"/>
    <xf numFmtId="0" fontId="15" fillId="0" borderId="0" xfId="0" applyFont="1" applyBorder="1" applyAlignment="1"/>
    <xf numFmtId="0" fontId="59" fillId="0" borderId="0" xfId="3" applyFont="1" applyBorder="1"/>
    <xf numFmtId="0" fontId="58" fillId="0" borderId="46" xfId="3" applyFont="1" applyBorder="1" applyAlignment="1">
      <alignment wrapText="1"/>
    </xf>
    <xf numFmtId="0" fontId="42" fillId="0" borderId="47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58" fillId="0" borderId="49" xfId="3" applyFont="1" applyBorder="1" applyAlignment="1">
      <alignment wrapText="1"/>
    </xf>
    <xf numFmtId="0" fontId="15" fillId="0" borderId="50" xfId="0" applyFont="1" applyBorder="1" applyAlignment="1">
      <alignment wrapText="1"/>
    </xf>
    <xf numFmtId="6" fontId="15" fillId="0" borderId="50" xfId="0" applyNumberFormat="1" applyFont="1" applyFill="1" applyBorder="1" applyAlignment="1">
      <alignment horizontal="center"/>
    </xf>
    <xf numFmtId="6" fontId="15" fillId="0" borderId="50" xfId="0" applyNumberFormat="1" applyFont="1" applyBorder="1" applyAlignment="1">
      <alignment horizontal="center"/>
    </xf>
    <xf numFmtId="0" fontId="58" fillId="0" borderId="3" xfId="3" applyFont="1" applyFill="1" applyBorder="1" applyAlignment="1">
      <alignment wrapText="1"/>
    </xf>
    <xf numFmtId="0" fontId="15" fillId="0" borderId="0" xfId="0" applyFont="1" applyBorder="1"/>
    <xf numFmtId="6" fontId="15" fillId="0" borderId="0" xfId="0" applyNumberFormat="1" applyFont="1" applyBorder="1" applyAlignment="1">
      <alignment horizontal="center"/>
    </xf>
    <xf numFmtId="0" fontId="15" fillId="0" borderId="29" xfId="0" applyFont="1" applyBorder="1"/>
    <xf numFmtId="6" fontId="15" fillId="0" borderId="19" xfId="0" applyNumberFormat="1" applyFont="1" applyBorder="1" applyAlignment="1">
      <alignment horizontal="center"/>
    </xf>
    <xf numFmtId="0" fontId="58" fillId="0" borderId="3" xfId="3" applyFont="1" applyFill="1" applyBorder="1"/>
    <xf numFmtId="0" fontId="58" fillId="0" borderId="25" xfId="3" applyFont="1" applyFill="1" applyBorder="1"/>
    <xf numFmtId="6" fontId="15" fillId="0" borderId="29" xfId="0" applyNumberFormat="1" applyFont="1" applyBorder="1" applyAlignment="1">
      <alignment horizontal="center"/>
    </xf>
    <xf numFmtId="0" fontId="58" fillId="0" borderId="5" xfId="3" applyFont="1" applyFill="1" applyBorder="1"/>
    <xf numFmtId="0" fontId="15" fillId="0" borderId="6" xfId="0" applyFont="1" applyBorder="1"/>
    <xf numFmtId="6" fontId="15" fillId="0" borderId="6" xfId="0" applyNumberFormat="1" applyFont="1" applyFill="1" applyBorder="1" applyAlignment="1">
      <alignment horizontal="center"/>
    </xf>
    <xf numFmtId="6" fontId="15" fillId="0" borderId="6" xfId="0" applyNumberFormat="1" applyFont="1" applyBorder="1" applyAlignment="1">
      <alignment horizontal="center"/>
    </xf>
    <xf numFmtId="164" fontId="15" fillId="0" borderId="18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3" fontId="49" fillId="0" borderId="0" xfId="0" applyNumberFormat="1" applyFont="1" applyBorder="1" applyAlignment="1">
      <alignment vertical="center"/>
    </xf>
    <xf numFmtId="0" fontId="58" fillId="0" borderId="9" xfId="3" applyFont="1" applyBorder="1" applyAlignment="1">
      <alignment horizontal="center" vertical="center" wrapText="1"/>
    </xf>
    <xf numFmtId="0" fontId="15" fillId="0" borderId="0" xfId="0" applyFont="1"/>
    <xf numFmtId="0" fontId="15" fillId="0" borderId="30" xfId="0" applyFont="1" applyFill="1" applyBorder="1" applyAlignment="1">
      <alignment horizontal="center" vertical="center" wrapText="1"/>
    </xf>
    <xf numFmtId="6" fontId="15" fillId="0" borderId="30" xfId="0" applyNumberFormat="1" applyFont="1" applyFill="1" applyBorder="1" applyAlignment="1">
      <alignment horizontal="center" vertical="center"/>
    </xf>
    <xf numFmtId="4" fontId="15" fillId="0" borderId="3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0" fontId="43" fillId="4" borderId="0" xfId="0" applyFont="1" applyFill="1" applyBorder="1" applyAlignment="1"/>
    <xf numFmtId="0" fontId="0" fillId="4" borderId="0" xfId="0" applyFill="1" applyBorder="1" applyAlignment="1">
      <alignment wrapText="1"/>
    </xf>
    <xf numFmtId="0" fontId="57" fillId="4" borderId="3" xfId="0" applyFont="1" applyFill="1" applyBorder="1"/>
    <xf numFmtId="0" fontId="14" fillId="4" borderId="0" xfId="0" applyFont="1" applyFill="1" applyBorder="1" applyAlignment="1">
      <alignment wrapText="1"/>
    </xf>
    <xf numFmtId="0" fontId="68" fillId="4" borderId="3" xfId="33" applyFill="1" applyBorder="1"/>
    <xf numFmtId="0" fontId="0" fillId="4" borderId="6" xfId="0" applyFill="1" applyBorder="1" applyAlignment="1">
      <alignment wrapText="1"/>
    </xf>
    <xf numFmtId="0" fontId="26" fillId="0" borderId="9" xfId="3" applyFont="1" applyFill="1" applyBorder="1"/>
    <xf numFmtId="0" fontId="28" fillId="0" borderId="9" xfId="3" applyFont="1" applyFill="1" applyBorder="1"/>
    <xf numFmtId="6" fontId="28" fillId="0" borderId="9" xfId="3" applyNumberFormat="1" applyFont="1" applyFill="1" applyBorder="1"/>
    <xf numFmtId="0" fontId="29" fillId="0" borderId="9" xfId="3" applyFont="1" applyFill="1" applyBorder="1"/>
    <xf numFmtId="0" fontId="28" fillId="0" borderId="30" xfId="3" applyFont="1" applyFill="1" applyBorder="1"/>
    <xf numFmtId="166" fontId="26" fillId="0" borderId="30" xfId="3" applyNumberFormat="1" applyFont="1" applyFill="1" applyBorder="1"/>
    <xf numFmtId="6" fontId="28" fillId="0" borderId="30" xfId="3" applyNumberFormat="1" applyFont="1" applyFill="1" applyBorder="1"/>
    <xf numFmtId="0" fontId="26" fillId="0" borderId="0" xfId="3" applyFont="1" applyFill="1"/>
    <xf numFmtId="0" fontId="16" fillId="19" borderId="28" xfId="23" applyFont="1" applyFill="1" applyBorder="1" applyAlignment="1"/>
    <xf numFmtId="49" fontId="36" fillId="19" borderId="0" xfId="25" applyNumberFormat="1" applyFont="1" applyFill="1" applyBorder="1" applyAlignment="1"/>
    <xf numFmtId="0" fontId="40" fillId="19" borderId="0" xfId="23" applyFill="1">
      <alignment wrapText="1"/>
    </xf>
    <xf numFmtId="0" fontId="28" fillId="19" borderId="0" xfId="3" applyFont="1" applyFill="1"/>
    <xf numFmtId="14" fontId="14" fillId="19" borderId="0" xfId="0" applyNumberFormat="1" applyFont="1" applyFill="1" applyBorder="1" applyAlignment="1"/>
    <xf numFmtId="0" fontId="16" fillId="19" borderId="0" xfId="0" applyFont="1" applyFill="1" applyBorder="1" applyAlignment="1"/>
    <xf numFmtId="6" fontId="25" fillId="0" borderId="0" xfId="2" applyNumberFormat="1" applyFill="1" applyBorder="1"/>
    <xf numFmtId="0" fontId="29" fillId="11" borderId="9" xfId="3" applyFont="1" applyFill="1" applyBorder="1" applyAlignment="1">
      <alignment horizontal="left"/>
    </xf>
    <xf numFmtId="169" fontId="25" fillId="0" borderId="0" xfId="22" applyNumberFormat="1" applyFont="1" applyFill="1" applyBorder="1"/>
    <xf numFmtId="0" fontId="0" fillId="0" borderId="0" xfId="0" applyBorder="1" applyAlignment="1">
      <alignment horizontal="center"/>
    </xf>
    <xf numFmtId="169" fontId="25" fillId="0" borderId="0" xfId="22" applyNumberFormat="1" applyFont="1" applyFill="1" applyBorder="1" applyAlignment="1">
      <alignment horizontal="center"/>
    </xf>
    <xf numFmtId="0" fontId="27" fillId="8" borderId="30" xfId="3" applyFont="1" applyFill="1" applyBorder="1"/>
    <xf numFmtId="0" fontId="27" fillId="8" borderId="30" xfId="3" applyFont="1" applyFill="1" applyBorder="1" applyAlignment="1">
      <alignment horizontal="center"/>
    </xf>
    <xf numFmtId="0" fontId="28" fillId="8" borderId="30" xfId="3" applyFont="1" applyFill="1" applyBorder="1"/>
    <xf numFmtId="0" fontId="42" fillId="0" borderId="0" xfId="0" applyFont="1" applyBorder="1" applyAlignment="1">
      <alignment horizontal="center" vertical="center" wrapText="1"/>
    </xf>
    <xf numFmtId="6" fontId="15" fillId="0" borderId="0" xfId="0" applyNumberFormat="1" applyFont="1" applyFill="1" applyBorder="1" applyAlignment="1">
      <alignment vertical="center" wrapText="1"/>
    </xf>
    <xf numFmtId="165" fontId="42" fillId="0" borderId="0" xfId="0" applyNumberFormat="1" applyFont="1" applyFill="1" applyBorder="1" applyAlignment="1">
      <alignment vertical="center" wrapText="1"/>
    </xf>
    <xf numFmtId="170" fontId="16" fillId="19" borderId="30" xfId="0" applyNumberFormat="1" applyFont="1" applyFill="1" applyBorder="1" applyAlignment="1"/>
    <xf numFmtId="0" fontId="14" fillId="4" borderId="0" xfId="0" applyFont="1" applyFill="1" applyAlignment="1">
      <alignment horizontal="left" wrapText="1"/>
    </xf>
    <xf numFmtId="0" fontId="69" fillId="0" borderId="0" xfId="3" applyFont="1"/>
    <xf numFmtId="0" fontId="27" fillId="0" borderId="9" xfId="3" applyFont="1" applyBorder="1" applyAlignment="1">
      <alignment horizontal="center"/>
    </xf>
    <xf numFmtId="1" fontId="28" fillId="7" borderId="9" xfId="3" applyNumberFormat="1" applyFont="1" applyFill="1" applyBorder="1" applyAlignment="1">
      <alignment horizontal="center"/>
    </xf>
    <xf numFmtId="9" fontId="28" fillId="9" borderId="9" xfId="4" applyFont="1" applyFill="1" applyBorder="1" applyAlignment="1">
      <alignment horizontal="center"/>
    </xf>
    <xf numFmtId="38" fontId="14" fillId="0" borderId="0" xfId="0" applyNumberFormat="1" applyFont="1" applyFill="1" applyAlignment="1">
      <alignment horizontal="left"/>
    </xf>
    <xf numFmtId="6" fontId="70" fillId="0" borderId="0" xfId="3" applyNumberFormat="1" applyFont="1"/>
    <xf numFmtId="6" fontId="0" fillId="0" borderId="0" xfId="0" applyNumberFormat="1" applyFill="1" applyAlignment="1">
      <alignment horizontal="center"/>
    </xf>
    <xf numFmtId="6" fontId="13" fillId="0" borderId="0" xfId="3" applyNumberFormat="1" applyFill="1"/>
    <xf numFmtId="0" fontId="14" fillId="4" borderId="0" xfId="0" applyFont="1" applyFill="1" applyAlignment="1">
      <alignment horizontal="right" wrapText="1"/>
    </xf>
    <xf numFmtId="165" fontId="0" fillId="0" borderId="4" xfId="0" applyNumberFormat="1" applyFill="1" applyBorder="1"/>
    <xf numFmtId="0" fontId="16" fillId="0" borderId="32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7" fillId="7" borderId="30" xfId="3" applyFont="1" applyFill="1" applyBorder="1" applyAlignment="1">
      <alignment horizontal="center"/>
    </xf>
    <xf numFmtId="0" fontId="28" fillId="0" borderId="0" xfId="3" applyFont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59" fillId="0" borderId="0" xfId="3" applyFont="1" applyAlignment="1">
      <alignment horizontal="center"/>
    </xf>
    <xf numFmtId="3" fontId="28" fillId="0" borderId="9" xfId="3" applyNumberFormat="1" applyFont="1" applyBorder="1"/>
    <xf numFmtId="0" fontId="27" fillId="0" borderId="30" xfId="3" applyFont="1" applyBorder="1" applyAlignment="1">
      <alignment horizontal="center"/>
    </xf>
    <xf numFmtId="166" fontId="28" fillId="0" borderId="9" xfId="3" applyNumberFormat="1" applyFont="1" applyBorder="1"/>
    <xf numFmtId="166" fontId="27" fillId="0" borderId="9" xfId="3" applyNumberFormat="1" applyFont="1" applyBorder="1"/>
    <xf numFmtId="166" fontId="27" fillId="0" borderId="0" xfId="3" applyNumberFormat="1" applyFont="1"/>
    <xf numFmtId="166" fontId="28" fillId="0" borderId="0" xfId="4" applyNumberFormat="1" applyFont="1"/>
    <xf numFmtId="166" fontId="28" fillId="0" borderId="30" xfId="3" applyNumberFormat="1" applyFont="1" applyBorder="1"/>
    <xf numFmtId="166" fontId="16" fillId="19" borderId="16" xfId="0" quotePrefix="1" applyNumberFormat="1" applyFont="1" applyFill="1" applyBorder="1" applyAlignment="1">
      <alignment wrapText="1"/>
    </xf>
    <xf numFmtId="166" fontId="15" fillId="0" borderId="0" xfId="0" applyNumberFormat="1" applyFont="1" applyAlignment="1"/>
    <xf numFmtId="166" fontId="0" fillId="0" borderId="0" xfId="0" applyNumberFormat="1" applyAlignment="1">
      <alignment wrapText="1"/>
    </xf>
    <xf numFmtId="166" fontId="59" fillId="0" borderId="0" xfId="3" applyNumberFormat="1" applyFont="1"/>
    <xf numFmtId="3" fontId="28" fillId="9" borderId="9" xfId="3" applyNumberFormat="1" applyFont="1" applyFill="1" applyBorder="1"/>
    <xf numFmtId="0" fontId="27" fillId="8" borderId="9" xfId="3" applyFont="1" applyFill="1" applyBorder="1" applyAlignment="1">
      <alignment horizontal="center"/>
    </xf>
    <xf numFmtId="0" fontId="28" fillId="0" borderId="0" xfId="3" applyFont="1" applyFill="1" applyBorder="1"/>
    <xf numFmtId="0" fontId="27" fillId="0" borderId="0" xfId="3" applyFont="1" applyFill="1" applyBorder="1" applyAlignment="1">
      <alignment horizontal="center"/>
    </xf>
    <xf numFmtId="0" fontId="28" fillId="19" borderId="30" xfId="3" applyFont="1" applyFill="1" applyBorder="1"/>
    <xf numFmtId="0" fontId="16" fillId="19" borderId="30" xfId="23" applyFont="1" applyFill="1" applyBorder="1" applyAlignment="1"/>
    <xf numFmtId="0" fontId="27" fillId="19" borderId="28" xfId="3" applyFont="1" applyFill="1" applyBorder="1"/>
    <xf numFmtId="0" fontId="25" fillId="19" borderId="30" xfId="2" applyNumberFormat="1" applyFill="1" applyBorder="1" applyAlignment="1"/>
    <xf numFmtId="0" fontId="40" fillId="19" borderId="30" xfId="23" applyFill="1" applyBorder="1" applyAlignment="1"/>
    <xf numFmtId="49" fontId="35" fillId="19" borderId="30" xfId="25" applyNumberFormat="1" applyFont="1" applyFill="1" applyBorder="1"/>
    <xf numFmtId="0" fontId="25" fillId="19" borderId="30" xfId="2" applyFill="1" applyBorder="1"/>
    <xf numFmtId="166" fontId="27" fillId="0" borderId="30" xfId="3" applyNumberFormat="1" applyFont="1" applyBorder="1"/>
    <xf numFmtId="2" fontId="26" fillId="11" borderId="9" xfId="3" quotePrefix="1" applyNumberFormat="1" applyFont="1" applyFill="1" applyBorder="1" applyAlignment="1">
      <alignment horizontal="center"/>
    </xf>
    <xf numFmtId="2" fontId="26" fillId="11" borderId="30" xfId="3" quotePrefix="1" applyNumberFormat="1" applyFont="1" applyFill="1" applyBorder="1" applyAlignment="1">
      <alignment horizontal="center"/>
    </xf>
    <xf numFmtId="166" fontId="27" fillId="0" borderId="30" xfId="3" applyNumberFormat="1" applyFont="1" applyBorder="1" applyAlignment="1">
      <alignment horizontal="center"/>
    </xf>
    <xf numFmtId="0" fontId="14" fillId="4" borderId="0" xfId="0" applyFont="1" applyFill="1" applyAlignment="1">
      <alignment horizontal="left"/>
    </xf>
    <xf numFmtId="0" fontId="23" fillId="0" borderId="28" xfId="10" applyFont="1" applyFill="1" applyBorder="1"/>
    <xf numFmtId="0" fontId="30" fillId="0" borderId="29" xfId="2" applyFont="1" applyFill="1" applyBorder="1" applyAlignment="1">
      <alignment horizontal="left"/>
    </xf>
    <xf numFmtId="0" fontId="30" fillId="0" borderId="33" xfId="2" applyFont="1" applyFill="1" applyBorder="1" applyAlignment="1">
      <alignment horizontal="left"/>
    </xf>
    <xf numFmtId="0" fontId="30" fillId="0" borderId="0" xfId="2" applyFont="1" applyFill="1" applyBorder="1" applyAlignment="1">
      <alignment horizontal="left"/>
    </xf>
    <xf numFmtId="1" fontId="27" fillId="0" borderId="0" xfId="3" applyNumberFormat="1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0" fontId="27" fillId="0" borderId="33" xfId="3" applyFont="1" applyBorder="1"/>
    <xf numFmtId="0" fontId="28" fillId="0" borderId="48" xfId="3" applyFont="1" applyBorder="1"/>
    <xf numFmtId="1" fontId="28" fillId="0" borderId="48" xfId="3" applyNumberFormat="1" applyFont="1" applyBorder="1"/>
    <xf numFmtId="1" fontId="27" fillId="0" borderId="9" xfId="3" applyNumberFormat="1" applyFont="1" applyFill="1" applyBorder="1" applyAlignment="1">
      <alignment wrapText="1"/>
    </xf>
    <xf numFmtId="172" fontId="12" fillId="0" borderId="9" xfId="10" applyNumberFormat="1" applyFill="1" applyBorder="1"/>
    <xf numFmtId="6" fontId="27" fillId="20" borderId="13" xfId="3" applyNumberFormat="1" applyFont="1" applyFill="1" applyBorder="1" applyAlignment="1">
      <alignment horizontal="center"/>
    </xf>
    <xf numFmtId="6" fontId="27" fillId="20" borderId="11" xfId="3" applyNumberFormat="1" applyFont="1" applyFill="1" applyBorder="1" applyAlignment="1">
      <alignment horizontal="center"/>
    </xf>
    <xf numFmtId="6" fontId="27" fillId="20" borderId="29" xfId="3" applyNumberFormat="1" applyFont="1" applyFill="1" applyBorder="1" applyAlignment="1">
      <alignment horizontal="center"/>
    </xf>
    <xf numFmtId="6" fontId="27" fillId="20" borderId="12" xfId="3" applyNumberFormat="1" applyFont="1" applyFill="1" applyBorder="1" applyAlignment="1">
      <alignment horizontal="center"/>
    </xf>
    <xf numFmtId="0" fontId="27" fillId="20" borderId="9" xfId="5" applyNumberFormat="1" applyFont="1" applyFill="1" applyBorder="1"/>
    <xf numFmtId="0" fontId="27" fillId="20" borderId="9" xfId="3" applyFont="1" applyFill="1" applyBorder="1"/>
    <xf numFmtId="6" fontId="28" fillId="20" borderId="9" xfId="3" applyNumberFormat="1" applyFont="1" applyFill="1" applyBorder="1"/>
    <xf numFmtId="6" fontId="27" fillId="17" borderId="13" xfId="3" applyNumberFormat="1" applyFont="1" applyFill="1" applyBorder="1" applyAlignment="1">
      <alignment horizontal="center"/>
    </xf>
    <xf numFmtId="6" fontId="27" fillId="17" borderId="11" xfId="3" applyNumberFormat="1" applyFont="1" applyFill="1" applyBorder="1" applyAlignment="1">
      <alignment horizontal="center"/>
    </xf>
    <xf numFmtId="6" fontId="27" fillId="17" borderId="29" xfId="3" applyNumberFormat="1" applyFont="1" applyFill="1" applyBorder="1" applyAlignment="1">
      <alignment horizontal="center"/>
    </xf>
    <xf numFmtId="6" fontId="27" fillId="17" borderId="12" xfId="3" applyNumberFormat="1" applyFont="1" applyFill="1" applyBorder="1" applyAlignment="1">
      <alignment horizontal="center"/>
    </xf>
    <xf numFmtId="0" fontId="27" fillId="17" borderId="9" xfId="5" applyNumberFormat="1" applyFont="1" applyFill="1" applyBorder="1"/>
    <xf numFmtId="0" fontId="27" fillId="17" borderId="9" xfId="3" applyFont="1" applyFill="1" applyBorder="1"/>
    <xf numFmtId="6" fontId="28" fillId="17" borderId="9" xfId="3" applyNumberFormat="1" applyFont="1" applyFill="1" applyBorder="1"/>
    <xf numFmtId="177" fontId="0" fillId="0" borderId="0" xfId="0" applyNumberFormat="1" applyFill="1" applyAlignment="1">
      <alignment horizontal="center"/>
    </xf>
    <xf numFmtId="0" fontId="28" fillId="19" borderId="31" xfId="3" applyFont="1" applyFill="1" applyBorder="1"/>
    <xf numFmtId="0" fontId="14" fillId="19" borderId="32" xfId="0" applyFont="1" applyFill="1" applyBorder="1" applyAlignment="1"/>
    <xf numFmtId="0" fontId="28" fillId="19" borderId="22" xfId="3" applyFont="1" applyFill="1" applyBorder="1"/>
    <xf numFmtId="1" fontId="28" fillId="19" borderId="30" xfId="3" applyNumberFormat="1" applyFont="1" applyFill="1" applyBorder="1"/>
    <xf numFmtId="1" fontId="28" fillId="0" borderId="9" xfId="3" applyNumberFormat="1" applyFont="1" applyFill="1" applyBorder="1"/>
    <xf numFmtId="0" fontId="66" fillId="0" borderId="0" xfId="3" applyFont="1" applyBorder="1"/>
    <xf numFmtId="0" fontId="15" fillId="0" borderId="0" xfId="0" applyFont="1" applyBorder="1" applyAlignment="1">
      <alignment vertical="center" wrapText="1"/>
    </xf>
    <xf numFmtId="8" fontId="15" fillId="0" borderId="0" xfId="0" applyNumberFormat="1" applyFont="1" applyFill="1" applyBorder="1" applyAlignment="1">
      <alignment vertical="center" wrapText="1"/>
    </xf>
    <xf numFmtId="0" fontId="42" fillId="0" borderId="0" xfId="0" applyFont="1" applyBorder="1" applyAlignment="1">
      <alignment vertical="center" wrapText="1"/>
    </xf>
    <xf numFmtId="0" fontId="28" fillId="0" borderId="0" xfId="3" applyFont="1" applyAlignment="1">
      <alignment horizontal="left"/>
    </xf>
    <xf numFmtId="0" fontId="70" fillId="0" borderId="0" xfId="3" applyFont="1" applyAlignment="1">
      <alignment horizontal="center"/>
    </xf>
    <xf numFmtId="1" fontId="27" fillId="19" borderId="32" xfId="3" applyNumberFormat="1" applyFont="1" applyFill="1" applyBorder="1" applyAlignment="1">
      <alignment wrapText="1"/>
    </xf>
    <xf numFmtId="178" fontId="28" fillId="19" borderId="26" xfId="3" applyNumberFormat="1" applyFont="1" applyFill="1" applyBorder="1" applyAlignment="1">
      <alignment horizontal="center"/>
    </xf>
    <xf numFmtId="0" fontId="58" fillId="0" borderId="0" xfId="3" applyFont="1" applyBorder="1" applyAlignment="1">
      <alignment wrapText="1"/>
    </xf>
    <xf numFmtId="6" fontId="15" fillId="0" borderId="0" xfId="0" applyNumberFormat="1" applyFont="1" applyBorder="1" applyAlignment="1">
      <alignment vertical="center" wrapText="1"/>
    </xf>
    <xf numFmtId="0" fontId="60" fillId="0" borderId="0" xfId="3" applyFont="1" applyBorder="1"/>
    <xf numFmtId="165" fontId="42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72" fillId="0" borderId="3" xfId="3" applyFont="1" applyBorder="1" applyAlignment="1">
      <alignment vertical="center"/>
    </xf>
    <xf numFmtId="1" fontId="21" fillId="17" borderId="0" xfId="3" applyNumberFormat="1" applyFont="1" applyFill="1" applyBorder="1" applyAlignment="1">
      <alignment horizontal="center"/>
    </xf>
    <xf numFmtId="0" fontId="21" fillId="17" borderId="0" xfId="3" applyFont="1" applyFill="1" applyBorder="1" applyAlignment="1">
      <alignment horizontal="center" shrinkToFit="1"/>
    </xf>
    <xf numFmtId="0" fontId="72" fillId="17" borderId="0" xfId="3" applyFont="1" applyFill="1" applyBorder="1" applyAlignment="1">
      <alignment horizontal="center" vertical="center"/>
    </xf>
    <xf numFmtId="166" fontId="15" fillId="0" borderId="0" xfId="0" applyNumberFormat="1" applyFont="1" applyBorder="1" applyAlignment="1">
      <alignment wrapText="1"/>
    </xf>
    <xf numFmtId="6" fontId="42" fillId="0" borderId="0" xfId="0" applyNumberFormat="1" applyFont="1" applyBorder="1" applyAlignment="1">
      <alignment vertical="center" wrapText="1"/>
    </xf>
    <xf numFmtId="0" fontId="66" fillId="0" borderId="0" xfId="3" applyFont="1" applyBorder="1" applyAlignment="1">
      <alignment horizontal="center"/>
    </xf>
    <xf numFmtId="0" fontId="58" fillId="0" borderId="0" xfId="3" applyFont="1" applyFill="1" applyBorder="1" applyAlignment="1">
      <alignment wrapText="1"/>
    </xf>
    <xf numFmtId="3" fontId="67" fillId="0" borderId="0" xfId="22" applyNumberFormat="1" applyFont="1" applyFill="1" applyBorder="1"/>
    <xf numFmtId="0" fontId="58" fillId="0" borderId="0" xfId="3" applyFont="1" applyFill="1" applyBorder="1"/>
    <xf numFmtId="1" fontId="58" fillId="0" borderId="0" xfId="3" applyNumberFormat="1" applyFont="1" applyFill="1" applyBorder="1" applyAlignment="1">
      <alignment wrapText="1"/>
    </xf>
    <xf numFmtId="49" fontId="28" fillId="0" borderId="0" xfId="0" applyNumberFormat="1" applyFont="1" applyBorder="1" applyAlignment="1">
      <alignment horizontal="right"/>
    </xf>
    <xf numFmtId="166" fontId="28" fillId="0" borderId="0" xfId="0" applyNumberFormat="1" applyFont="1" applyFill="1" applyBorder="1" applyAlignment="1">
      <alignment wrapText="1"/>
    </xf>
    <xf numFmtId="0" fontId="28" fillId="0" borderId="0" xfId="0" applyFont="1" applyBorder="1" applyAlignment="1">
      <alignment wrapText="1"/>
    </xf>
    <xf numFmtId="3" fontId="28" fillId="0" borderId="0" xfId="0" applyNumberFormat="1" applyFont="1" applyBorder="1" applyAlignment="1">
      <alignment wrapText="1"/>
    </xf>
    <xf numFmtId="166" fontId="28" fillId="0" borderId="0" xfId="0" applyNumberFormat="1" applyFont="1" applyBorder="1" applyAlignment="1">
      <alignment wrapText="1"/>
    </xf>
    <xf numFmtId="0" fontId="28" fillId="0" borderId="0" xfId="0" applyFont="1" applyBorder="1" applyAlignment="1">
      <alignment vertical="center" wrapText="1"/>
    </xf>
    <xf numFmtId="172" fontId="12" fillId="18" borderId="9" xfId="10" applyNumberFormat="1" applyFill="1" applyBorder="1"/>
    <xf numFmtId="0" fontId="28" fillId="19" borderId="0" xfId="3" applyFont="1" applyFill="1" applyAlignment="1">
      <alignment horizontal="center"/>
    </xf>
    <xf numFmtId="3" fontId="0" fillId="0" borderId="0" xfId="0" applyNumberFormat="1" applyBorder="1"/>
    <xf numFmtId="6" fontId="27" fillId="19" borderId="0" xfId="3" applyNumberFormat="1" applyFont="1" applyFill="1"/>
    <xf numFmtId="169" fontId="25" fillId="0" borderId="0" xfId="22" applyNumberFormat="1" applyFont="1" applyFill="1" applyBorder="1" applyAlignment="1">
      <alignment horizontal="left"/>
    </xf>
    <xf numFmtId="0" fontId="27" fillId="19" borderId="0" xfId="3" applyFont="1" applyFill="1" applyAlignment="1">
      <alignment horizontal="center"/>
    </xf>
    <xf numFmtId="0" fontId="27" fillId="19" borderId="0" xfId="3" applyFont="1" applyFill="1"/>
    <xf numFmtId="179" fontId="27" fillId="19" borderId="0" xfId="2" applyNumberFormat="1" applyFont="1" applyFill="1" applyBorder="1" applyAlignment="1">
      <alignment horizontal="left"/>
    </xf>
    <xf numFmtId="0" fontId="28" fillId="19" borderId="0" xfId="2" applyFont="1" applyFill="1" applyBorder="1" applyAlignment="1">
      <alignment horizontal="left"/>
    </xf>
    <xf numFmtId="0" fontId="30" fillId="19" borderId="0" xfId="2" applyFont="1" applyFill="1" applyBorder="1" applyAlignment="1">
      <alignment horizontal="left"/>
    </xf>
    <xf numFmtId="1" fontId="27" fillId="19" borderId="0" xfId="3" applyNumberFormat="1" applyFont="1" applyFill="1" applyBorder="1" applyAlignment="1">
      <alignment wrapText="1"/>
    </xf>
    <xf numFmtId="1" fontId="28" fillId="19" borderId="0" xfId="3" applyNumberFormat="1" applyFont="1" applyFill="1" applyBorder="1" applyAlignment="1">
      <alignment horizontal="left" wrapText="1"/>
    </xf>
    <xf numFmtId="0" fontId="28" fillId="19" borderId="26" xfId="3" applyFont="1" applyFill="1" applyBorder="1"/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6" fontId="28" fillId="0" borderId="0" xfId="0" applyNumberFormat="1" applyFont="1" applyFill="1" applyBorder="1" applyAlignment="1">
      <alignment vertical="center" wrapText="1"/>
    </xf>
    <xf numFmtId="165" fontId="27" fillId="0" borderId="0" xfId="0" applyNumberFormat="1" applyFont="1" applyFill="1" applyBorder="1" applyAlignment="1">
      <alignment vertical="center" wrapText="1"/>
    </xf>
    <xf numFmtId="0" fontId="49" fillId="0" borderId="0" xfId="3" applyFont="1" applyFill="1" applyBorder="1" applyAlignment="1">
      <alignment horizontal="left"/>
    </xf>
    <xf numFmtId="0" fontId="14" fillId="21" borderId="0" xfId="0" applyFont="1" applyFill="1"/>
    <xf numFmtId="0" fontId="6" fillId="21" borderId="0" xfId="3" applyFont="1" applyFill="1"/>
    <xf numFmtId="0" fontId="13" fillId="21" borderId="0" xfId="3" applyFill="1"/>
    <xf numFmtId="0" fontId="27" fillId="7" borderId="9" xfId="3" applyFont="1" applyFill="1" applyBorder="1" applyAlignment="1">
      <alignment horizontal="center"/>
    </xf>
    <xf numFmtId="0" fontId="27" fillId="8" borderId="9" xfId="3" applyFont="1" applyFill="1" applyBorder="1" applyAlignment="1">
      <alignment horizontal="center"/>
    </xf>
    <xf numFmtId="0" fontId="27" fillId="8" borderId="29" xfId="3" applyFont="1" applyFill="1" applyBorder="1" applyAlignment="1">
      <alignment horizontal="center"/>
    </xf>
    <xf numFmtId="0" fontId="27" fillId="8" borderId="33" xfId="3" applyFont="1" applyFill="1" applyBorder="1" applyAlignment="1">
      <alignment horizontal="center"/>
    </xf>
    <xf numFmtId="166" fontId="28" fillId="0" borderId="0" xfId="3" applyNumberFormat="1" applyFont="1" applyBorder="1"/>
    <xf numFmtId="43" fontId="28" fillId="0" borderId="0" xfId="3" applyNumberFormat="1" applyFont="1" applyFill="1" applyBorder="1"/>
    <xf numFmtId="1" fontId="25" fillId="0" borderId="0" xfId="22" applyNumberFormat="1" applyFont="1" applyFill="1" applyBorder="1"/>
    <xf numFmtId="1" fontId="28" fillId="0" borderId="0" xfId="3" applyNumberFormat="1" applyFont="1" applyFill="1" applyBorder="1"/>
    <xf numFmtId="0" fontId="49" fillId="0" borderId="30" xfId="3" applyFont="1" applyFill="1" applyBorder="1" applyAlignment="1">
      <alignment wrapText="1"/>
    </xf>
    <xf numFmtId="166" fontId="49" fillId="0" borderId="30" xfId="3" applyNumberFormat="1" applyFont="1" applyFill="1" applyBorder="1" applyAlignment="1">
      <alignment horizontal="center" wrapText="1"/>
    </xf>
    <xf numFmtId="166" fontId="49" fillId="0" borderId="30" xfId="3" applyNumberFormat="1" applyFont="1" applyFill="1" applyBorder="1" applyAlignment="1">
      <alignment horizontal="center"/>
    </xf>
    <xf numFmtId="2" fontId="75" fillId="11" borderId="30" xfId="3" applyNumberFormat="1" applyFont="1" applyFill="1" applyBorder="1"/>
    <xf numFmtId="0" fontId="49" fillId="0" borderId="30" xfId="3" applyFont="1" applyFill="1" applyBorder="1"/>
    <xf numFmtId="0" fontId="16" fillId="0" borderId="31" xfId="0" applyFont="1" applyFill="1" applyBorder="1" applyAlignment="1">
      <alignment vertical="center"/>
    </xf>
    <xf numFmtId="0" fontId="0" fillId="0" borderId="44" xfId="0" applyFill="1" applyBorder="1" applyAlignment="1">
      <alignment wrapText="1"/>
    </xf>
    <xf numFmtId="0" fontId="0" fillId="0" borderId="32" xfId="0" applyFill="1" applyBorder="1" applyAlignment="1">
      <alignment wrapText="1"/>
    </xf>
    <xf numFmtId="9" fontId="14" fillId="0" borderId="34" xfId="26" applyFont="1" applyFill="1" applyBorder="1">
      <alignment wrapText="1"/>
    </xf>
    <xf numFmtId="0" fontId="0" fillId="0" borderId="23" xfId="0" applyFill="1" applyBorder="1" applyAlignment="1">
      <alignment wrapText="1"/>
    </xf>
    <xf numFmtId="9" fontId="14" fillId="0" borderId="10" xfId="26" applyFont="1" applyFill="1" applyBorder="1">
      <alignment wrapText="1"/>
    </xf>
    <xf numFmtId="0" fontId="16" fillId="0" borderId="26" xfId="0" applyFont="1" applyFill="1" applyBorder="1" applyAlignment="1">
      <alignment vertical="center"/>
    </xf>
    <xf numFmtId="0" fontId="14" fillId="0" borderId="23" xfId="0" applyFont="1" applyFill="1" applyBorder="1" applyAlignment="1">
      <alignment wrapText="1"/>
    </xf>
    <xf numFmtId="0" fontId="16" fillId="0" borderId="45" xfId="0" applyFont="1" applyFill="1" applyBorder="1" applyAlignment="1">
      <alignment vertical="center"/>
    </xf>
    <xf numFmtId="0" fontId="0" fillId="0" borderId="20" xfId="0" applyFill="1" applyBorder="1" applyAlignment="1">
      <alignment wrapText="1"/>
    </xf>
    <xf numFmtId="0" fontId="0" fillId="0" borderId="22" xfId="0" applyFill="1" applyBorder="1" applyAlignment="1">
      <alignment wrapText="1"/>
    </xf>
    <xf numFmtId="9" fontId="14" fillId="0" borderId="48" xfId="26" applyFont="1" applyFill="1" applyBorder="1">
      <alignment wrapText="1"/>
    </xf>
    <xf numFmtId="0" fontId="16" fillId="0" borderId="21" xfId="0" applyFont="1" applyFill="1" applyBorder="1" applyAlignment="1">
      <alignment vertical="center"/>
    </xf>
    <xf numFmtId="9" fontId="14" fillId="0" borderId="17" xfId="26" applyFont="1" applyFill="1" applyBorder="1">
      <alignment wrapText="1"/>
    </xf>
    <xf numFmtId="1" fontId="26" fillId="8" borderId="30" xfId="3" applyNumberFormat="1" applyFont="1" applyFill="1" applyBorder="1"/>
    <xf numFmtId="0" fontId="26" fillId="8" borderId="30" xfId="3" applyFont="1" applyFill="1" applyBorder="1"/>
    <xf numFmtId="0" fontId="27" fillId="0" borderId="0" xfId="3" applyFont="1" applyAlignment="1">
      <alignment wrapText="1"/>
    </xf>
    <xf numFmtId="0" fontId="27" fillId="8" borderId="33" xfId="3" applyFont="1" applyFill="1" applyBorder="1"/>
    <xf numFmtId="1" fontId="28" fillId="19" borderId="30" xfId="3" applyNumberFormat="1" applyFont="1" applyFill="1" applyBorder="1" applyAlignment="1">
      <alignment horizontal="center"/>
    </xf>
    <xf numFmtId="0" fontId="28" fillId="19" borderId="30" xfId="3" applyFont="1" applyFill="1" applyBorder="1" applyAlignment="1">
      <alignment horizontal="center"/>
    </xf>
    <xf numFmtId="9" fontId="77" fillId="11" borderId="33" xfId="0" applyNumberFormat="1" applyFont="1" applyFill="1" applyBorder="1" applyAlignment="1">
      <alignment wrapText="1"/>
    </xf>
    <xf numFmtId="166" fontId="26" fillId="11" borderId="30" xfId="2" applyNumberFormat="1" applyFont="1" applyFill="1" applyBorder="1"/>
    <xf numFmtId="8" fontId="25" fillId="19" borderId="30" xfId="2" applyNumberFormat="1" applyFill="1" applyBorder="1"/>
    <xf numFmtId="9" fontId="26" fillId="11" borderId="30" xfId="2" applyNumberFormat="1" applyFont="1" applyFill="1" applyBorder="1"/>
    <xf numFmtId="170" fontId="74" fillId="19" borderId="30" xfId="3" applyNumberFormat="1" applyFont="1" applyFill="1" applyBorder="1"/>
    <xf numFmtId="1" fontId="27" fillId="19" borderId="31" xfId="3" applyNumberFormat="1" applyFont="1" applyFill="1" applyBorder="1" applyAlignment="1">
      <alignment horizontal="center" vertical="distributed" wrapText="1"/>
    </xf>
    <xf numFmtId="10" fontId="16" fillId="19" borderId="36" xfId="26" applyNumberFormat="1" applyFont="1" applyFill="1" applyBorder="1" applyAlignment="1">
      <alignment vertical="center" wrapText="1"/>
    </xf>
    <xf numFmtId="171" fontId="28" fillId="9" borderId="9" xfId="4" applyNumberFormat="1" applyFont="1" applyFill="1" applyBorder="1"/>
    <xf numFmtId="0" fontId="28" fillId="8" borderId="0" xfId="3" applyFont="1" applyFill="1"/>
    <xf numFmtId="0" fontId="14" fillId="19" borderId="30" xfId="0" applyFont="1" applyFill="1" applyBorder="1" applyAlignment="1">
      <alignment horizontal="left" vertical="center"/>
    </xf>
    <xf numFmtId="6" fontId="27" fillId="4" borderId="29" xfId="3" applyNumberFormat="1" applyFont="1" applyFill="1" applyBorder="1" applyAlignment="1">
      <alignment horizontal="left"/>
    </xf>
    <xf numFmtId="6" fontId="27" fillId="4" borderId="12" xfId="3" applyNumberFormat="1" applyFont="1" applyFill="1" applyBorder="1" applyAlignment="1">
      <alignment horizontal="left"/>
    </xf>
    <xf numFmtId="0" fontId="27" fillId="3" borderId="13" xfId="3" applyFont="1" applyFill="1" applyBorder="1" applyAlignment="1">
      <alignment horizontal="left"/>
    </xf>
    <xf numFmtId="0" fontId="27" fillId="3" borderId="11" xfId="3" applyFont="1" applyFill="1" applyBorder="1" applyAlignment="1">
      <alignment horizontal="left"/>
    </xf>
    <xf numFmtId="0" fontId="27" fillId="3" borderId="29" xfId="3" applyFont="1" applyFill="1" applyBorder="1" applyAlignment="1">
      <alignment horizontal="left"/>
    </xf>
    <xf numFmtId="0" fontId="27" fillId="9" borderId="9" xfId="3" applyFont="1" applyFill="1" applyBorder="1" applyAlignment="1">
      <alignment horizontal="left"/>
    </xf>
    <xf numFmtId="0" fontId="27" fillId="9" borderId="30" xfId="3" applyFont="1" applyFill="1" applyBorder="1" applyAlignment="1">
      <alignment horizontal="left"/>
    </xf>
    <xf numFmtId="0" fontId="27" fillId="9" borderId="30" xfId="3" applyFont="1" applyFill="1" applyBorder="1"/>
    <xf numFmtId="1" fontId="28" fillId="8" borderId="9" xfId="3" applyNumberFormat="1" applyFont="1" applyFill="1" applyBorder="1"/>
    <xf numFmtId="173" fontId="28" fillId="9" borderId="30" xfId="3" applyNumberFormat="1" applyFont="1" applyFill="1" applyBorder="1"/>
    <xf numFmtId="0" fontId="73" fillId="0" borderId="0" xfId="3" applyFont="1"/>
    <xf numFmtId="1" fontId="28" fillId="8" borderId="9" xfId="3" applyNumberFormat="1" applyFont="1" applyFill="1" applyBorder="1" applyAlignment="1">
      <alignment horizontal="center"/>
    </xf>
    <xf numFmtId="0" fontId="27" fillId="3" borderId="30" xfId="3" applyFont="1" applyFill="1" applyBorder="1" applyAlignment="1">
      <alignment horizontal="left"/>
    </xf>
    <xf numFmtId="0" fontId="27" fillId="3" borderId="9" xfId="3" applyFont="1" applyFill="1" applyBorder="1" applyAlignment="1">
      <alignment horizontal="left"/>
    </xf>
    <xf numFmtId="169" fontId="25" fillId="9" borderId="14" xfId="22" applyNumberFormat="1" applyFont="1" applyFill="1" applyBorder="1"/>
    <xf numFmtId="0" fontId="5" fillId="0" borderId="0" xfId="3" applyFont="1" applyFill="1"/>
    <xf numFmtId="2" fontId="28" fillId="9" borderId="9" xfId="3" quotePrefix="1" applyNumberFormat="1" applyFont="1" applyFill="1" applyBorder="1" applyAlignment="1">
      <alignment horizontal="center"/>
    </xf>
    <xf numFmtId="2" fontId="28" fillId="9" borderId="30" xfId="3" quotePrefix="1" applyNumberFormat="1" applyFont="1" applyFill="1" applyBorder="1" applyAlignment="1">
      <alignment horizontal="center"/>
    </xf>
    <xf numFmtId="0" fontId="27" fillId="8" borderId="28" xfId="3" applyFont="1" applyFill="1" applyBorder="1" applyAlignment="1">
      <alignment horizontal="center"/>
    </xf>
    <xf numFmtId="0" fontId="27" fillId="8" borderId="29" xfId="3" applyFont="1" applyFill="1" applyBorder="1" applyAlignment="1">
      <alignment horizontal="center"/>
    </xf>
    <xf numFmtId="0" fontId="29" fillId="11" borderId="9" xfId="3" applyFont="1" applyFill="1" applyBorder="1"/>
    <xf numFmtId="9" fontId="27" fillId="19" borderId="30" xfId="8" applyFont="1" applyFill="1" applyBorder="1" applyAlignment="1">
      <alignment wrapText="1"/>
    </xf>
    <xf numFmtId="9" fontId="27" fillId="19" borderId="30" xfId="8" applyFont="1" applyFill="1" applyBorder="1"/>
    <xf numFmtId="0" fontId="27" fillId="19" borderId="9" xfId="2" applyFont="1" applyFill="1" applyBorder="1" applyAlignment="1" applyProtection="1">
      <alignment horizontal="left"/>
      <protection locked="0"/>
    </xf>
    <xf numFmtId="0" fontId="16" fillId="0" borderId="0" xfId="0" applyFont="1" applyAlignment="1"/>
    <xf numFmtId="0" fontId="0" fillId="0" borderId="0" xfId="0" applyAlignment="1"/>
    <xf numFmtId="175" fontId="78" fillId="19" borderId="37" xfId="0" applyNumberFormat="1" applyFont="1" applyFill="1" applyBorder="1" applyAlignment="1">
      <alignment horizontal="left" vertical="center" wrapText="1" indent="1"/>
    </xf>
    <xf numFmtId="169" fontId="25" fillId="9" borderId="53" xfId="22" applyNumberFormat="1" applyFont="1" applyFill="1" applyBorder="1"/>
    <xf numFmtId="169" fontId="25" fillId="9" borderId="38" xfId="22" applyNumberFormat="1" applyFont="1" applyFill="1" applyBorder="1"/>
    <xf numFmtId="169" fontId="25" fillId="9" borderId="54" xfId="22" applyNumberFormat="1" applyFont="1" applyFill="1" applyBorder="1"/>
    <xf numFmtId="169" fontId="25" fillId="9" borderId="39" xfId="22" applyNumberFormat="1" applyFont="1" applyFill="1" applyBorder="1"/>
    <xf numFmtId="169" fontId="25" fillId="9" borderId="55" xfId="22" applyNumberFormat="1" applyFont="1" applyFill="1" applyBorder="1"/>
    <xf numFmtId="176" fontId="25" fillId="0" borderId="0" xfId="22" applyNumberFormat="1" applyFont="1" applyFill="1" applyBorder="1" applyAlignment="1">
      <alignment horizontal="center"/>
    </xf>
    <xf numFmtId="176" fontId="28" fillId="19" borderId="14" xfId="22" applyNumberFormat="1" applyFont="1" applyFill="1" applyBorder="1" applyAlignment="1">
      <alignment horizontal="center"/>
    </xf>
    <xf numFmtId="176" fontId="28" fillId="19" borderId="38" xfId="22" applyNumberFormat="1" applyFont="1" applyFill="1" applyBorder="1" applyAlignment="1">
      <alignment horizontal="center"/>
    </xf>
    <xf numFmtId="8" fontId="28" fillId="4" borderId="9" xfId="3" applyNumberFormat="1" applyFont="1" applyFill="1" applyBorder="1"/>
    <xf numFmtId="3" fontId="28" fillId="20" borderId="9" xfId="3" applyNumberFormat="1" applyFont="1" applyFill="1" applyBorder="1"/>
    <xf numFmtId="8" fontId="28" fillId="17" borderId="9" xfId="3" applyNumberFormat="1" applyFont="1" applyFill="1" applyBorder="1"/>
    <xf numFmtId="0" fontId="4" fillId="21" borderId="0" xfId="3" applyFont="1" applyFill="1"/>
    <xf numFmtId="176" fontId="28" fillId="19" borderId="53" xfId="22" applyNumberFormat="1" applyFont="1" applyFill="1" applyBorder="1" applyAlignment="1">
      <alignment horizontal="center"/>
    </xf>
    <xf numFmtId="176" fontId="28" fillId="19" borderId="54" xfId="22" applyNumberFormat="1" applyFont="1" applyFill="1" applyBorder="1" applyAlignment="1">
      <alignment horizontal="center"/>
    </xf>
    <xf numFmtId="176" fontId="28" fillId="19" borderId="39" xfId="22" applyNumberFormat="1" applyFont="1" applyFill="1" applyBorder="1" applyAlignment="1">
      <alignment horizontal="center"/>
    </xf>
    <xf numFmtId="176" fontId="28" fillId="19" borderId="55" xfId="22" applyNumberFormat="1" applyFont="1" applyFill="1" applyBorder="1" applyAlignment="1">
      <alignment horizontal="center"/>
    </xf>
    <xf numFmtId="0" fontId="76" fillId="7" borderId="9" xfId="3" applyFont="1" applyFill="1" applyBorder="1" applyAlignment="1">
      <alignment horizontal="center"/>
    </xf>
    <xf numFmtId="0" fontId="76" fillId="7" borderId="0" xfId="3" applyFont="1" applyFill="1" applyAlignment="1">
      <alignment horizontal="center"/>
    </xf>
    <xf numFmtId="0" fontId="76" fillId="8" borderId="48" xfId="3" applyFont="1" applyFill="1" applyBorder="1" applyAlignment="1">
      <alignment horizontal="center"/>
    </xf>
    <xf numFmtId="0" fontId="76" fillId="8" borderId="9" xfId="3" applyFont="1" applyFill="1" applyBorder="1" applyAlignment="1">
      <alignment horizontal="center"/>
    </xf>
    <xf numFmtId="0" fontId="76" fillId="8" borderId="0" xfId="3" applyFont="1" applyFill="1" applyAlignment="1">
      <alignment horizontal="center"/>
    </xf>
    <xf numFmtId="177" fontId="26" fillId="11" borderId="30" xfId="3" applyNumberFormat="1" applyFont="1" applyFill="1" applyBorder="1"/>
    <xf numFmtId="0" fontId="3" fillId="0" borderId="0" xfId="3" applyFont="1"/>
    <xf numFmtId="0" fontId="0" fillId="19" borderId="0" xfId="0" applyFill="1" applyBorder="1"/>
    <xf numFmtId="6" fontId="0" fillId="19" borderId="0" xfId="0" applyNumberFormat="1" applyFill="1" applyBorder="1" applyAlignment="1">
      <alignment horizontal="center"/>
    </xf>
    <xf numFmtId="164" fontId="0" fillId="19" borderId="0" xfId="0" applyNumberFormat="1" applyFill="1" applyBorder="1"/>
    <xf numFmtId="0" fontId="0" fillId="8" borderId="33" xfId="0" applyFill="1" applyBorder="1" applyAlignment="1">
      <alignment horizontal="center"/>
    </xf>
    <xf numFmtId="0" fontId="2" fillId="0" borderId="0" xfId="3" quotePrefix="1" applyFont="1" applyFill="1"/>
    <xf numFmtId="0" fontId="2" fillId="0" borderId="0" xfId="3" quotePrefix="1" applyFont="1"/>
    <xf numFmtId="0" fontId="80" fillId="0" borderId="0" xfId="0" applyFont="1" applyAlignment="1">
      <alignment horizontal="left"/>
    </xf>
    <xf numFmtId="0" fontId="28" fillId="8" borderId="30" xfId="3" applyFont="1" applyFill="1" applyBorder="1" applyAlignment="1">
      <alignment wrapText="1"/>
    </xf>
    <xf numFmtId="0" fontId="81" fillId="19" borderId="0" xfId="3" applyFont="1" applyFill="1" applyBorder="1"/>
    <xf numFmtId="2" fontId="28" fillId="19" borderId="23" xfId="3" applyNumberFormat="1" applyFont="1" applyFill="1" applyBorder="1" applyAlignment="1">
      <alignment horizontal="center"/>
    </xf>
    <xf numFmtId="2" fontId="28" fillId="19" borderId="22" xfId="3" applyNumberFormat="1" applyFont="1" applyFill="1" applyBorder="1" applyAlignment="1">
      <alignment horizontal="center"/>
    </xf>
    <xf numFmtId="0" fontId="27" fillId="0" borderId="0" xfId="5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2" fontId="75" fillId="11" borderId="30" xfId="3" applyNumberFormat="1" applyFont="1" applyFill="1" applyBorder="1" applyAlignment="1">
      <alignment horizontal="left"/>
    </xf>
    <xf numFmtId="166" fontId="28" fillId="0" borderId="0" xfId="3" quotePrefix="1" applyNumberFormat="1" applyFont="1" applyBorder="1"/>
    <xf numFmtId="8" fontId="28" fillId="3" borderId="9" xfId="3" applyNumberFormat="1" applyFont="1" applyFill="1" applyBorder="1"/>
    <xf numFmtId="40" fontId="15" fillId="0" borderId="30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6" fillId="0" borderId="0" xfId="3" applyFont="1" applyFill="1" applyBorder="1" applyAlignment="1">
      <alignment horizontal="center"/>
    </xf>
    <xf numFmtId="8" fontId="28" fillId="20" borderId="9" xfId="3" applyNumberFormat="1" applyFont="1" applyFill="1" applyBorder="1"/>
    <xf numFmtId="0" fontId="27" fillId="22" borderId="30" xfId="3" applyFont="1" applyFill="1" applyBorder="1"/>
    <xf numFmtId="6" fontId="25" fillId="22" borderId="30" xfId="2" applyNumberFormat="1" applyFill="1" applyBorder="1"/>
    <xf numFmtId="8" fontId="14" fillId="0" borderId="0" xfId="0" applyNumberFormat="1" applyFont="1" applyFill="1" applyBorder="1" applyAlignment="1">
      <alignment horizontal="center"/>
    </xf>
    <xf numFmtId="170" fontId="27" fillId="19" borderId="22" xfId="3" applyNumberFormat="1" applyFont="1" applyFill="1" applyBorder="1"/>
    <xf numFmtId="180" fontId="25" fillId="19" borderId="30" xfId="2" applyNumberFormat="1" applyFill="1" applyBorder="1"/>
    <xf numFmtId="0" fontId="0" fillId="0" borderId="0" xfId="0" applyFill="1" applyAlignment="1">
      <alignment wrapText="1"/>
    </xf>
    <xf numFmtId="17" fontId="49" fillId="0" borderId="0" xfId="0" applyNumberFormat="1" applyFont="1" applyBorder="1" applyAlignment="1">
      <alignment vertical="center" wrapText="1"/>
    </xf>
    <xf numFmtId="0" fontId="49" fillId="0" borderId="0" xfId="0" applyFont="1" applyBorder="1" applyAlignment="1">
      <alignment vertical="center" wrapText="1"/>
    </xf>
    <xf numFmtId="0" fontId="21" fillId="9" borderId="56" xfId="6" applyFont="1" applyFill="1" applyBorder="1" applyAlignment="1">
      <alignment horizontal="left"/>
    </xf>
    <xf numFmtId="0" fontId="13" fillId="9" borderId="57" xfId="3" applyFill="1" applyBorder="1" applyAlignment="1">
      <alignment horizontal="left"/>
    </xf>
    <xf numFmtId="0" fontId="13" fillId="9" borderId="58" xfId="3" applyFill="1" applyBorder="1" applyAlignment="1"/>
    <xf numFmtId="0" fontId="72" fillId="0" borderId="61" xfId="3" applyFont="1" applyBorder="1" applyAlignment="1">
      <alignment vertical="center"/>
    </xf>
    <xf numFmtId="165" fontId="82" fillId="0" borderId="4" xfId="6" applyNumberFormat="1" applyFont="1" applyFill="1" applyBorder="1" applyAlignment="1"/>
    <xf numFmtId="165" fontId="71" fillId="0" borderId="64" xfId="3" applyNumberFormat="1" applyFont="1" applyBorder="1" applyAlignment="1">
      <alignment vertical="center"/>
    </xf>
    <xf numFmtId="0" fontId="21" fillId="0" borderId="5" xfId="3" applyFont="1" applyFill="1" applyBorder="1"/>
    <xf numFmtId="165" fontId="21" fillId="0" borderId="6" xfId="6" applyNumberFormat="1" applyFont="1" applyFill="1" applyBorder="1" applyAlignment="1"/>
    <xf numFmtId="165" fontId="21" fillId="0" borderId="7" xfId="6" applyNumberFormat="1" applyFont="1" applyFill="1" applyBorder="1" applyAlignment="1"/>
    <xf numFmtId="0" fontId="1" fillId="0" borderId="0" xfId="3" applyFont="1"/>
    <xf numFmtId="0" fontId="1" fillId="0" borderId="44" xfId="3" applyFont="1" applyBorder="1" applyAlignment="1">
      <alignment horizontal="center"/>
    </xf>
    <xf numFmtId="0" fontId="1" fillId="0" borderId="0" xfId="3" applyFont="1" applyBorder="1" applyAlignment="1">
      <alignment horizontal="center"/>
    </xf>
    <xf numFmtId="0" fontId="1" fillId="0" borderId="0" xfId="3" applyFont="1" applyAlignment="1">
      <alignment vertical="center"/>
    </xf>
    <xf numFmtId="0" fontId="1" fillId="0" borderId="0" xfId="3" applyFont="1" applyBorder="1" applyAlignment="1">
      <alignment vertical="center"/>
    </xf>
    <xf numFmtId="0" fontId="16" fillId="0" borderId="21" xfId="0" applyFont="1" applyBorder="1" applyAlignment="1">
      <alignment wrapText="1"/>
    </xf>
    <xf numFmtId="0" fontId="1" fillId="0" borderId="20" xfId="3" applyFont="1" applyBorder="1"/>
    <xf numFmtId="0" fontId="0" fillId="4" borderId="65" xfId="0" applyFill="1" applyBorder="1" applyAlignment="1">
      <alignment wrapText="1"/>
    </xf>
    <xf numFmtId="0" fontId="14" fillId="4" borderId="65" xfId="0" applyFont="1" applyFill="1" applyBorder="1" applyAlignment="1">
      <alignment wrapText="1"/>
    </xf>
    <xf numFmtId="0" fontId="1" fillId="4" borderId="65" xfId="3" applyFont="1" applyFill="1" applyBorder="1"/>
    <xf numFmtId="0" fontId="43" fillId="4" borderId="65" xfId="0" applyFont="1" applyFill="1" applyBorder="1" applyAlignment="1"/>
    <xf numFmtId="0" fontId="1" fillId="4" borderId="66" xfId="3" applyFont="1" applyFill="1" applyBorder="1"/>
    <xf numFmtId="0" fontId="1" fillId="4" borderId="3" xfId="3" applyFont="1" applyFill="1" applyBorder="1" applyAlignment="1">
      <alignment vertical="center"/>
    </xf>
    <xf numFmtId="0" fontId="1" fillId="4" borderId="0" xfId="3" applyFont="1" applyFill="1" applyBorder="1" applyAlignment="1">
      <alignment vertical="center"/>
    </xf>
    <xf numFmtId="0" fontId="1" fillId="4" borderId="4" xfId="3" applyFont="1" applyFill="1" applyBorder="1" applyAlignment="1">
      <alignment vertical="center"/>
    </xf>
    <xf numFmtId="0" fontId="1" fillId="4" borderId="0" xfId="3" applyFont="1" applyFill="1" applyBorder="1"/>
    <xf numFmtId="0" fontId="1" fillId="4" borderId="5" xfId="3" applyFont="1" applyFill="1" applyBorder="1" applyAlignment="1">
      <alignment vertical="center"/>
    </xf>
    <xf numFmtId="0" fontId="1" fillId="4" borderId="6" xfId="3" applyFont="1" applyFill="1" applyBorder="1" applyAlignment="1">
      <alignment vertical="center"/>
    </xf>
    <xf numFmtId="0" fontId="1" fillId="4" borderId="7" xfId="3" applyFont="1" applyFill="1" applyBorder="1"/>
    <xf numFmtId="0" fontId="1" fillId="0" borderId="0" xfId="3" applyFont="1" applyAlignment="1">
      <alignment horizontal="right"/>
    </xf>
    <xf numFmtId="44" fontId="1" fillId="0" borderId="0" xfId="7" applyFont="1" applyAlignment="1">
      <alignment vertical="center"/>
    </xf>
    <xf numFmtId="0" fontId="14" fillId="15" borderId="56" xfId="6" applyFont="1" applyFill="1" applyBorder="1" applyAlignment="1">
      <alignment horizontal="left"/>
    </xf>
    <xf numFmtId="0" fontId="13" fillId="15" borderId="57" xfId="3" applyFill="1" applyBorder="1" applyAlignment="1"/>
    <xf numFmtId="0" fontId="13" fillId="15" borderId="58" xfId="3" applyFill="1" applyBorder="1" applyAlignment="1"/>
    <xf numFmtId="0" fontId="1" fillId="0" borderId="20" xfId="3" applyFont="1" applyBorder="1" applyAlignment="1">
      <alignment horizontal="right"/>
    </xf>
    <xf numFmtId="44" fontId="1" fillId="0" borderId="20" xfId="7" applyFont="1" applyBorder="1" applyAlignment="1">
      <alignment vertical="center"/>
    </xf>
    <xf numFmtId="0" fontId="21" fillId="0" borderId="67" xfId="3" applyFont="1" applyBorder="1" applyAlignment="1">
      <alignment horizontal="center" vertical="center" shrinkToFit="1"/>
    </xf>
    <xf numFmtId="0" fontId="21" fillId="0" borderId="65" xfId="3" applyFont="1" applyBorder="1" applyAlignment="1">
      <alignment horizontal="center" vertical="center" shrinkToFit="1"/>
    </xf>
    <xf numFmtId="0" fontId="21" fillId="0" borderId="65" xfId="3" applyFont="1" applyBorder="1" applyAlignment="1">
      <alignment horizontal="center" shrinkToFit="1"/>
    </xf>
    <xf numFmtId="0" fontId="21" fillId="0" borderId="66" xfId="3" applyFont="1" applyBorder="1" applyAlignment="1">
      <alignment horizontal="center" shrinkToFit="1"/>
    </xf>
    <xf numFmtId="165" fontId="71" fillId="0" borderId="0" xfId="7" applyNumberFormat="1" applyFont="1" applyBorder="1" applyAlignment="1">
      <alignment horizontal="center" vertical="center"/>
    </xf>
    <xf numFmtId="165" fontId="71" fillId="0" borderId="4" xfId="7" applyNumberFormat="1" applyFont="1" applyBorder="1" applyAlignment="1">
      <alignment horizontal="center" vertical="center"/>
    </xf>
    <xf numFmtId="44" fontId="1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shrinkToFit="1"/>
    </xf>
    <xf numFmtId="165" fontId="19" fillId="0" borderId="0" xfId="7" applyNumberFormat="1" applyFont="1" applyFill="1" applyBorder="1" applyAlignment="1">
      <alignment horizontal="center"/>
    </xf>
    <xf numFmtId="165" fontId="19" fillId="0" borderId="0" xfId="7" applyNumberFormat="1" applyFont="1" applyBorder="1" applyAlignment="1">
      <alignment horizontal="center" shrinkToFit="1"/>
    </xf>
    <xf numFmtId="165" fontId="21" fillId="0" borderId="4" xfId="7" applyNumberFormat="1" applyFont="1" applyFill="1" applyBorder="1" applyAlignment="1">
      <alignment horizontal="center" shrinkToFit="1"/>
    </xf>
    <xf numFmtId="170" fontId="1" fillId="0" borderId="0" xfId="3" applyNumberFormat="1" applyFont="1" applyAlignment="1">
      <alignment vertical="center"/>
    </xf>
    <xf numFmtId="0" fontId="23" fillId="0" borderId="67" xfId="3" applyFont="1" applyBorder="1" applyAlignment="1">
      <alignment vertical="center"/>
    </xf>
    <xf numFmtId="0" fontId="1" fillId="0" borderId="66" xfId="3" applyFont="1" applyBorder="1" applyAlignment="1">
      <alignment vertical="center"/>
    </xf>
    <xf numFmtId="0" fontId="1" fillId="0" borderId="3" xfId="3" applyFont="1" applyBorder="1" applyAlignment="1">
      <alignment horizontal="right"/>
    </xf>
    <xf numFmtId="44" fontId="1" fillId="0" borderId="4" xfId="3" applyNumberFormat="1" applyFont="1" applyBorder="1" applyAlignment="1">
      <alignment vertical="center"/>
    </xf>
    <xf numFmtId="0" fontId="21" fillId="0" borderId="63" xfId="3" applyFont="1" applyFill="1" applyBorder="1"/>
    <xf numFmtId="1" fontId="21" fillId="17" borderId="20" xfId="3" applyNumberFormat="1" applyFont="1" applyFill="1" applyBorder="1" applyAlignment="1">
      <alignment horizontal="center"/>
    </xf>
    <xf numFmtId="165" fontId="19" fillId="0" borderId="20" xfId="7" applyNumberFormat="1" applyFont="1" applyFill="1" applyBorder="1" applyAlignment="1">
      <alignment horizontal="center"/>
    </xf>
    <xf numFmtId="165" fontId="19" fillId="0" borderId="20" xfId="7" applyNumberFormat="1" applyFont="1" applyBorder="1" applyAlignment="1">
      <alignment horizontal="center" shrinkToFit="1"/>
    </xf>
    <xf numFmtId="165" fontId="21" fillId="0" borderId="64" xfId="7" applyNumberFormat="1" applyFont="1" applyFill="1" applyBorder="1" applyAlignment="1">
      <alignment horizontal="center" shrinkToFit="1"/>
    </xf>
    <xf numFmtId="1" fontId="21" fillId="17" borderId="6" xfId="3" applyNumberFormat="1" applyFont="1" applyFill="1" applyBorder="1" applyAlignment="1">
      <alignment horizontal="center"/>
    </xf>
    <xf numFmtId="165" fontId="19" fillId="0" borderId="6" xfId="7" applyNumberFormat="1" applyFont="1" applyFill="1" applyBorder="1" applyAlignment="1">
      <alignment horizontal="center"/>
    </xf>
    <xf numFmtId="165" fontId="21" fillId="0" borderId="7" xfId="7" applyNumberFormat="1" applyFont="1" applyFill="1" applyBorder="1" applyAlignment="1">
      <alignment horizontal="center"/>
    </xf>
    <xf numFmtId="165" fontId="1" fillId="0" borderId="0" xfId="3" applyNumberFormat="1" applyFont="1" applyAlignment="1">
      <alignment vertical="center"/>
    </xf>
    <xf numFmtId="0" fontId="1" fillId="0" borderId="63" xfId="3" applyFont="1" applyBorder="1" applyAlignment="1">
      <alignment horizontal="right"/>
    </xf>
    <xf numFmtId="44" fontId="1" fillId="0" borderId="64" xfId="3" applyNumberFormat="1" applyFont="1" applyBorder="1" applyAlignment="1">
      <alignment vertical="center"/>
    </xf>
    <xf numFmtId="0" fontId="1" fillId="0" borderId="5" xfId="3" applyFont="1" applyBorder="1" applyAlignment="1">
      <alignment horizontal="right" vertical="center"/>
    </xf>
    <xf numFmtId="44" fontId="1" fillId="0" borderId="7" xfId="3" applyNumberFormat="1" applyFont="1" applyBorder="1" applyAlignment="1">
      <alignment vertical="center"/>
    </xf>
    <xf numFmtId="0" fontId="1" fillId="0" borderId="0" xfId="3" applyFont="1" applyBorder="1" applyAlignment="1">
      <alignment horizontal="right"/>
    </xf>
    <xf numFmtId="44" fontId="1" fillId="0" borderId="0" xfId="3" applyNumberFormat="1" applyFont="1" applyBorder="1" applyAlignment="1">
      <alignment vertical="center"/>
    </xf>
    <xf numFmtId="0" fontId="1" fillId="0" borderId="0" xfId="3" applyFont="1" applyBorder="1"/>
    <xf numFmtId="0" fontId="23" fillId="0" borderId="0" xfId="3" applyFont="1" applyBorder="1" applyAlignment="1">
      <alignment horizontal="right"/>
    </xf>
    <xf numFmtId="0" fontId="14" fillId="0" borderId="0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6" fontId="14" fillId="0" borderId="0" xfId="0" applyNumberFormat="1" applyFont="1" applyBorder="1" applyAlignment="1">
      <alignment vertical="center" wrapText="1"/>
    </xf>
    <xf numFmtId="6" fontId="16" fillId="0" borderId="7" xfId="0" applyNumberFormat="1" applyFont="1" applyFill="1" applyBorder="1" applyAlignment="1">
      <alignment vertical="center" wrapText="1"/>
    </xf>
    <xf numFmtId="165" fontId="16" fillId="0" borderId="68" xfId="0" applyNumberFormat="1" applyFont="1" applyBorder="1" applyAlignment="1">
      <alignment vertical="center" wrapText="1"/>
    </xf>
    <xf numFmtId="0" fontId="1" fillId="0" borderId="68" xfId="3" applyFont="1" applyBorder="1"/>
    <xf numFmtId="0" fontId="1" fillId="0" borderId="68" xfId="3" applyFont="1" applyBorder="1" applyAlignment="1">
      <alignment vertical="center"/>
    </xf>
    <xf numFmtId="165" fontId="14" fillId="0" borderId="0" xfId="0" applyNumberFormat="1" applyFont="1" applyBorder="1" applyAlignment="1">
      <alignment vertical="center" wrapText="1"/>
    </xf>
    <xf numFmtId="165" fontId="1" fillId="0" borderId="0" xfId="3" applyNumberFormat="1" applyFont="1"/>
    <xf numFmtId="170" fontId="1" fillId="0" borderId="0" xfId="3" applyNumberFormat="1" applyFont="1" applyBorder="1"/>
    <xf numFmtId="17" fontId="49" fillId="0" borderId="0" xfId="0" applyNumberFormat="1" applyFont="1" applyBorder="1" applyAlignment="1">
      <alignment vertical="center"/>
    </xf>
    <xf numFmtId="44" fontId="1" fillId="0" borderId="0" xfId="7" applyFont="1"/>
    <xf numFmtId="44" fontId="1" fillId="0" borderId="0" xfId="7" applyFont="1" applyBorder="1"/>
    <xf numFmtId="0" fontId="49" fillId="23" borderId="0" xfId="0" applyFont="1" applyFill="1" applyBorder="1" applyAlignment="1">
      <alignment vertical="center" wrapText="1"/>
    </xf>
    <xf numFmtId="0" fontId="1" fillId="0" borderId="0" xfId="3" applyFont="1" applyAlignment="1">
      <alignment horizontal="center"/>
    </xf>
    <xf numFmtId="38" fontId="0" fillId="0" borderId="0" xfId="0" applyNumberFormat="1" applyFill="1" applyBorder="1"/>
    <xf numFmtId="6" fontId="1" fillId="0" borderId="0" xfId="3" applyNumberFormat="1" applyFont="1" applyBorder="1"/>
    <xf numFmtId="165" fontId="1" fillId="0" borderId="0" xfId="3" applyNumberFormat="1" applyFont="1" applyBorder="1"/>
    <xf numFmtId="6" fontId="14" fillId="0" borderId="0" xfId="0" applyNumberFormat="1" applyFont="1" applyFill="1" applyBorder="1"/>
    <xf numFmtId="0" fontId="16" fillId="19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left"/>
    </xf>
    <xf numFmtId="0" fontId="27" fillId="19" borderId="21" xfId="3" applyFont="1" applyFill="1" applyBorder="1"/>
    <xf numFmtId="178" fontId="28" fillId="19" borderId="26" xfId="15" applyNumberFormat="1" applyFont="1" applyFill="1" applyBorder="1" applyAlignment="1">
      <alignment horizontal="center"/>
    </xf>
    <xf numFmtId="2" fontId="28" fillId="19" borderId="23" xfId="15" applyNumberFormat="1" applyFont="1" applyFill="1" applyBorder="1" applyAlignment="1">
      <alignment horizontal="center"/>
    </xf>
    <xf numFmtId="169" fontId="25" fillId="0" borderId="0" xfId="15" applyNumberFormat="1" applyFont="1" applyFill="1" applyBorder="1" applyAlignment="1">
      <alignment horizontal="center"/>
    </xf>
    <xf numFmtId="0" fontId="28" fillId="19" borderId="21" xfId="3" applyFont="1" applyFill="1" applyBorder="1" applyAlignment="1">
      <alignment horizontal="center"/>
    </xf>
    <xf numFmtId="0" fontId="27" fillId="16" borderId="30" xfId="5" applyNumberFormat="1" applyFont="1" applyFill="1" applyBorder="1"/>
    <xf numFmtId="0" fontId="27" fillId="16" borderId="30" xfId="3" applyFont="1" applyFill="1" applyBorder="1"/>
    <xf numFmtId="6" fontId="28" fillId="3" borderId="30" xfId="3" applyNumberFormat="1" applyFont="1" applyFill="1" applyBorder="1"/>
    <xf numFmtId="165" fontId="28" fillId="3" borderId="29" xfId="3" applyNumberFormat="1" applyFont="1" applyFill="1" applyBorder="1" applyAlignment="1">
      <alignment horizontal="right"/>
    </xf>
    <xf numFmtId="6" fontId="28" fillId="20" borderId="30" xfId="3" applyNumberFormat="1" applyFont="1" applyFill="1" applyBorder="1"/>
    <xf numFmtId="6" fontId="28" fillId="17" borderId="30" xfId="3" applyNumberFormat="1" applyFont="1" applyFill="1" applyBorder="1"/>
    <xf numFmtId="6" fontId="28" fillId="4" borderId="30" xfId="3" applyNumberFormat="1" applyFont="1" applyFill="1" applyBorder="1"/>
    <xf numFmtId="14" fontId="58" fillId="0" borderId="0" xfId="3" applyNumberFormat="1" applyFont="1" applyAlignment="1">
      <alignment horizontal="center"/>
    </xf>
    <xf numFmtId="3" fontId="25" fillId="19" borderId="41" xfId="15" applyNumberFormat="1" applyFont="1" applyFill="1" applyBorder="1"/>
    <xf numFmtId="169" fontId="25" fillId="19" borderId="27" xfId="15" applyNumberFormat="1" applyFont="1" applyFill="1" applyBorder="1"/>
    <xf numFmtId="169" fontId="25" fillId="19" borderId="40" xfId="15" applyNumberFormat="1" applyFont="1" applyFill="1" applyBorder="1"/>
    <xf numFmtId="3" fontId="25" fillId="19" borderId="42" xfId="15" applyNumberFormat="1" applyFont="1" applyFill="1" applyBorder="1"/>
    <xf numFmtId="169" fontId="25" fillId="19" borderId="14" xfId="15" applyNumberFormat="1" applyFont="1" applyFill="1" applyBorder="1"/>
    <xf numFmtId="3" fontId="25" fillId="19" borderId="43" xfId="15" applyNumberFormat="1" applyFont="1" applyFill="1" applyBorder="1"/>
    <xf numFmtId="169" fontId="25" fillId="19" borderId="39" xfId="15" applyNumberFormat="1" applyFont="1" applyFill="1" applyBorder="1"/>
    <xf numFmtId="3" fontId="25" fillId="19" borderId="51" xfId="15" applyNumberFormat="1" applyFont="1" applyFill="1" applyBorder="1"/>
    <xf numFmtId="169" fontId="25" fillId="19" borderId="52" xfId="15" applyNumberFormat="1" applyFont="1" applyFill="1" applyBorder="1"/>
    <xf numFmtId="173" fontId="28" fillId="11" borderId="30" xfId="3" applyNumberFormat="1" applyFont="1" applyFill="1" applyBorder="1"/>
    <xf numFmtId="0" fontId="0" fillId="0" borderId="0" xfId="0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9" borderId="28" xfId="0" applyFont="1" applyFill="1" applyBorder="1"/>
    <xf numFmtId="0" fontId="23" fillId="9" borderId="29" xfId="0" applyFont="1" applyFill="1" applyBorder="1"/>
    <xf numFmtId="0" fontId="23" fillId="9" borderId="33" xfId="0" applyFont="1" applyFill="1" applyBorder="1"/>
    <xf numFmtId="0" fontId="23" fillId="0" borderId="0" xfId="0" applyFont="1"/>
    <xf numFmtId="10" fontId="0" fillId="4" borderId="34" xfId="0" applyNumberFormat="1" applyFill="1" applyBorder="1" applyAlignment="1">
      <alignment horizontal="center"/>
    </xf>
    <xf numFmtId="0" fontId="23" fillId="10" borderId="69" xfId="0" applyFont="1" applyFill="1" applyBorder="1" applyAlignment="1">
      <alignment horizontal="center"/>
    </xf>
    <xf numFmtId="0" fontId="23" fillId="10" borderId="70" xfId="0" applyFont="1" applyFill="1" applyBorder="1" applyAlignment="1">
      <alignment horizontal="center"/>
    </xf>
    <xf numFmtId="3" fontId="0" fillId="0" borderId="65" xfId="0" applyNumberFormat="1" applyBorder="1"/>
    <xf numFmtId="3" fontId="0" fillId="0" borderId="66" xfId="0" applyNumberFormat="1" applyBorder="1"/>
    <xf numFmtId="1" fontId="0" fillId="0" borderId="0" xfId="0" applyNumberFormat="1"/>
    <xf numFmtId="10" fontId="0" fillId="4" borderId="10" xfId="0" applyNumberFormat="1" applyFill="1" applyBorder="1" applyAlignment="1">
      <alignment horizontal="center"/>
    </xf>
    <xf numFmtId="0" fontId="23" fillId="10" borderId="71" xfId="0" applyFont="1" applyFill="1" applyBorder="1" applyAlignment="1">
      <alignment horizontal="center"/>
    </xf>
    <xf numFmtId="0" fontId="23" fillId="10" borderId="72" xfId="0" applyFont="1" applyFill="1" applyBorder="1" applyAlignment="1">
      <alignment horizontal="center"/>
    </xf>
    <xf numFmtId="3" fontId="0" fillId="0" borderId="4" xfId="0" applyNumberFormat="1" applyBorder="1"/>
    <xf numFmtId="10" fontId="0" fillId="4" borderId="48" xfId="0" applyNumberFormat="1" applyFill="1" applyBorder="1" applyAlignment="1">
      <alignment horizontal="center"/>
    </xf>
    <xf numFmtId="0" fontId="23" fillId="10" borderId="73" xfId="0" applyFont="1" applyFill="1" applyBorder="1" applyAlignment="1">
      <alignment horizontal="center"/>
    </xf>
    <xf numFmtId="0" fontId="23" fillId="10" borderId="74" xfId="0" applyFont="1" applyFill="1" applyBorder="1" applyAlignment="1">
      <alignment horizontal="center"/>
    </xf>
    <xf numFmtId="3" fontId="0" fillId="0" borderId="20" xfId="0" applyNumberFormat="1" applyBorder="1"/>
    <xf numFmtId="3" fontId="0" fillId="0" borderId="64" xfId="0" applyNumberFormat="1" applyBorder="1"/>
    <xf numFmtId="0" fontId="0" fillId="0" borderId="10" xfId="0" applyBorder="1" applyAlignment="1">
      <alignment horizontal="center"/>
    </xf>
    <xf numFmtId="0" fontId="0" fillId="24" borderId="3" xfId="0" applyFill="1" applyBorder="1"/>
    <xf numFmtId="0" fontId="0" fillId="24" borderId="0" xfId="0" applyFill="1" applyBorder="1"/>
    <xf numFmtId="0" fontId="0" fillId="24" borderId="4" xfId="0" applyFill="1" applyBorder="1"/>
    <xf numFmtId="3" fontId="0" fillId="0" borderId="44" xfId="0" applyNumberFormat="1" applyBorder="1"/>
    <xf numFmtId="3" fontId="0" fillId="0" borderId="7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0" fontId="0" fillId="0" borderId="0" xfId="0" applyAlignment="1">
      <alignment horizontal="right" wrapText="1"/>
    </xf>
    <xf numFmtId="0" fontId="23" fillId="9" borderId="31" xfId="0" applyFont="1" applyFill="1" applyBorder="1"/>
    <xf numFmtId="0" fontId="23" fillId="9" borderId="44" xfId="0" applyFont="1" applyFill="1" applyBorder="1"/>
    <xf numFmtId="0" fontId="23" fillId="9" borderId="32" xfId="0" applyFont="1" applyFill="1" applyBorder="1"/>
    <xf numFmtId="3" fontId="0" fillId="0" borderId="67" xfId="0" applyNumberFormat="1" applyBorder="1"/>
    <xf numFmtId="176" fontId="0" fillId="0" borderId="0" xfId="0" applyNumberFormat="1"/>
    <xf numFmtId="3" fontId="0" fillId="0" borderId="3" xfId="0" applyNumberFormat="1" applyBorder="1"/>
    <xf numFmtId="3" fontId="0" fillId="0" borderId="5" xfId="0" applyNumberFormat="1" applyBorder="1"/>
    <xf numFmtId="0" fontId="23" fillId="10" borderId="0" xfId="0" applyFont="1" applyFill="1" applyBorder="1" applyAlignment="1">
      <alignment horizontal="center"/>
    </xf>
    <xf numFmtId="176" fontId="0" fillId="7" borderId="44" xfId="0" applyNumberFormat="1" applyFill="1" applyBorder="1"/>
    <xf numFmtId="176" fontId="0" fillId="7" borderId="76" xfId="0" applyNumberFormat="1" applyFill="1" applyBorder="1"/>
    <xf numFmtId="165" fontId="0" fillId="0" borderId="67" xfId="0" applyNumberFormat="1" applyBorder="1"/>
    <xf numFmtId="165" fontId="0" fillId="0" borderId="65" xfId="0" applyNumberFormat="1" applyBorder="1"/>
    <xf numFmtId="165" fontId="0" fillId="0" borderId="66" xfId="0" applyNumberFormat="1" applyBorder="1"/>
    <xf numFmtId="165" fontId="0" fillId="0" borderId="0" xfId="0" applyNumberFormat="1"/>
    <xf numFmtId="165" fontId="0" fillId="0" borderId="3" xfId="0" applyNumberFormat="1" applyBorder="1"/>
    <xf numFmtId="165" fontId="0" fillId="0" borderId="0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165" fontId="23" fillId="7" borderId="77" xfId="0" applyNumberFormat="1" applyFont="1" applyFill="1" applyBorder="1"/>
    <xf numFmtId="0" fontId="23" fillId="10" borderId="0" xfId="0" applyFont="1" applyFill="1" applyBorder="1" applyAlignment="1">
      <alignment horizontal="right"/>
    </xf>
    <xf numFmtId="166" fontId="0" fillId="0" borderId="56" xfId="0" applyNumberFormat="1" applyBorder="1"/>
    <xf numFmtId="166" fontId="0" fillId="0" borderId="57" xfId="0" applyNumberFormat="1" applyBorder="1"/>
    <xf numFmtId="166" fontId="0" fillId="0" borderId="58" xfId="0" applyNumberFormat="1" applyBorder="1"/>
    <xf numFmtId="165" fontId="23" fillId="7" borderId="76" xfId="0" applyNumberFormat="1" applyFont="1" applyFill="1" applyBorder="1"/>
    <xf numFmtId="0" fontId="0" fillId="0" borderId="68" xfId="0" applyBorder="1"/>
    <xf numFmtId="0" fontId="23" fillId="0" borderId="56" xfId="0" applyFont="1" applyBorder="1" applyAlignment="1">
      <alignment horizontal="center"/>
    </xf>
    <xf numFmtId="0" fontId="23" fillId="0" borderId="58" xfId="0" applyFont="1" applyBorder="1" applyAlignment="1">
      <alignment horizontal="center"/>
    </xf>
    <xf numFmtId="0" fontId="23" fillId="0" borderId="78" xfId="0" applyFont="1" applyBorder="1"/>
    <xf numFmtId="2" fontId="0" fillId="19" borderId="79" xfId="0" applyNumberFormat="1" applyFill="1" applyBorder="1" applyAlignment="1">
      <alignment horizontal="center"/>
    </xf>
    <xf numFmtId="2" fontId="0" fillId="19" borderId="80" xfId="0" applyNumberFormat="1" applyFill="1" applyBorder="1" applyAlignment="1">
      <alignment horizontal="center"/>
    </xf>
    <xf numFmtId="0" fontId="23" fillId="0" borderId="18" xfId="0" applyFont="1" applyBorder="1"/>
    <xf numFmtId="2" fontId="0" fillId="19" borderId="81" xfId="0" applyNumberFormat="1" applyFill="1" applyBorder="1" applyAlignment="1">
      <alignment horizontal="center"/>
    </xf>
    <xf numFmtId="2" fontId="0" fillId="19" borderId="82" xfId="0" applyNumberFormat="1" applyFill="1" applyBorder="1" applyAlignment="1">
      <alignment horizontal="center"/>
    </xf>
    <xf numFmtId="0" fontId="23" fillId="0" borderId="0" xfId="0" applyFont="1" applyAlignment="1">
      <alignment horizontal="right"/>
    </xf>
    <xf numFmtId="0" fontId="0" fillId="19" borderId="0" xfId="0" applyFill="1" applyAlignment="1">
      <alignment horizontal="center"/>
    </xf>
    <xf numFmtId="0" fontId="23" fillId="10" borderId="71" xfId="0" applyFont="1" applyFill="1" applyBorder="1"/>
    <xf numFmtId="0" fontId="23" fillId="10" borderId="35" xfId="0" applyFont="1" applyFill="1" applyBorder="1"/>
    <xf numFmtId="0" fontId="23" fillId="10" borderId="0" xfId="0" applyFont="1" applyFill="1" applyBorder="1"/>
    <xf numFmtId="170" fontId="0" fillId="0" borderId="0" xfId="0" applyNumberFormat="1"/>
    <xf numFmtId="1" fontId="0" fillId="0" borderId="31" xfId="0" applyNumberFormat="1" applyBorder="1" applyAlignment="1">
      <alignment wrapText="1"/>
    </xf>
    <xf numFmtId="1" fontId="0" fillId="0" borderId="44" xfId="0" applyNumberFormat="1" applyBorder="1" applyAlignment="1">
      <alignment wrapText="1"/>
    </xf>
    <xf numFmtId="1" fontId="0" fillId="0" borderId="44" xfId="0" applyNumberFormat="1" applyBorder="1" applyAlignment="1"/>
    <xf numFmtId="1" fontId="23" fillId="0" borderId="83" xfId="0" applyNumberFormat="1" applyFont="1" applyBorder="1" applyAlignment="1">
      <alignment wrapText="1"/>
    </xf>
    <xf numFmtId="1" fontId="23" fillId="0" borderId="62" xfId="0" applyNumberFormat="1" applyFont="1" applyBorder="1" applyAlignment="1">
      <alignment wrapText="1"/>
    </xf>
    <xf numFmtId="1" fontId="23" fillId="0" borderId="73" xfId="0" applyNumberFormat="1" applyFont="1" applyFill="1" applyBorder="1" applyAlignment="1">
      <alignment wrapText="1"/>
    </xf>
    <xf numFmtId="1" fontId="23" fillId="0" borderId="74" xfId="0" applyNumberFormat="1" applyFont="1" applyFill="1" applyBorder="1" applyAlignment="1">
      <alignment wrapText="1"/>
    </xf>
    <xf numFmtId="0" fontId="23" fillId="0" borderId="69" xfId="0" applyFont="1" applyBorder="1"/>
    <xf numFmtId="0" fontId="23" fillId="0" borderId="84" xfId="0" applyFont="1" applyBorder="1"/>
    <xf numFmtId="1" fontId="0" fillId="0" borderId="69" xfId="0" applyNumberFormat="1" applyBorder="1"/>
    <xf numFmtId="1" fontId="0" fillId="0" borderId="85" xfId="0" applyNumberFormat="1" applyBorder="1"/>
    <xf numFmtId="1" fontId="0" fillId="0" borderId="84" xfId="0" applyNumberFormat="1" applyBorder="1"/>
    <xf numFmtId="1" fontId="0" fillId="11" borderId="86" xfId="0" applyNumberFormat="1" applyFill="1" applyBorder="1"/>
    <xf numFmtId="1" fontId="0" fillId="11" borderId="87" xfId="0" applyNumberFormat="1" applyFill="1" applyBorder="1"/>
    <xf numFmtId="9" fontId="0" fillId="0" borderId="70" xfId="8" applyNumberFormat="1" applyFont="1" applyBorder="1"/>
    <xf numFmtId="0" fontId="23" fillId="0" borderId="71" xfId="0" applyFont="1" applyBorder="1"/>
    <xf numFmtId="0" fontId="23" fillId="0" borderId="35" xfId="0" applyFont="1" applyBorder="1"/>
    <xf numFmtId="1" fontId="0" fillId="0" borderId="71" xfId="0" applyNumberFormat="1" applyBorder="1"/>
    <xf numFmtId="1" fontId="0" fillId="0" borderId="24" xfId="0" applyNumberFormat="1" applyBorder="1"/>
    <xf numFmtId="1" fontId="0" fillId="0" borderId="35" xfId="0" applyNumberFormat="1" applyBorder="1"/>
    <xf numFmtId="1" fontId="0" fillId="11" borderId="88" xfId="0" applyNumberFormat="1" applyFill="1" applyBorder="1"/>
    <xf numFmtId="1" fontId="0" fillId="11" borderId="89" xfId="0" applyNumberFormat="1" applyFill="1" applyBorder="1"/>
    <xf numFmtId="9" fontId="0" fillId="0" borderId="72" xfId="8" applyNumberFormat="1" applyFont="1" applyBorder="1"/>
    <xf numFmtId="1" fontId="0" fillId="10" borderId="71" xfId="0" applyNumberFormat="1" applyFill="1" applyBorder="1"/>
    <xf numFmtId="1" fontId="0" fillId="10" borderId="24" xfId="0" applyNumberFormat="1" applyFill="1" applyBorder="1"/>
    <xf numFmtId="1" fontId="0" fillId="10" borderId="35" xfId="0" applyNumberFormat="1" applyFill="1" applyBorder="1"/>
    <xf numFmtId="1" fontId="23" fillId="10" borderId="88" xfId="0" applyNumberFormat="1" applyFont="1" applyFill="1" applyBorder="1"/>
    <xf numFmtId="1" fontId="23" fillId="10" borderId="89" xfId="0" applyNumberFormat="1" applyFont="1" applyFill="1" applyBorder="1"/>
    <xf numFmtId="0" fontId="23" fillId="0" borderId="73" xfId="0" applyFont="1" applyBorder="1"/>
    <xf numFmtId="0" fontId="23" fillId="0" borderId="90" xfId="0" applyFont="1" applyBorder="1"/>
    <xf numFmtId="1" fontId="0" fillId="0" borderId="73" xfId="0" applyNumberFormat="1" applyBorder="1"/>
    <xf numFmtId="1" fontId="0" fillId="0" borderId="91" xfId="0" applyNumberFormat="1" applyBorder="1"/>
    <xf numFmtId="1" fontId="0" fillId="0" borderId="90" xfId="0" applyNumberFormat="1" applyBorder="1"/>
    <xf numFmtId="1" fontId="0" fillId="11" borderId="92" xfId="0" applyNumberFormat="1" applyFill="1" applyBorder="1"/>
    <xf numFmtId="1" fontId="0" fillId="11" borderId="93" xfId="0" applyNumberFormat="1" applyFill="1" applyBorder="1"/>
    <xf numFmtId="9" fontId="0" fillId="0" borderId="74" xfId="8" applyNumberFormat="1" applyFont="1" applyBorder="1"/>
    <xf numFmtId="0" fontId="0" fillId="25" borderId="0" xfId="0" applyFill="1"/>
    <xf numFmtId="1" fontId="0" fillId="25" borderId="0" xfId="0" applyNumberFormat="1" applyFill="1"/>
    <xf numFmtId="1" fontId="23" fillId="25" borderId="18" xfId="0" applyNumberFormat="1" applyFont="1" applyFill="1" applyBorder="1"/>
    <xf numFmtId="1" fontId="23" fillId="25" borderId="5" xfId="0" applyNumberFormat="1" applyFont="1" applyFill="1" applyBorder="1"/>
    <xf numFmtId="1" fontId="23" fillId="0" borderId="45" xfId="0" applyNumberFormat="1" applyFont="1" applyBorder="1"/>
    <xf numFmtId="9" fontId="23" fillId="0" borderId="22" xfId="8" applyNumberFormat="1" applyFont="1" applyBorder="1"/>
    <xf numFmtId="9" fontId="0" fillId="0" borderId="0" xfId="0" applyNumberFormat="1"/>
    <xf numFmtId="1" fontId="0" fillId="0" borderId="94" xfId="0" applyNumberFormat="1" applyBorder="1"/>
    <xf numFmtId="9" fontId="0" fillId="0" borderId="95" xfId="8" applyNumberFormat="1" applyFont="1" applyBorder="1"/>
    <xf numFmtId="0" fontId="23" fillId="10" borderId="0" xfId="0" applyFont="1" applyFill="1"/>
    <xf numFmtId="1" fontId="0" fillId="0" borderId="96" xfId="0" applyNumberFormat="1" applyBorder="1"/>
    <xf numFmtId="9" fontId="0" fillId="0" borderId="97" xfId="8" applyNumberFormat="1" applyFont="1" applyBorder="1"/>
    <xf numFmtId="1" fontId="23" fillId="0" borderId="98" xfId="0" applyNumberFormat="1" applyFont="1" applyBorder="1"/>
    <xf numFmtId="9" fontId="23" fillId="0" borderId="99" xfId="8" applyNumberFormat="1" applyFont="1" applyBorder="1"/>
    <xf numFmtId="0" fontId="0" fillId="0" borderId="67" xfId="0" applyBorder="1" applyAlignment="1">
      <alignment horizontal="center" wrapText="1"/>
    </xf>
    <xf numFmtId="0" fontId="0" fillId="0" borderId="66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3" fillId="0" borderId="0" xfId="0" applyFont="1" applyAlignment="1">
      <alignment horizontal="center"/>
    </xf>
    <xf numFmtId="0" fontId="23" fillId="8" borderId="67" xfId="0" applyFont="1" applyFill="1" applyBorder="1"/>
    <xf numFmtId="0" fontId="23" fillId="8" borderId="66" xfId="0" applyFont="1" applyFill="1" applyBorder="1"/>
    <xf numFmtId="2" fontId="0" fillId="8" borderId="3" xfId="0" applyNumberFormat="1" applyFill="1" applyBorder="1"/>
    <xf numFmtId="2" fontId="0" fillId="8" borderId="4" xfId="0" applyNumberFormat="1" applyFill="1" applyBorder="1"/>
    <xf numFmtId="0" fontId="23" fillId="8" borderId="3" xfId="0" applyFont="1" applyFill="1" applyBorder="1"/>
    <xf numFmtId="0" fontId="23" fillId="8" borderId="4" xfId="0" applyFont="1" applyFill="1" applyBorder="1"/>
    <xf numFmtId="0" fontId="23" fillId="0" borderId="3" xfId="0" applyFont="1" applyBorder="1"/>
    <xf numFmtId="0" fontId="23" fillId="0" borderId="4" xfId="0" applyFont="1" applyBorder="1"/>
    <xf numFmtId="2" fontId="0" fillId="0" borderId="3" xfId="0" applyNumberFormat="1" applyBorder="1"/>
    <xf numFmtId="2" fontId="0" fillId="0" borderId="4" xfId="0" applyNumberFormat="1" applyBorder="1"/>
    <xf numFmtId="0" fontId="23" fillId="8" borderId="5" xfId="0" applyFont="1" applyFill="1" applyBorder="1"/>
    <xf numFmtId="0" fontId="23" fillId="8" borderId="7" xfId="0" applyFont="1" applyFill="1" applyBorder="1"/>
    <xf numFmtId="2" fontId="0" fillId="8" borderId="5" xfId="0" applyNumberFormat="1" applyFill="1" applyBorder="1"/>
    <xf numFmtId="2" fontId="0" fillId="8" borderId="7" xfId="0" applyNumberFormat="1" applyFill="1" applyBorder="1"/>
    <xf numFmtId="0" fontId="85" fillId="27" borderId="105" xfId="0" applyFont="1" applyFill="1" applyBorder="1" applyAlignment="1">
      <alignment horizontal="center" vertical="center" wrapText="1"/>
    </xf>
    <xf numFmtId="0" fontId="85" fillId="27" borderId="106" xfId="0" applyFont="1" applyFill="1" applyBorder="1" applyAlignment="1">
      <alignment horizontal="center" vertical="center" wrapText="1"/>
    </xf>
    <xf numFmtId="0" fontId="86" fillId="11" borderId="107" xfId="0" applyFont="1" applyFill="1" applyBorder="1" applyAlignment="1">
      <alignment horizontal="center" vertical="center" wrapText="1"/>
    </xf>
    <xf numFmtId="3" fontId="86" fillId="11" borderId="107" xfId="0" applyNumberFormat="1" applyFont="1" applyFill="1" applyBorder="1" applyAlignment="1">
      <alignment horizontal="center" vertical="center" wrapText="1"/>
    </xf>
    <xf numFmtId="9" fontId="86" fillId="11" borderId="108" xfId="0" applyNumberFormat="1" applyFont="1" applyFill="1" applyBorder="1" applyAlignment="1">
      <alignment horizontal="center" vertical="center" wrapText="1"/>
    </xf>
    <xf numFmtId="0" fontId="86" fillId="0" borderId="107" xfId="0" applyFont="1" applyBorder="1" applyAlignment="1">
      <alignment horizontal="center" vertical="center" wrapText="1"/>
    </xf>
    <xf numFmtId="3" fontId="86" fillId="0" borderId="107" xfId="0" applyNumberFormat="1" applyFont="1" applyBorder="1" applyAlignment="1">
      <alignment horizontal="center" vertical="center" wrapText="1"/>
    </xf>
    <xf numFmtId="9" fontId="86" fillId="0" borderId="108" xfId="0" applyNumberFormat="1" applyFont="1" applyBorder="1" applyAlignment="1">
      <alignment horizontal="center" vertical="center" wrapText="1"/>
    </xf>
    <xf numFmtId="0" fontId="87" fillId="0" borderId="0" xfId="0" applyFont="1" applyAlignment="1">
      <alignment horizontal="left" vertical="center" indent="6"/>
    </xf>
    <xf numFmtId="0" fontId="87" fillId="0" borderId="0" xfId="0" applyFont="1" applyAlignment="1">
      <alignment horizontal="left" vertical="center" indent="4"/>
    </xf>
    <xf numFmtId="0" fontId="0" fillId="0" borderId="0" xfId="0" applyAlignment="1">
      <alignment horizontal="right"/>
    </xf>
    <xf numFmtId="44" fontId="0" fillId="0" borderId="0" xfId="0" applyNumberFormat="1"/>
    <xf numFmtId="10" fontId="0" fillId="0" borderId="0" xfId="0" applyNumberFormat="1"/>
    <xf numFmtId="0" fontId="88" fillId="11" borderId="109" xfId="0" applyFont="1" applyFill="1" applyBorder="1" applyAlignment="1">
      <alignment horizontal="center" vertical="center" wrapText="1"/>
    </xf>
    <xf numFmtId="0" fontId="89" fillId="0" borderId="110" xfId="0" applyFont="1" applyBorder="1" applyAlignment="1">
      <alignment horizontal="center" vertical="center" wrapText="1"/>
    </xf>
    <xf numFmtId="0" fontId="89" fillId="0" borderId="111" xfId="0" applyFont="1" applyBorder="1" applyAlignment="1">
      <alignment horizontal="center" vertical="center" wrapText="1"/>
    </xf>
    <xf numFmtId="0" fontId="15" fillId="0" borderId="112" xfId="0" applyFont="1" applyBorder="1" applyAlignment="1">
      <alignment horizontal="center" vertical="center" wrapText="1"/>
    </xf>
    <xf numFmtId="0" fontId="23" fillId="10" borderId="84" xfId="0" applyFont="1" applyFill="1" applyBorder="1" applyAlignment="1">
      <alignment horizontal="center"/>
    </xf>
    <xf numFmtId="0" fontId="23" fillId="10" borderId="35" xfId="0" applyFont="1" applyFill="1" applyBorder="1" applyAlignment="1">
      <alignment horizontal="center"/>
    </xf>
    <xf numFmtId="0" fontId="23" fillId="10" borderId="90" xfId="0" applyFont="1" applyFill="1" applyBorder="1" applyAlignment="1">
      <alignment horizontal="center"/>
    </xf>
    <xf numFmtId="8" fontId="14" fillId="0" borderId="0" xfId="0" applyNumberFormat="1" applyFont="1" applyFill="1" applyBorder="1"/>
    <xf numFmtId="8" fontId="0" fillId="0" borderId="0" xfId="0" applyNumberFormat="1"/>
    <xf numFmtId="10" fontId="0" fillId="0" borderId="0" xfId="0" applyNumberFormat="1" applyBorder="1"/>
    <xf numFmtId="10" fontId="0" fillId="26" borderId="0" xfId="0" applyNumberFormat="1" applyFill="1"/>
    <xf numFmtId="0" fontId="91" fillId="0" borderId="0" xfId="0" applyFont="1" applyAlignment="1">
      <alignment horizontal="left" vertical="center" indent="7"/>
    </xf>
    <xf numFmtId="0" fontId="92" fillId="0" borderId="107" xfId="0" applyFont="1" applyBorder="1" applyAlignment="1">
      <alignment vertical="center" wrapText="1"/>
    </xf>
    <xf numFmtId="3" fontId="93" fillId="0" borderId="108" xfId="0" applyNumberFormat="1" applyFont="1" applyBorder="1" applyAlignment="1">
      <alignment vertical="center" wrapText="1"/>
    </xf>
    <xf numFmtId="0" fontId="93" fillId="0" borderId="108" xfId="0" applyFont="1" applyBorder="1" applyAlignment="1">
      <alignment vertical="center" wrapText="1"/>
    </xf>
    <xf numFmtId="0" fontId="94" fillId="0" borderId="107" xfId="0" applyFont="1" applyBorder="1" applyAlignment="1">
      <alignment horizontal="right" vertical="center" wrapText="1"/>
    </xf>
    <xf numFmtId="0" fontId="93" fillId="0" borderId="107" xfId="0" applyFont="1" applyBorder="1" applyAlignment="1">
      <alignment vertical="center" wrapText="1"/>
    </xf>
    <xf numFmtId="3" fontId="93" fillId="0" borderId="107" xfId="0" applyNumberFormat="1" applyFont="1" applyBorder="1" applyAlignment="1">
      <alignment vertical="center" wrapText="1"/>
    </xf>
    <xf numFmtId="0" fontId="68" fillId="0" borderId="0" xfId="33" applyAlignment="1">
      <alignment horizontal="left" vertical="center" indent="5"/>
    </xf>
    <xf numFmtId="0" fontId="27" fillId="28" borderId="0" xfId="3" applyFont="1" applyFill="1" applyBorder="1"/>
    <xf numFmtId="0" fontId="58" fillId="11" borderId="25" xfId="3" applyFont="1" applyFill="1" applyBorder="1" applyAlignment="1">
      <alignment wrapText="1"/>
    </xf>
    <xf numFmtId="0" fontId="15" fillId="11" borderId="29" xfId="0" applyFont="1" applyFill="1" applyBorder="1"/>
    <xf numFmtId="6" fontId="15" fillId="11" borderId="19" xfId="0" applyNumberFormat="1" applyFont="1" applyFill="1" applyBorder="1" applyAlignment="1">
      <alignment horizontal="center"/>
    </xf>
    <xf numFmtId="164" fontId="15" fillId="11" borderId="18" xfId="0" applyNumberFormat="1" applyFont="1" applyFill="1" applyBorder="1" applyAlignment="1">
      <alignment horizontal="center"/>
    </xf>
    <xf numFmtId="8" fontId="0" fillId="0" borderId="0" xfId="0" applyNumberFormat="1" applyFill="1" applyBorder="1"/>
    <xf numFmtId="0" fontId="14" fillId="0" borderId="67" xfId="0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14" fillId="0" borderId="6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27" fillId="9" borderId="9" xfId="3" applyFont="1" applyFill="1" applyBorder="1" applyAlignment="1">
      <alignment horizontal="left"/>
    </xf>
    <xf numFmtId="0" fontId="27" fillId="9" borderId="30" xfId="3" applyFont="1" applyFill="1" applyBorder="1" applyAlignment="1">
      <alignment horizontal="left"/>
    </xf>
    <xf numFmtId="0" fontId="27" fillId="3" borderId="13" xfId="3" applyFont="1" applyFill="1" applyBorder="1" applyAlignment="1">
      <alignment horizontal="center"/>
    </xf>
    <xf numFmtId="0" fontId="27" fillId="3" borderId="11" xfId="3" applyFont="1" applyFill="1" applyBorder="1" applyAlignment="1">
      <alignment horizontal="center"/>
    </xf>
    <xf numFmtId="0" fontId="27" fillId="3" borderId="29" xfId="3" applyFont="1" applyFill="1" applyBorder="1" applyAlignment="1">
      <alignment horizontal="center"/>
    </xf>
    <xf numFmtId="0" fontId="27" fillId="3" borderId="12" xfId="3" applyFont="1" applyFill="1" applyBorder="1" applyAlignment="1">
      <alignment horizontal="center"/>
    </xf>
    <xf numFmtId="6" fontId="27" fillId="10" borderId="13" xfId="3" applyNumberFormat="1" applyFont="1" applyFill="1" applyBorder="1" applyAlignment="1">
      <alignment horizontal="center"/>
    </xf>
    <xf numFmtId="6" fontId="27" fillId="10" borderId="11" xfId="3" applyNumberFormat="1" applyFont="1" applyFill="1" applyBorder="1" applyAlignment="1">
      <alignment horizontal="center"/>
    </xf>
    <xf numFmtId="6" fontId="27" fillId="10" borderId="29" xfId="3" applyNumberFormat="1" applyFont="1" applyFill="1" applyBorder="1" applyAlignment="1">
      <alignment horizontal="center"/>
    </xf>
    <xf numFmtId="6" fontId="27" fillId="10" borderId="12" xfId="3" applyNumberFormat="1" applyFont="1" applyFill="1" applyBorder="1" applyAlignment="1">
      <alignment horizontal="center"/>
    </xf>
    <xf numFmtId="6" fontId="27" fillId="4" borderId="13" xfId="3" applyNumberFormat="1" applyFont="1" applyFill="1" applyBorder="1" applyAlignment="1">
      <alignment horizontal="center"/>
    </xf>
    <xf numFmtId="6" fontId="27" fillId="4" borderId="11" xfId="3" applyNumberFormat="1" applyFont="1" applyFill="1" applyBorder="1" applyAlignment="1">
      <alignment horizontal="center"/>
    </xf>
    <xf numFmtId="6" fontId="27" fillId="4" borderId="29" xfId="3" applyNumberFormat="1" applyFont="1" applyFill="1" applyBorder="1" applyAlignment="1">
      <alignment horizontal="center"/>
    </xf>
    <xf numFmtId="6" fontId="27" fillId="4" borderId="12" xfId="3" applyNumberFormat="1" applyFont="1" applyFill="1" applyBorder="1" applyAlignment="1">
      <alignment horizontal="center"/>
    </xf>
    <xf numFmtId="0" fontId="27" fillId="9" borderId="28" xfId="3" applyFont="1" applyFill="1" applyBorder="1" applyAlignment="1">
      <alignment horizontal="left"/>
    </xf>
    <xf numFmtId="0" fontId="27" fillId="9" borderId="29" xfId="3" applyFont="1" applyFill="1" applyBorder="1" applyAlignment="1">
      <alignment horizontal="left"/>
    </xf>
    <xf numFmtId="0" fontId="27" fillId="9" borderId="33" xfId="3" applyFont="1" applyFill="1" applyBorder="1" applyAlignment="1">
      <alignment horizontal="left"/>
    </xf>
    <xf numFmtId="0" fontId="27" fillId="3" borderId="28" xfId="3" applyFont="1" applyFill="1" applyBorder="1" applyAlignment="1">
      <alignment horizontal="center"/>
    </xf>
    <xf numFmtId="0" fontId="27" fillId="3" borderId="33" xfId="3" applyFont="1" applyFill="1" applyBorder="1" applyAlignment="1">
      <alignment horizontal="center"/>
    </xf>
    <xf numFmtId="6" fontId="27" fillId="10" borderId="28" xfId="3" applyNumberFormat="1" applyFont="1" applyFill="1" applyBorder="1" applyAlignment="1">
      <alignment horizontal="center"/>
    </xf>
    <xf numFmtId="6" fontId="27" fillId="10" borderId="33" xfId="3" applyNumberFormat="1" applyFont="1" applyFill="1" applyBorder="1" applyAlignment="1">
      <alignment horizontal="center"/>
    </xf>
    <xf numFmtId="6" fontId="27" fillId="4" borderId="28" xfId="3" applyNumberFormat="1" applyFont="1" applyFill="1" applyBorder="1" applyAlignment="1">
      <alignment horizontal="center"/>
    </xf>
    <xf numFmtId="6" fontId="27" fillId="4" borderId="33" xfId="3" applyNumberFormat="1" applyFont="1" applyFill="1" applyBorder="1" applyAlignment="1">
      <alignment horizontal="center"/>
    </xf>
    <xf numFmtId="0" fontId="27" fillId="9" borderId="28" xfId="3" applyFont="1" applyFill="1" applyBorder="1" applyAlignment="1">
      <alignment horizontal="center"/>
    </xf>
    <xf numFmtId="0" fontId="0" fillId="0" borderId="29" xfId="0" applyBorder="1" applyAlignment="1"/>
    <xf numFmtId="0" fontId="0" fillId="0" borderId="33" xfId="0" applyBorder="1" applyAlignment="1"/>
    <xf numFmtId="0" fontId="16" fillId="0" borderId="26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27" fillId="8" borderId="28" xfId="3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27" fillId="7" borderId="28" xfId="3" applyFont="1" applyFill="1" applyBorder="1" applyAlignment="1">
      <alignment horizontal="center"/>
    </xf>
    <xf numFmtId="0" fontId="14" fillId="8" borderId="28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27" fillId="8" borderId="29" xfId="3" applyFont="1" applyFill="1" applyBorder="1" applyAlignment="1">
      <alignment horizontal="center"/>
    </xf>
    <xf numFmtId="0" fontId="27" fillId="4" borderId="28" xfId="3" applyFont="1" applyFill="1" applyBorder="1" applyAlignment="1">
      <alignment horizontal="center"/>
    </xf>
    <xf numFmtId="0" fontId="27" fillId="4" borderId="29" xfId="3" applyFont="1" applyFill="1" applyBorder="1" applyAlignment="1">
      <alignment horizontal="center"/>
    </xf>
    <xf numFmtId="0" fontId="27" fillId="19" borderId="28" xfId="10" applyFont="1" applyFill="1" applyBorder="1" applyAlignment="1">
      <alignment horizontal="left"/>
    </xf>
    <xf numFmtId="0" fontId="79" fillId="19" borderId="29" xfId="0" applyFont="1" applyFill="1" applyBorder="1" applyAlignment="1"/>
    <xf numFmtId="38" fontId="90" fillId="11" borderId="31" xfId="3" applyNumberFormat="1" applyFont="1" applyFill="1" applyBorder="1" applyAlignment="1">
      <alignment horizontal="center" vertical="center"/>
    </xf>
    <xf numFmtId="38" fontId="90" fillId="11" borderId="44" xfId="3" applyNumberFormat="1" applyFont="1" applyFill="1" applyBorder="1" applyAlignment="1">
      <alignment horizontal="center" vertical="center"/>
    </xf>
    <xf numFmtId="38" fontId="90" fillId="11" borderId="32" xfId="3" applyNumberFormat="1" applyFont="1" applyFill="1" applyBorder="1" applyAlignment="1">
      <alignment horizontal="center" vertical="center"/>
    </xf>
    <xf numFmtId="38" fontId="90" fillId="11" borderId="26" xfId="3" applyNumberFormat="1" applyFont="1" applyFill="1" applyBorder="1" applyAlignment="1">
      <alignment horizontal="center" vertical="center"/>
    </xf>
    <xf numFmtId="38" fontId="90" fillId="11" borderId="0" xfId="3" applyNumberFormat="1" applyFont="1" applyFill="1" applyBorder="1" applyAlignment="1">
      <alignment horizontal="center" vertical="center"/>
    </xf>
    <xf numFmtId="38" fontId="90" fillId="11" borderId="23" xfId="3" applyNumberFormat="1" applyFont="1" applyFill="1" applyBorder="1" applyAlignment="1">
      <alignment horizontal="center" vertical="center"/>
    </xf>
    <xf numFmtId="38" fontId="90" fillId="11" borderId="45" xfId="3" applyNumberFormat="1" applyFont="1" applyFill="1" applyBorder="1" applyAlignment="1">
      <alignment horizontal="center" vertical="center"/>
    </xf>
    <xf numFmtId="38" fontId="90" fillId="11" borderId="20" xfId="3" applyNumberFormat="1" applyFont="1" applyFill="1" applyBorder="1" applyAlignment="1">
      <alignment horizontal="center" vertical="center"/>
    </xf>
    <xf numFmtId="38" fontId="90" fillId="11" borderId="22" xfId="3" applyNumberFormat="1" applyFont="1" applyFill="1" applyBorder="1" applyAlignment="1">
      <alignment horizontal="center" vertical="center"/>
    </xf>
    <xf numFmtId="0" fontId="58" fillId="0" borderId="0" xfId="3" applyFont="1" applyBorder="1" applyAlignment="1">
      <alignment horizontal="center"/>
    </xf>
    <xf numFmtId="0" fontId="15" fillId="0" borderId="0" xfId="0" applyFont="1" applyBorder="1" applyAlignment="1"/>
    <xf numFmtId="0" fontId="42" fillId="0" borderId="0" xfId="0" applyFont="1" applyBorder="1" applyAlignment="1">
      <alignment horizontal="center"/>
    </xf>
    <xf numFmtId="2" fontId="90" fillId="11" borderId="31" xfId="3" applyNumberFormat="1" applyFont="1" applyFill="1" applyBorder="1" applyAlignment="1">
      <alignment horizontal="center" vertical="center"/>
    </xf>
    <xf numFmtId="2" fontId="90" fillId="11" borderId="44" xfId="3" applyNumberFormat="1" applyFont="1" applyFill="1" applyBorder="1" applyAlignment="1">
      <alignment horizontal="center" vertical="center"/>
    </xf>
    <xf numFmtId="2" fontId="90" fillId="11" borderId="32" xfId="3" applyNumberFormat="1" applyFont="1" applyFill="1" applyBorder="1" applyAlignment="1">
      <alignment horizontal="center" vertical="center"/>
    </xf>
    <xf numFmtId="2" fontId="90" fillId="11" borderId="26" xfId="3" applyNumberFormat="1" applyFont="1" applyFill="1" applyBorder="1" applyAlignment="1">
      <alignment horizontal="center" vertical="center"/>
    </xf>
    <xf numFmtId="2" fontId="90" fillId="11" borderId="0" xfId="3" applyNumberFormat="1" applyFont="1" applyFill="1" applyBorder="1" applyAlignment="1">
      <alignment horizontal="center" vertical="center"/>
    </xf>
    <xf numFmtId="2" fontId="90" fillId="11" borderId="23" xfId="3" applyNumberFormat="1" applyFont="1" applyFill="1" applyBorder="1" applyAlignment="1">
      <alignment horizontal="center" vertical="center"/>
    </xf>
    <xf numFmtId="2" fontId="90" fillId="11" borderId="45" xfId="3" applyNumberFormat="1" applyFont="1" applyFill="1" applyBorder="1" applyAlignment="1">
      <alignment horizontal="center" vertical="center"/>
    </xf>
    <xf numFmtId="2" fontId="90" fillId="11" borderId="20" xfId="3" applyNumberFormat="1" applyFont="1" applyFill="1" applyBorder="1" applyAlignment="1">
      <alignment horizontal="center" vertical="center"/>
    </xf>
    <xf numFmtId="2" fontId="90" fillId="11" borderId="22" xfId="3" applyNumberFormat="1" applyFont="1" applyFill="1" applyBorder="1" applyAlignment="1">
      <alignment horizontal="center" vertical="center"/>
    </xf>
    <xf numFmtId="3" fontId="90" fillId="11" borderId="31" xfId="3" applyNumberFormat="1" applyFont="1" applyFill="1" applyBorder="1" applyAlignment="1">
      <alignment horizontal="center" vertical="center"/>
    </xf>
    <xf numFmtId="3" fontId="90" fillId="11" borderId="44" xfId="3" applyNumberFormat="1" applyFont="1" applyFill="1" applyBorder="1" applyAlignment="1">
      <alignment horizontal="center" vertical="center"/>
    </xf>
    <xf numFmtId="3" fontId="90" fillId="11" borderId="32" xfId="3" applyNumberFormat="1" applyFont="1" applyFill="1" applyBorder="1" applyAlignment="1">
      <alignment horizontal="center" vertical="center"/>
    </xf>
    <xf numFmtId="3" fontId="90" fillId="11" borderId="26" xfId="3" applyNumberFormat="1" applyFont="1" applyFill="1" applyBorder="1" applyAlignment="1">
      <alignment horizontal="center" vertical="center"/>
    </xf>
    <xf numFmtId="3" fontId="90" fillId="11" borderId="0" xfId="3" applyNumberFormat="1" applyFont="1" applyFill="1" applyBorder="1" applyAlignment="1">
      <alignment horizontal="center" vertical="center"/>
    </xf>
    <xf numFmtId="3" fontId="90" fillId="11" borderId="23" xfId="3" applyNumberFormat="1" applyFont="1" applyFill="1" applyBorder="1" applyAlignment="1">
      <alignment horizontal="center" vertical="center"/>
    </xf>
    <xf numFmtId="3" fontId="90" fillId="11" borderId="45" xfId="3" applyNumberFormat="1" applyFont="1" applyFill="1" applyBorder="1" applyAlignment="1">
      <alignment horizontal="center" vertical="center"/>
    </xf>
    <xf numFmtId="3" fontId="90" fillId="11" borderId="20" xfId="3" applyNumberFormat="1" applyFont="1" applyFill="1" applyBorder="1" applyAlignment="1">
      <alignment horizontal="center" vertical="center"/>
    </xf>
    <xf numFmtId="3" fontId="90" fillId="11" borderId="22" xfId="3" applyNumberFormat="1" applyFont="1" applyFill="1" applyBorder="1" applyAlignment="1">
      <alignment horizontal="center" vertical="center"/>
    </xf>
    <xf numFmtId="0" fontId="16" fillId="19" borderId="29" xfId="0" applyFont="1" applyFill="1" applyBorder="1" applyAlignment="1"/>
    <xf numFmtId="0" fontId="16" fillId="19" borderId="33" xfId="0" applyFont="1" applyFill="1" applyBorder="1" applyAlignment="1"/>
    <xf numFmtId="1" fontId="27" fillId="6" borderId="45" xfId="3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1" fontId="27" fillId="6" borderId="28" xfId="3" applyNumberFormat="1" applyFont="1" applyFill="1" applyBorder="1" applyAlignment="1">
      <alignment horizontal="center"/>
    </xf>
    <xf numFmtId="6" fontId="27" fillId="20" borderId="13" xfId="3" applyNumberFormat="1" applyFont="1" applyFill="1" applyBorder="1" applyAlignment="1">
      <alignment horizontal="left"/>
    </xf>
    <xf numFmtId="6" fontId="27" fillId="20" borderId="11" xfId="3" applyNumberFormat="1" applyFont="1" applyFill="1" applyBorder="1" applyAlignment="1">
      <alignment horizontal="left"/>
    </xf>
    <xf numFmtId="6" fontId="27" fillId="20" borderId="29" xfId="3" applyNumberFormat="1" applyFont="1" applyFill="1" applyBorder="1" applyAlignment="1">
      <alignment horizontal="left"/>
    </xf>
    <xf numFmtId="6" fontId="27" fillId="20" borderId="12" xfId="3" applyNumberFormat="1" applyFont="1" applyFill="1" applyBorder="1" applyAlignment="1">
      <alignment horizontal="left"/>
    </xf>
    <xf numFmtId="6" fontId="27" fillId="17" borderId="28" xfId="3" applyNumberFormat="1" applyFont="1" applyFill="1" applyBorder="1" applyAlignment="1">
      <alignment horizontal="left"/>
    </xf>
    <xf numFmtId="6" fontId="27" fillId="17" borderId="29" xfId="3" applyNumberFormat="1" applyFont="1" applyFill="1" applyBorder="1" applyAlignment="1">
      <alignment horizontal="left"/>
    </xf>
    <xf numFmtId="6" fontId="27" fillId="17" borderId="33" xfId="3" applyNumberFormat="1" applyFont="1" applyFill="1" applyBorder="1" applyAlignment="1">
      <alignment horizontal="left"/>
    </xf>
    <xf numFmtId="6" fontId="27" fillId="4" borderId="13" xfId="3" applyNumberFormat="1" applyFont="1" applyFill="1" applyBorder="1" applyAlignment="1">
      <alignment horizontal="left"/>
    </xf>
    <xf numFmtId="6" fontId="27" fillId="4" borderId="11" xfId="3" applyNumberFormat="1" applyFont="1" applyFill="1" applyBorder="1" applyAlignment="1">
      <alignment horizontal="left"/>
    </xf>
    <xf numFmtId="6" fontId="27" fillId="4" borderId="29" xfId="3" applyNumberFormat="1" applyFont="1" applyFill="1" applyBorder="1" applyAlignment="1">
      <alignment horizontal="left"/>
    </xf>
    <xf numFmtId="6" fontId="27" fillId="4" borderId="12" xfId="3" applyNumberFormat="1" applyFont="1" applyFill="1" applyBorder="1" applyAlignment="1">
      <alignment horizontal="left"/>
    </xf>
    <xf numFmtId="0" fontId="27" fillId="3" borderId="13" xfId="3" applyFont="1" applyFill="1" applyBorder="1" applyAlignment="1">
      <alignment horizontal="left"/>
    </xf>
    <xf numFmtId="0" fontId="27" fillId="3" borderId="11" xfId="3" applyFont="1" applyFill="1" applyBorder="1" applyAlignment="1">
      <alignment horizontal="left"/>
    </xf>
    <xf numFmtId="0" fontId="27" fillId="3" borderId="29" xfId="3" applyFont="1" applyFill="1" applyBorder="1" applyAlignment="1">
      <alignment horizontal="left"/>
    </xf>
    <xf numFmtId="0" fontId="27" fillId="3" borderId="12" xfId="3" applyFont="1" applyFill="1" applyBorder="1" applyAlignment="1">
      <alignment horizontal="left"/>
    </xf>
    <xf numFmtId="0" fontId="72" fillId="0" borderId="59" xfId="3" applyFont="1" applyBorder="1" applyAlignment="1">
      <alignment horizontal="left" vertical="center"/>
    </xf>
    <xf numFmtId="0" fontId="72" fillId="0" borderId="60" xfId="3" applyFont="1" applyBorder="1" applyAlignment="1">
      <alignment horizontal="left" vertical="center"/>
    </xf>
    <xf numFmtId="0" fontId="72" fillId="0" borderId="62" xfId="3" applyFont="1" applyBorder="1" applyAlignment="1">
      <alignment horizontal="left" vertical="center"/>
    </xf>
    <xf numFmtId="0" fontId="72" fillId="0" borderId="44" xfId="3" applyFont="1" applyBorder="1" applyAlignment="1">
      <alignment horizontal="left" vertical="center"/>
    </xf>
    <xf numFmtId="0" fontId="21" fillId="0" borderId="3" xfId="3" applyFont="1" applyFill="1" applyBorder="1" applyAlignment="1">
      <alignment horizontal="left"/>
    </xf>
    <xf numFmtId="0" fontId="21" fillId="0" borderId="0" xfId="3" applyFont="1" applyFill="1" applyBorder="1" applyAlignment="1">
      <alignment horizontal="left"/>
    </xf>
    <xf numFmtId="0" fontId="21" fillId="0" borderId="3" xfId="3" applyFont="1" applyFill="1" applyBorder="1" applyAlignment="1">
      <alignment horizontal="right"/>
    </xf>
    <xf numFmtId="0" fontId="21" fillId="0" borderId="0" xfId="3" applyFont="1" applyFill="1" applyBorder="1" applyAlignment="1">
      <alignment horizontal="right"/>
    </xf>
    <xf numFmtId="0" fontId="21" fillId="0" borderId="63" xfId="3" applyFont="1" applyFill="1" applyBorder="1" applyAlignment="1">
      <alignment horizontal="right"/>
    </xf>
    <xf numFmtId="0" fontId="21" fillId="0" borderId="20" xfId="3" applyFont="1" applyFill="1" applyBorder="1" applyAlignment="1">
      <alignment horizontal="right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23" fillId="11" borderId="28" xfId="0" applyFont="1" applyFill="1" applyBorder="1" applyAlignment="1">
      <alignment horizontal="center"/>
    </xf>
    <xf numFmtId="0" fontId="23" fillId="11" borderId="29" xfId="0" applyFont="1" applyFill="1" applyBorder="1" applyAlignment="1">
      <alignment horizontal="center"/>
    </xf>
    <xf numFmtId="0" fontId="23" fillId="11" borderId="33" xfId="0" applyFont="1" applyFill="1" applyBorder="1" applyAlignment="1">
      <alignment horizontal="center"/>
    </xf>
    <xf numFmtId="0" fontId="23" fillId="10" borderId="0" xfId="0" applyFont="1" applyFill="1" applyBorder="1" applyAlignment="1">
      <alignment horizontal="right"/>
    </xf>
    <xf numFmtId="0" fontId="23" fillId="11" borderId="56" xfId="0" applyFont="1" applyFill="1" applyBorder="1" applyAlignment="1">
      <alignment horizontal="center"/>
    </xf>
    <xf numFmtId="0" fontId="23" fillId="11" borderId="57" xfId="0" applyFont="1" applyFill="1" applyBorder="1" applyAlignment="1">
      <alignment horizontal="center"/>
    </xf>
    <xf numFmtId="0" fontId="23" fillId="11" borderId="58" xfId="0" applyFont="1" applyFill="1" applyBorder="1" applyAlignment="1">
      <alignment horizontal="center"/>
    </xf>
    <xf numFmtId="0" fontId="83" fillId="11" borderId="67" xfId="0" applyFont="1" applyFill="1" applyBorder="1" applyAlignment="1">
      <alignment horizontal="center" vertical="center"/>
    </xf>
    <xf numFmtId="0" fontId="83" fillId="11" borderId="65" xfId="0" applyFont="1" applyFill="1" applyBorder="1" applyAlignment="1">
      <alignment horizontal="center" vertical="center"/>
    </xf>
    <xf numFmtId="0" fontId="83" fillId="11" borderId="66" xfId="0" applyFont="1" applyFill="1" applyBorder="1" applyAlignment="1">
      <alignment horizontal="center" vertical="center"/>
    </xf>
    <xf numFmtId="0" fontId="83" fillId="11" borderId="3" xfId="0" applyFont="1" applyFill="1" applyBorder="1" applyAlignment="1">
      <alignment horizontal="center" vertical="center"/>
    </xf>
    <xf numFmtId="0" fontId="83" fillId="11" borderId="0" xfId="0" applyFont="1" applyFill="1" applyBorder="1" applyAlignment="1">
      <alignment horizontal="center" vertical="center"/>
    </xf>
    <xf numFmtId="0" fontId="83" fillId="11" borderId="4" xfId="0" applyFont="1" applyFill="1" applyBorder="1" applyAlignment="1">
      <alignment horizontal="center" vertical="center"/>
    </xf>
    <xf numFmtId="0" fontId="83" fillId="11" borderId="5" xfId="0" applyFont="1" applyFill="1" applyBorder="1" applyAlignment="1">
      <alignment horizontal="center" vertical="center"/>
    </xf>
    <xf numFmtId="0" fontId="83" fillId="11" borderId="6" xfId="0" applyFont="1" applyFill="1" applyBorder="1" applyAlignment="1">
      <alignment horizontal="center" vertical="center"/>
    </xf>
    <xf numFmtId="0" fontId="83" fillId="11" borderId="7" xfId="0" applyFont="1" applyFill="1" applyBorder="1" applyAlignment="1">
      <alignment horizontal="center" vertical="center"/>
    </xf>
    <xf numFmtId="0" fontId="23" fillId="11" borderId="20" xfId="0" applyFont="1" applyFill="1" applyBorder="1" applyAlignment="1">
      <alignment horizontal="center"/>
    </xf>
    <xf numFmtId="0" fontId="23" fillId="11" borderId="113" xfId="0" applyFont="1" applyFill="1" applyBorder="1" applyAlignment="1">
      <alignment horizontal="center"/>
    </xf>
    <xf numFmtId="0" fontId="23" fillId="11" borderId="6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23" fillId="0" borderId="100" xfId="0" applyFont="1" applyBorder="1" applyAlignment="1">
      <alignment horizontal="center"/>
    </xf>
    <xf numFmtId="0" fontId="23" fillId="0" borderId="103" xfId="0" applyFont="1" applyBorder="1" applyAlignment="1">
      <alignment horizontal="center"/>
    </xf>
    <xf numFmtId="0" fontId="23" fillId="0" borderId="102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101" xfId="0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8" borderId="33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 wrapText="1"/>
    </xf>
    <xf numFmtId="0" fontId="0" fillId="8" borderId="33" xfId="0" applyFill="1" applyBorder="1" applyAlignment="1">
      <alignment horizontal="left" vertical="center" wrapText="1"/>
    </xf>
    <xf numFmtId="0" fontId="23" fillId="0" borderId="69" xfId="0" applyFont="1" applyBorder="1" applyAlignment="1">
      <alignment horizontal="center"/>
    </xf>
    <xf numFmtId="0" fontId="23" fillId="0" borderId="70" xfId="0" applyFont="1" applyBorder="1" applyAlignment="1">
      <alignment horizontal="center"/>
    </xf>
    <xf numFmtId="0" fontId="84" fillId="0" borderId="0" xfId="0" applyFont="1" applyAlignment="1">
      <alignment horizontal="center"/>
    </xf>
  </cellXfs>
  <cellStyles count="34">
    <cellStyle name="Comma" xfId="22" builtinId="3"/>
    <cellStyle name="Comma 2" xfId="24"/>
    <cellStyle name="Comma 3 2" xfId="15"/>
    <cellStyle name="Currency" xfId="7" builtinId="4"/>
    <cellStyle name="Currency 2" xfId="5"/>
    <cellStyle name="Currency 3" xfId="14"/>
    <cellStyle name="Currency 4" xfId="31"/>
    <cellStyle name="Hyperlink" xfId="33" builtinId="8"/>
    <cellStyle name="Hyperlink 2" xfId="16"/>
    <cellStyle name="Hyperlink 3" xfId="17"/>
    <cellStyle name="Input" xfId="2" builtinId="20"/>
    <cellStyle name="Normal" xfId="0" builtinId="0"/>
    <cellStyle name="Normal 2" xfId="1"/>
    <cellStyle name="Normal 2 2" xfId="6"/>
    <cellStyle name="Normal 2 3" xfId="11"/>
    <cellStyle name="Normal 2 4" xfId="12"/>
    <cellStyle name="Normal 3" xfId="3"/>
    <cellStyle name="Normal 3 2" xfId="18"/>
    <cellStyle name="Normal 3 3" xfId="21"/>
    <cellStyle name="Normal 3 4" xfId="25"/>
    <cellStyle name="Normal 3 5" xfId="32"/>
    <cellStyle name="Normal 4" xfId="9"/>
    <cellStyle name="Normal 4 2" xfId="29"/>
    <cellStyle name="Normal 5" xfId="10"/>
    <cellStyle name="Normal 5 2" xfId="20"/>
    <cellStyle name="Normal 5 2 2" xfId="30"/>
    <cellStyle name="Normal 5 3" xfId="28"/>
    <cellStyle name="Normal 6" xfId="13"/>
    <cellStyle name="Normal 7" xfId="23"/>
    <cellStyle name="Normal 8" xfId="27"/>
    <cellStyle name="Percent" xfId="8" builtinId="5"/>
    <cellStyle name="Percent 2" xfId="4"/>
    <cellStyle name="Percent 2 2" xfId="19"/>
    <cellStyle name="Percent 3" xfId="26"/>
  </cellStyles>
  <dxfs count="0"/>
  <tableStyles count="0" defaultTableStyle="TableStyleMedium2" defaultPivotStyle="PivotStyleLight16"/>
  <colors>
    <mruColors>
      <color rgb="FFFFCC99"/>
      <color rgb="FFF4F2F8"/>
      <color rgb="FFFFFF99"/>
      <color rgb="FFCCFFFF"/>
      <color rgb="FFD3F9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mpire%20Av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          HOME          "/>
      <sheetName val="Comprehensive Raw Data"/>
      <sheetName val="Printable"/>
      <sheetName val="Chart_Cause"/>
      <sheetName val="Chart_Injury Severity"/>
      <sheetName val="Chart_Collision Type"/>
      <sheetName val="Chart_Light"/>
      <sheetName val="Chart_Surface"/>
      <sheetName val="Chart_Weather"/>
      <sheetName val="Chart_Rd. Character."/>
      <sheetName val="Chart_Day of Week"/>
      <sheetName val="Chart_Time of Day"/>
      <sheetName val="Chart_Month"/>
      <sheetName val="Chart_Month&amp;Year"/>
      <sheetName val="Summarized Data"/>
      <sheetName val="Lookup Tables"/>
      <sheetName val="Lookup Tables Cont.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oregon.gov/ODOT/Engineering/Pages/ARTS.aspx" TargetMode="External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tvc.odot.state.or.us/tv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zoomScale="85" zoomScaleNormal="85" workbookViewId="0">
      <selection activeCell="G33" sqref="G33"/>
    </sheetView>
  </sheetViews>
  <sheetFormatPr defaultRowHeight="12.75" x14ac:dyDescent="0.2"/>
  <cols>
    <col min="1" max="1" width="37.7109375" customWidth="1"/>
    <col min="2" max="2" width="3.42578125" customWidth="1"/>
    <col min="3" max="3" width="19.28515625" bestFit="1" customWidth="1"/>
    <col min="4" max="4" width="5.5703125" customWidth="1"/>
    <col min="5" max="5" width="37.7109375" customWidth="1"/>
    <col min="6" max="6" width="2.5703125" customWidth="1"/>
    <col min="7" max="7" width="19" bestFit="1" customWidth="1"/>
    <col min="8" max="8" width="17.5703125" customWidth="1"/>
    <col min="9" max="9" width="18.7109375" customWidth="1"/>
    <col min="10" max="10" width="11.5703125" customWidth="1"/>
    <col min="11" max="11" width="17.140625" customWidth="1"/>
  </cols>
  <sheetData>
    <row r="1" spans="1:10" ht="15" customHeight="1" thickBot="1" x14ac:dyDescent="0.3">
      <c r="A1" s="564" t="s">
        <v>14</v>
      </c>
    </row>
    <row r="2" spans="1:10" ht="23.25" thickBot="1" x14ac:dyDescent="0.25">
      <c r="A2" s="2"/>
      <c r="B2" s="6"/>
      <c r="C2" s="6"/>
      <c r="E2" s="276" t="s">
        <v>27</v>
      </c>
      <c r="F2" s="251"/>
      <c r="G2" s="277" t="s">
        <v>4</v>
      </c>
      <c r="H2" s="277" t="s">
        <v>10</v>
      </c>
      <c r="I2" s="277" t="s">
        <v>11</v>
      </c>
      <c r="J2" s="278" t="s">
        <v>12</v>
      </c>
    </row>
    <row r="3" spans="1:10" ht="13.5" thickBot="1" x14ac:dyDescent="0.25">
      <c r="A3" s="100"/>
      <c r="B3" s="101"/>
      <c r="C3" s="102"/>
      <c r="E3" s="279"/>
      <c r="F3" s="280"/>
      <c r="G3" s="281"/>
      <c r="H3" s="282"/>
      <c r="I3" s="282"/>
      <c r="J3" s="295"/>
    </row>
    <row r="4" spans="1:10" ht="13.5" thickBot="1" x14ac:dyDescent="0.25">
      <c r="A4" s="103"/>
      <c r="B4" s="104"/>
      <c r="C4" s="105"/>
      <c r="E4" s="283" t="str">
        <f>A21</f>
        <v>Not Used</v>
      </c>
      <c r="F4" s="284"/>
      <c r="G4" s="285">
        <f>C22</f>
        <v>0</v>
      </c>
      <c r="H4" s="285">
        <f>C34</f>
        <v>0</v>
      </c>
      <c r="I4" s="285">
        <f>C36</f>
        <v>0</v>
      </c>
      <c r="J4" s="295" t="e">
        <f t="shared" ref="J4:J8" si="0">H4/-G4</f>
        <v>#DIV/0!</v>
      </c>
    </row>
    <row r="5" spans="1:10" ht="31.5" customHeight="1" thickBot="1" x14ac:dyDescent="0.25">
      <c r="A5" s="103"/>
      <c r="B5" s="104"/>
      <c r="C5" s="105"/>
      <c r="E5" s="872" t="str">
        <f>E21</f>
        <v>I-205 Corridor Widening: Stafford Road to OR43</v>
      </c>
      <c r="F5" s="873"/>
      <c r="G5" s="874">
        <f>G22</f>
        <v>-224742569.7616438</v>
      </c>
      <c r="H5" s="874">
        <f>G34</f>
        <v>566163402.9919318</v>
      </c>
      <c r="I5" s="874">
        <f>G36</f>
        <v>341420833.23028803</v>
      </c>
      <c r="J5" s="875">
        <f t="shared" si="0"/>
        <v>2.519164053309483</v>
      </c>
    </row>
    <row r="6" spans="1:10" ht="13.5" thickBot="1" x14ac:dyDescent="0.25">
      <c r="A6" s="103"/>
      <c r="B6" s="104"/>
      <c r="C6" s="105"/>
      <c r="E6" s="288" t="str">
        <f>A40</f>
        <v>Not Used</v>
      </c>
      <c r="F6" s="284"/>
      <c r="G6" s="287">
        <f>C41</f>
        <v>0</v>
      </c>
      <c r="H6" s="287">
        <f>C53</f>
        <v>0</v>
      </c>
      <c r="I6" s="287">
        <f>C55</f>
        <v>0</v>
      </c>
      <c r="J6" s="295" t="e">
        <f t="shared" si="0"/>
        <v>#DIV/0!</v>
      </c>
    </row>
    <row r="7" spans="1:10" ht="13.5" thickBot="1" x14ac:dyDescent="0.25">
      <c r="A7" s="103"/>
      <c r="B7" s="104"/>
      <c r="C7" s="105"/>
      <c r="E7" s="289" t="str">
        <f>E40</f>
        <v>Name #4</v>
      </c>
      <c r="F7" s="286"/>
      <c r="G7" s="290">
        <f>G41</f>
        <v>0</v>
      </c>
      <c r="H7" s="290">
        <f>G53</f>
        <v>0</v>
      </c>
      <c r="I7" s="290">
        <f>G55</f>
        <v>0</v>
      </c>
      <c r="J7" s="295" t="e">
        <f t="shared" si="0"/>
        <v>#DIV/0!</v>
      </c>
    </row>
    <row r="8" spans="1:10" ht="13.5" thickBot="1" x14ac:dyDescent="0.25">
      <c r="A8" s="103"/>
      <c r="B8" s="104"/>
      <c r="C8" s="105"/>
      <c r="E8" s="291" t="str">
        <f>A59</f>
        <v>Name #5</v>
      </c>
      <c r="F8" s="292"/>
      <c r="G8" s="293">
        <f>C60</f>
        <v>0</v>
      </c>
      <c r="H8" s="294">
        <f>C72</f>
        <v>0</v>
      </c>
      <c r="I8" s="294">
        <f>C74</f>
        <v>0</v>
      </c>
      <c r="J8" s="295" t="e">
        <f t="shared" si="0"/>
        <v>#DIV/0!</v>
      </c>
    </row>
    <row r="9" spans="1:10" ht="15" x14ac:dyDescent="0.25">
      <c r="A9" s="103"/>
      <c r="B9" s="104"/>
      <c r="C9" s="105"/>
      <c r="E9" s="84"/>
      <c r="F9" s="7"/>
      <c r="G9" s="111"/>
      <c r="H9" s="111"/>
      <c r="I9" s="111"/>
      <c r="J9" s="296"/>
    </row>
    <row r="10" spans="1:10" ht="15" x14ac:dyDescent="0.25">
      <c r="A10" s="103"/>
      <c r="B10" s="104"/>
      <c r="C10" s="105"/>
      <c r="E10" s="84"/>
      <c r="F10" s="7"/>
      <c r="G10" s="111"/>
      <c r="H10" s="111"/>
      <c r="I10" s="111"/>
      <c r="J10" s="191"/>
    </row>
    <row r="11" spans="1:10" ht="15" x14ac:dyDescent="0.25">
      <c r="A11" s="103"/>
      <c r="B11" s="104"/>
      <c r="C11" s="105"/>
      <c r="E11" s="80"/>
      <c r="F11" s="7"/>
      <c r="G11" s="111"/>
      <c r="H11" s="111"/>
      <c r="I11" s="111"/>
      <c r="J11" s="191"/>
    </row>
    <row r="12" spans="1:10" ht="15.75" x14ac:dyDescent="0.25">
      <c r="A12" s="103"/>
      <c r="B12" s="104"/>
      <c r="C12" s="105"/>
      <c r="E12" s="566"/>
      <c r="F12" s="558"/>
      <c r="G12" s="559"/>
      <c r="H12" s="559"/>
      <c r="I12" s="559"/>
      <c r="J12" s="560"/>
    </row>
    <row r="13" spans="1:10" ht="15.75" x14ac:dyDescent="0.25">
      <c r="A13" s="103"/>
      <c r="B13" s="104"/>
      <c r="C13" s="105"/>
      <c r="E13" s="566"/>
      <c r="F13" s="558"/>
      <c r="G13" s="559"/>
      <c r="H13" s="559"/>
      <c r="I13" s="559"/>
      <c r="J13" s="560"/>
    </row>
    <row r="14" spans="1:10" x14ac:dyDescent="0.2">
      <c r="A14" s="103"/>
      <c r="B14" s="104"/>
      <c r="C14" s="105"/>
    </row>
    <row r="15" spans="1:10" x14ac:dyDescent="0.2">
      <c r="A15" s="106"/>
      <c r="B15" s="104"/>
      <c r="C15" s="105"/>
    </row>
    <row r="16" spans="1:10" x14ac:dyDescent="0.2">
      <c r="A16" s="103"/>
      <c r="B16" s="104"/>
      <c r="C16" s="105"/>
    </row>
    <row r="17" spans="1:11" x14ac:dyDescent="0.2">
      <c r="A17" s="106"/>
      <c r="B17" s="104"/>
      <c r="C17" s="105"/>
    </row>
    <row r="18" spans="1:11" x14ac:dyDescent="0.2">
      <c r="A18" s="103"/>
      <c r="B18" s="104"/>
      <c r="C18" s="107"/>
      <c r="E18" s="242"/>
    </row>
    <row r="19" spans="1:11" ht="13.5" thickBot="1" x14ac:dyDescent="0.25">
      <c r="A19" s="108"/>
      <c r="B19" s="109"/>
      <c r="C19" s="110"/>
    </row>
    <row r="20" spans="1:11" x14ac:dyDescent="0.2">
      <c r="A20" s="8"/>
      <c r="B20" s="8"/>
      <c r="C20" s="8"/>
    </row>
    <row r="21" spans="1:11" ht="15.75" thickBot="1" x14ac:dyDescent="0.3">
      <c r="A21" s="871" t="str">
        <f>'Inputs Worksheet'!A7</f>
        <v>Not Used</v>
      </c>
      <c r="E21" s="80" t="str">
        <f>'Inputs Worksheet'!A8</f>
        <v>I-205 Corridor Widening: Stafford Road to OR43</v>
      </c>
      <c r="H21" s="7"/>
      <c r="I21" s="157"/>
      <c r="J21" s="7"/>
    </row>
    <row r="22" spans="1:11" x14ac:dyDescent="0.2">
      <c r="A22" s="877" t="s">
        <v>502</v>
      </c>
      <c r="B22" s="878"/>
      <c r="C22" s="879"/>
      <c r="D22" s="8"/>
      <c r="E22" s="126" t="s">
        <v>4</v>
      </c>
      <c r="F22" s="127"/>
      <c r="G22" s="128">
        <f>SUM('7% Discounting'!$D60:$AD60)</f>
        <v>-224742569.7616438</v>
      </c>
      <c r="H22" s="7"/>
      <c r="I22" s="151"/>
      <c r="J22" s="130"/>
      <c r="K22" s="253"/>
    </row>
    <row r="23" spans="1:11" x14ac:dyDescent="0.2">
      <c r="A23" s="880"/>
      <c r="B23" s="881"/>
      <c r="C23" s="882"/>
      <c r="D23" s="8"/>
      <c r="E23" s="129"/>
      <c r="F23" s="130"/>
      <c r="G23" s="131"/>
      <c r="H23" s="18"/>
      <c r="I23" s="130"/>
      <c r="J23" s="130"/>
      <c r="K23" s="253"/>
    </row>
    <row r="24" spans="1:11" x14ac:dyDescent="0.2">
      <c r="A24" s="880"/>
      <c r="B24" s="881"/>
      <c r="C24" s="882"/>
      <c r="D24" s="8"/>
      <c r="E24" s="129"/>
      <c r="F24" s="130"/>
      <c r="G24" s="131"/>
      <c r="H24" s="18"/>
      <c r="I24" s="130"/>
      <c r="J24" s="130"/>
      <c r="K24" s="253"/>
    </row>
    <row r="25" spans="1:11" x14ac:dyDescent="0.2">
      <c r="A25" s="880"/>
      <c r="B25" s="881"/>
      <c r="C25" s="882"/>
      <c r="D25" s="8"/>
      <c r="E25" s="129" t="s">
        <v>5</v>
      </c>
      <c r="F25" s="130"/>
      <c r="G25" s="131">
        <f>SUM('7% Discounting'!$G63:$AD63)</f>
        <v>6067045.9478493463</v>
      </c>
      <c r="H25" s="18"/>
      <c r="I25" s="130"/>
      <c r="J25" s="130"/>
      <c r="K25" s="253"/>
    </row>
    <row r="26" spans="1:11" x14ac:dyDescent="0.2">
      <c r="A26" s="880"/>
      <c r="B26" s="881"/>
      <c r="C26" s="882"/>
      <c r="D26" s="137"/>
      <c r="E26" s="129" t="s">
        <v>6</v>
      </c>
      <c r="F26" s="130"/>
      <c r="G26" s="131">
        <f>(SUM('7% Discounting'!$I65:$AB65)+SUM('7% Discounting'!$I66:$AD66)+SUM('7% Discounting'!I68:AD68))*(1-'Inputs Worksheet'!$N$43/2)+SUM('7% Discounting'!$I67:$AD67)</f>
        <v>370298985.20504689</v>
      </c>
      <c r="H26" s="18"/>
      <c r="I26" s="670"/>
      <c r="J26" s="130"/>
      <c r="K26" s="253"/>
    </row>
    <row r="27" spans="1:11" x14ac:dyDescent="0.2">
      <c r="A27" s="880"/>
      <c r="B27" s="881"/>
      <c r="C27" s="882"/>
      <c r="D27" s="8"/>
      <c r="E27" s="190" t="s">
        <v>103</v>
      </c>
      <c r="F27" s="130"/>
      <c r="G27" s="131">
        <f>(SUM('7% Discounting'!$I72:$AD72)+SUM('7% Discounting'!$I70:$AD70)+SUM('7% Discounting'!$I71:$AD71))*(1-'Inputs Worksheet'!$N$43/2)</f>
        <v>9868124.6944283918</v>
      </c>
      <c r="H27" s="18"/>
      <c r="I27" s="156"/>
      <c r="J27" s="130"/>
      <c r="K27" s="253"/>
    </row>
    <row r="28" spans="1:11" x14ac:dyDescent="0.2">
      <c r="A28" s="880"/>
      <c r="B28" s="881"/>
      <c r="C28" s="882"/>
      <c r="D28" s="8"/>
      <c r="E28" s="129" t="s">
        <v>7</v>
      </c>
      <c r="F28" s="130"/>
      <c r="G28" s="131">
        <f>(SUM('7% Discounting'!$I74:$AD74)+SUM('7% Discounting'!$I75:$AD75)+SUM('7% Discounting'!$I76:$AD76)+SUM('7% Discounting'!$I77:$AD77)+SUM('7% Discounting'!$I78:$AD78))*(1-'Inputs Worksheet'!$N$43/2)+SUM('7% Discounting'!$I79:$AD79)</f>
        <v>9169463.365350794</v>
      </c>
      <c r="H28" s="18"/>
      <c r="I28" s="130"/>
      <c r="J28" s="130"/>
      <c r="K28" s="253"/>
    </row>
    <row r="29" spans="1:11" x14ac:dyDescent="0.2">
      <c r="A29" s="880"/>
      <c r="B29" s="881"/>
      <c r="C29" s="882"/>
      <c r="D29" s="8"/>
      <c r="E29" s="129" t="s">
        <v>8</v>
      </c>
      <c r="F29" s="130"/>
      <c r="G29" s="131">
        <f>SUM('7% Discounting'!$I81:$AD81)*(1-'Inputs Worksheet'!$N$73/2)</f>
        <v>150413028.61182231</v>
      </c>
      <c r="H29" s="18"/>
      <c r="I29" s="130"/>
      <c r="J29" s="130"/>
      <c r="K29" s="253"/>
    </row>
    <row r="30" spans="1:11" x14ac:dyDescent="0.2">
      <c r="A30" s="880"/>
      <c r="B30" s="881"/>
      <c r="C30" s="882"/>
      <c r="D30" s="8"/>
      <c r="E30" s="129" t="s">
        <v>9</v>
      </c>
      <c r="F30" s="130"/>
      <c r="G30" s="131">
        <f>SUM('7% Discounting'!$I83:$AD83)</f>
        <v>20692063.45275028</v>
      </c>
      <c r="H30" s="18"/>
      <c r="I30" s="130"/>
      <c r="J30" s="130"/>
      <c r="K30" s="253"/>
    </row>
    <row r="31" spans="1:11" x14ac:dyDescent="0.2">
      <c r="A31" s="880"/>
      <c r="B31" s="881"/>
      <c r="C31" s="882"/>
      <c r="D31" s="8"/>
      <c r="E31" s="190" t="s">
        <v>87</v>
      </c>
      <c r="F31" s="130"/>
      <c r="G31" s="131">
        <f>SUM('7% Discounting'!$I85:$AD85)</f>
        <v>-345308.28531626664</v>
      </c>
      <c r="H31" s="18"/>
      <c r="I31" s="156"/>
      <c r="J31" s="130"/>
      <c r="K31" s="253"/>
    </row>
    <row r="32" spans="1:11" x14ac:dyDescent="0.2">
      <c r="A32" s="880"/>
      <c r="B32" s="881"/>
      <c r="C32" s="882"/>
      <c r="D32" s="8"/>
      <c r="E32" s="190" t="s">
        <v>109</v>
      </c>
      <c r="F32" s="130"/>
      <c r="G32" s="347">
        <f>SUM('7% Discounting'!$G86:$AD86)</f>
        <v>0</v>
      </c>
      <c r="H32" s="18"/>
      <c r="I32" s="156"/>
      <c r="J32" s="130"/>
      <c r="K32" s="253"/>
    </row>
    <row r="33" spans="1:11" x14ac:dyDescent="0.2">
      <c r="A33" s="880"/>
      <c r="B33" s="881"/>
      <c r="C33" s="882"/>
      <c r="D33" s="8"/>
      <c r="E33" s="129"/>
      <c r="F33" s="130"/>
      <c r="G33" s="131"/>
      <c r="H33" s="18"/>
      <c r="I33" s="876"/>
      <c r="J33" s="130"/>
      <c r="K33" s="253"/>
    </row>
    <row r="34" spans="1:11" x14ac:dyDescent="0.2">
      <c r="A34" s="880"/>
      <c r="B34" s="881"/>
      <c r="C34" s="882"/>
      <c r="D34" s="8"/>
      <c r="E34" s="132" t="s">
        <v>10</v>
      </c>
      <c r="F34" s="130"/>
      <c r="G34" s="131">
        <f>SUM($G25:$G32)</f>
        <v>566163402.9919318</v>
      </c>
      <c r="H34" s="18"/>
      <c r="I34" s="673"/>
      <c r="J34" s="130"/>
      <c r="K34" s="253"/>
    </row>
    <row r="35" spans="1:11" x14ac:dyDescent="0.2">
      <c r="A35" s="880"/>
      <c r="B35" s="881"/>
      <c r="C35" s="882"/>
      <c r="D35" s="8"/>
      <c r="E35" s="129"/>
      <c r="F35" s="130"/>
      <c r="G35" s="131"/>
      <c r="H35" s="18"/>
      <c r="I35" s="253"/>
      <c r="J35" s="130"/>
      <c r="K35" s="253"/>
    </row>
    <row r="36" spans="1:11" x14ac:dyDescent="0.2">
      <c r="A36" s="880"/>
      <c r="B36" s="881"/>
      <c r="C36" s="882"/>
      <c r="D36" s="8"/>
      <c r="E36" s="132" t="s">
        <v>11</v>
      </c>
      <c r="F36" s="130"/>
      <c r="G36" s="131">
        <f>$G34+$G22</f>
        <v>341420833.23028803</v>
      </c>
      <c r="H36" s="18"/>
      <c r="I36" s="151"/>
      <c r="J36" s="130"/>
      <c r="K36" s="253"/>
    </row>
    <row r="37" spans="1:11" x14ac:dyDescent="0.2">
      <c r="A37" s="880"/>
      <c r="B37" s="881"/>
      <c r="C37" s="882"/>
      <c r="D37" s="8"/>
      <c r="E37" s="129"/>
      <c r="F37" s="130"/>
      <c r="G37" s="133"/>
      <c r="H37" s="18"/>
      <c r="I37" s="130"/>
      <c r="J37" s="130"/>
      <c r="K37" s="130"/>
    </row>
    <row r="38" spans="1:11" ht="13.5" thickBot="1" x14ac:dyDescent="0.25">
      <c r="A38" s="883"/>
      <c r="B38" s="884"/>
      <c r="C38" s="885"/>
      <c r="D38" s="8"/>
      <c r="E38" s="134" t="s">
        <v>12</v>
      </c>
      <c r="F38" s="135"/>
      <c r="G38" s="136">
        <f>G34/-G22</f>
        <v>2.519164053309483</v>
      </c>
      <c r="H38" s="7"/>
      <c r="I38" s="859"/>
      <c r="J38" s="130"/>
      <c r="K38" s="191"/>
    </row>
    <row r="39" spans="1:11" x14ac:dyDescent="0.2">
      <c r="A39" s="8"/>
      <c r="B39" s="8"/>
      <c r="C39" s="8"/>
      <c r="D39" s="8"/>
      <c r="E39" s="8"/>
      <c r="F39" s="8"/>
      <c r="G39" s="8"/>
      <c r="I39" s="860"/>
    </row>
    <row r="40" spans="1:11" ht="15.75" thickBot="1" x14ac:dyDescent="0.3">
      <c r="A40" s="871" t="str">
        <f>'Inputs Worksheet'!A9</f>
        <v>Not Used</v>
      </c>
      <c r="B40" s="8"/>
      <c r="C40" s="8"/>
      <c r="D40" s="8"/>
      <c r="E40" s="84" t="str">
        <f>'Inputs Worksheet'!A10</f>
        <v>Name #4</v>
      </c>
      <c r="F40" s="8"/>
      <c r="G40" s="8"/>
      <c r="H40" s="7"/>
      <c r="I40" s="861"/>
      <c r="J40" s="7"/>
    </row>
    <row r="41" spans="1:11" x14ac:dyDescent="0.2">
      <c r="A41" s="877" t="s">
        <v>503</v>
      </c>
      <c r="B41" s="878"/>
      <c r="C41" s="879"/>
      <c r="D41" s="8"/>
      <c r="E41" s="877" t="s">
        <v>503</v>
      </c>
      <c r="F41" s="878"/>
      <c r="G41" s="879"/>
      <c r="H41" s="7"/>
      <c r="I41" s="7"/>
      <c r="J41" s="7"/>
    </row>
    <row r="42" spans="1:11" x14ac:dyDescent="0.2">
      <c r="A42" s="880"/>
      <c r="B42" s="881"/>
      <c r="C42" s="882"/>
      <c r="D42" s="8"/>
      <c r="E42" s="880"/>
      <c r="F42" s="881"/>
      <c r="G42" s="882"/>
      <c r="H42" s="18"/>
      <c r="I42" s="7"/>
      <c r="J42" s="7"/>
    </row>
    <row r="43" spans="1:11" x14ac:dyDescent="0.2">
      <c r="A43" s="880"/>
      <c r="B43" s="881"/>
      <c r="C43" s="882"/>
      <c r="D43" s="8"/>
      <c r="E43" s="880"/>
      <c r="F43" s="881"/>
      <c r="G43" s="882"/>
      <c r="H43" s="18"/>
      <c r="I43" s="7"/>
      <c r="J43" s="7"/>
    </row>
    <row r="44" spans="1:11" x14ac:dyDescent="0.2">
      <c r="A44" s="880"/>
      <c r="B44" s="881"/>
      <c r="C44" s="882"/>
      <c r="D44" s="8"/>
      <c r="E44" s="880"/>
      <c r="F44" s="881"/>
      <c r="G44" s="882"/>
      <c r="H44" s="18"/>
      <c r="I44" s="7"/>
      <c r="J44" s="7"/>
    </row>
    <row r="45" spans="1:11" x14ac:dyDescent="0.2">
      <c r="A45" s="880"/>
      <c r="B45" s="881"/>
      <c r="C45" s="882"/>
      <c r="D45" s="137"/>
      <c r="E45" s="880"/>
      <c r="F45" s="881"/>
      <c r="G45" s="882"/>
      <c r="H45" s="18"/>
      <c r="I45" s="7"/>
      <c r="J45" s="7"/>
    </row>
    <row r="46" spans="1:11" x14ac:dyDescent="0.2">
      <c r="A46" s="880"/>
      <c r="B46" s="881"/>
      <c r="C46" s="882"/>
      <c r="D46" s="8"/>
      <c r="E46" s="880"/>
      <c r="F46" s="881"/>
      <c r="G46" s="882"/>
      <c r="H46" s="18"/>
      <c r="I46" s="7"/>
      <c r="J46" s="7"/>
    </row>
    <row r="47" spans="1:11" x14ac:dyDescent="0.2">
      <c r="A47" s="880"/>
      <c r="B47" s="881"/>
      <c r="C47" s="882"/>
      <c r="D47" s="8"/>
      <c r="E47" s="880"/>
      <c r="F47" s="881"/>
      <c r="G47" s="882"/>
      <c r="H47" s="18"/>
      <c r="I47" s="7"/>
      <c r="J47" s="7"/>
    </row>
    <row r="48" spans="1:11" x14ac:dyDescent="0.2">
      <c r="A48" s="880"/>
      <c r="B48" s="881"/>
      <c r="C48" s="882"/>
      <c r="D48" s="8"/>
      <c r="E48" s="880"/>
      <c r="F48" s="881"/>
      <c r="G48" s="882"/>
      <c r="H48" s="18"/>
      <c r="I48" s="7"/>
      <c r="J48" s="7"/>
    </row>
    <row r="49" spans="1:10" x14ac:dyDescent="0.2">
      <c r="A49" s="880"/>
      <c r="B49" s="881"/>
      <c r="C49" s="882"/>
      <c r="D49" s="8"/>
      <c r="E49" s="880"/>
      <c r="F49" s="881"/>
      <c r="G49" s="882"/>
      <c r="H49" s="18"/>
      <c r="I49" s="7"/>
      <c r="J49" s="7"/>
    </row>
    <row r="50" spans="1:10" x14ac:dyDescent="0.2">
      <c r="A50" s="880"/>
      <c r="B50" s="881"/>
      <c r="C50" s="882"/>
      <c r="D50" s="8"/>
      <c r="E50" s="880"/>
      <c r="F50" s="881"/>
      <c r="G50" s="882"/>
      <c r="H50" s="18"/>
      <c r="I50" s="7"/>
      <c r="J50" s="7"/>
    </row>
    <row r="51" spans="1:10" x14ac:dyDescent="0.2">
      <c r="A51" s="880"/>
      <c r="B51" s="881"/>
      <c r="C51" s="882"/>
      <c r="D51" s="8"/>
      <c r="E51" s="880"/>
      <c r="F51" s="881"/>
      <c r="G51" s="882"/>
      <c r="H51" s="18"/>
      <c r="I51" s="7"/>
      <c r="J51" s="7"/>
    </row>
    <row r="52" spans="1:10" x14ac:dyDescent="0.2">
      <c r="A52" s="880"/>
      <c r="B52" s="881"/>
      <c r="C52" s="882"/>
      <c r="D52" s="8"/>
      <c r="E52" s="880"/>
      <c r="F52" s="881"/>
      <c r="G52" s="882"/>
      <c r="H52" s="18"/>
      <c r="I52" s="7"/>
      <c r="J52" s="7"/>
    </row>
    <row r="53" spans="1:10" x14ac:dyDescent="0.2">
      <c r="A53" s="880"/>
      <c r="B53" s="881"/>
      <c r="C53" s="882"/>
      <c r="D53" s="8"/>
      <c r="E53" s="880"/>
      <c r="F53" s="881"/>
      <c r="G53" s="882"/>
      <c r="H53" s="18"/>
      <c r="I53" s="7"/>
      <c r="J53" s="7"/>
    </row>
    <row r="54" spans="1:10" x14ac:dyDescent="0.2">
      <c r="A54" s="880"/>
      <c r="B54" s="881"/>
      <c r="C54" s="882"/>
      <c r="D54" s="8"/>
      <c r="E54" s="880"/>
      <c r="F54" s="881"/>
      <c r="G54" s="882"/>
      <c r="H54" s="18"/>
      <c r="I54" s="7"/>
      <c r="J54" s="7"/>
    </row>
    <row r="55" spans="1:10" x14ac:dyDescent="0.2">
      <c r="A55" s="880"/>
      <c r="B55" s="881"/>
      <c r="C55" s="882"/>
      <c r="D55" s="8"/>
      <c r="E55" s="880"/>
      <c r="F55" s="881"/>
      <c r="G55" s="882"/>
      <c r="H55" s="18"/>
      <c r="I55" s="7"/>
      <c r="J55" s="7"/>
    </row>
    <row r="56" spans="1:10" x14ac:dyDescent="0.2">
      <c r="A56" s="880"/>
      <c r="B56" s="881"/>
      <c r="C56" s="882"/>
      <c r="D56" s="8"/>
      <c r="E56" s="880"/>
      <c r="F56" s="881"/>
      <c r="G56" s="882"/>
      <c r="H56" s="18"/>
      <c r="I56" s="7"/>
      <c r="J56" s="7"/>
    </row>
    <row r="57" spans="1:10" ht="13.5" thickBot="1" x14ac:dyDescent="0.25">
      <c r="A57" s="883"/>
      <c r="B57" s="884"/>
      <c r="C57" s="885"/>
      <c r="D57" s="8"/>
      <c r="E57" s="883"/>
      <c r="F57" s="884"/>
      <c r="G57" s="885"/>
      <c r="H57" s="7"/>
      <c r="I57" s="7"/>
      <c r="J57" s="7"/>
    </row>
    <row r="58" spans="1:10" x14ac:dyDescent="0.2">
      <c r="E58" s="8"/>
      <c r="F58" s="151"/>
      <c r="G58" s="130"/>
      <c r="H58" s="19"/>
      <c r="I58" s="7"/>
      <c r="J58" s="7"/>
    </row>
    <row r="59" spans="1:10" ht="15.75" thickBot="1" x14ac:dyDescent="0.3">
      <c r="A59" s="84" t="str">
        <f>'Inputs Worksheet'!A11</f>
        <v>Name #5</v>
      </c>
      <c r="B59" s="8"/>
      <c r="C59" s="8"/>
    </row>
    <row r="60" spans="1:10" x14ac:dyDescent="0.2">
      <c r="A60" s="877" t="s">
        <v>503</v>
      </c>
      <c r="B60" s="878"/>
      <c r="C60" s="879"/>
    </row>
    <row r="61" spans="1:10" x14ac:dyDescent="0.2">
      <c r="A61" s="880"/>
      <c r="B61" s="881"/>
      <c r="C61" s="882"/>
    </row>
    <row r="62" spans="1:10" x14ac:dyDescent="0.2">
      <c r="A62" s="880"/>
      <c r="B62" s="881"/>
      <c r="C62" s="882"/>
    </row>
    <row r="63" spans="1:10" x14ac:dyDescent="0.2">
      <c r="A63" s="880"/>
      <c r="B63" s="881"/>
      <c r="C63" s="882"/>
    </row>
    <row r="64" spans="1:10" x14ac:dyDescent="0.2">
      <c r="A64" s="880"/>
      <c r="B64" s="881"/>
      <c r="C64" s="882"/>
    </row>
    <row r="65" spans="1:3" x14ac:dyDescent="0.2">
      <c r="A65" s="880"/>
      <c r="B65" s="881"/>
      <c r="C65" s="882"/>
    </row>
    <row r="66" spans="1:3" x14ac:dyDescent="0.2">
      <c r="A66" s="880"/>
      <c r="B66" s="881"/>
      <c r="C66" s="882"/>
    </row>
    <row r="67" spans="1:3" x14ac:dyDescent="0.2">
      <c r="A67" s="880"/>
      <c r="B67" s="881"/>
      <c r="C67" s="882"/>
    </row>
    <row r="68" spans="1:3" x14ac:dyDescent="0.2">
      <c r="A68" s="880"/>
      <c r="B68" s="881"/>
      <c r="C68" s="882"/>
    </row>
    <row r="69" spans="1:3" x14ac:dyDescent="0.2">
      <c r="A69" s="880"/>
      <c r="B69" s="881"/>
      <c r="C69" s="882"/>
    </row>
    <row r="70" spans="1:3" x14ac:dyDescent="0.2">
      <c r="A70" s="880"/>
      <c r="B70" s="881"/>
      <c r="C70" s="882"/>
    </row>
    <row r="71" spans="1:3" x14ac:dyDescent="0.2">
      <c r="A71" s="880"/>
      <c r="B71" s="881"/>
      <c r="C71" s="882"/>
    </row>
    <row r="72" spans="1:3" x14ac:dyDescent="0.2">
      <c r="A72" s="880"/>
      <c r="B72" s="881"/>
      <c r="C72" s="882"/>
    </row>
    <row r="73" spans="1:3" x14ac:dyDescent="0.2">
      <c r="A73" s="880"/>
      <c r="B73" s="881"/>
      <c r="C73" s="882"/>
    </row>
    <row r="74" spans="1:3" x14ac:dyDescent="0.2">
      <c r="A74" s="880"/>
      <c r="B74" s="881"/>
      <c r="C74" s="882"/>
    </row>
    <row r="75" spans="1:3" x14ac:dyDescent="0.2">
      <c r="A75" s="880"/>
      <c r="B75" s="881"/>
      <c r="C75" s="882"/>
    </row>
    <row r="76" spans="1:3" ht="13.5" thickBot="1" x14ac:dyDescent="0.25">
      <c r="A76" s="883"/>
      <c r="B76" s="884"/>
      <c r="C76" s="885"/>
    </row>
    <row r="77" spans="1:3" x14ac:dyDescent="0.2">
      <c r="C77" s="253"/>
    </row>
  </sheetData>
  <mergeCells count="4">
    <mergeCell ref="A22:C38"/>
    <mergeCell ref="A41:C57"/>
    <mergeCell ref="E41:G57"/>
    <mergeCell ref="A60:C76"/>
  </mergeCells>
  <phoneticPr fontId="15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B182"/>
  <sheetViews>
    <sheetView zoomScale="65" zoomScaleNormal="65" workbookViewId="0">
      <selection activeCell="K65" sqref="K65:AD65"/>
    </sheetView>
  </sheetViews>
  <sheetFormatPr defaultColWidth="9.140625" defaultRowHeight="15" x14ac:dyDescent="0.25"/>
  <cols>
    <col min="1" max="1" width="2.42578125" style="81" customWidth="1"/>
    <col min="2" max="2" width="50.7109375" style="20" customWidth="1"/>
    <col min="3" max="3" width="14.5703125" style="20" customWidth="1"/>
    <col min="4" max="4" width="15.28515625" style="20" customWidth="1"/>
    <col min="5" max="5" width="15.140625" style="20" customWidth="1"/>
    <col min="6" max="6" width="13.42578125" style="20" customWidth="1"/>
    <col min="7" max="7" width="12.5703125" style="20" customWidth="1"/>
    <col min="8" max="8" width="12.7109375" style="20" customWidth="1"/>
    <col min="9" max="9" width="15" style="20" customWidth="1"/>
    <col min="10" max="10" width="14.7109375" style="20" customWidth="1"/>
    <col min="11" max="11" width="15.140625" style="20" customWidth="1"/>
    <col min="12" max="12" width="13.5703125" style="20" customWidth="1"/>
    <col min="13" max="13" width="18.5703125" style="20" customWidth="1"/>
    <col min="14" max="14" width="15.140625" style="20" customWidth="1"/>
    <col min="15" max="15" width="18.7109375" style="20" customWidth="1"/>
    <col min="16" max="19" width="15.140625" style="20" customWidth="1"/>
    <col min="20" max="20" width="15.42578125" style="20" customWidth="1"/>
    <col min="21" max="26" width="15.140625" style="20" customWidth="1"/>
    <col min="27" max="27" width="14.7109375" style="20" customWidth="1"/>
    <col min="28" max="28" width="19.7109375" style="20" customWidth="1"/>
    <col min="29" max="34" width="15.140625" style="20" customWidth="1"/>
    <col min="35" max="35" width="21.5703125" style="20" bestFit="1" customWidth="1"/>
    <col min="36" max="36" width="15.140625" style="20" customWidth="1"/>
    <col min="37" max="38" width="15.140625" style="20" bestFit="1" customWidth="1"/>
    <col min="39" max="39" width="15.42578125" style="20" customWidth="1"/>
    <col min="40" max="40" width="12.140625" style="20" customWidth="1"/>
    <col min="41" max="41" width="11.140625" style="20" customWidth="1"/>
    <col min="42" max="42" width="11" style="20" customWidth="1"/>
    <col min="43" max="43" width="11.5703125" style="20" customWidth="1"/>
    <col min="44" max="44" width="11.85546875" style="20" customWidth="1"/>
    <col min="45" max="45" width="12.5703125" style="20" customWidth="1"/>
    <col min="46" max="46" width="12.7109375" style="20" customWidth="1"/>
    <col min="47" max="47" width="11" style="20" customWidth="1"/>
    <col min="48" max="48" width="12.140625" style="20" customWidth="1"/>
    <col min="49" max="49" width="11.140625" style="20" customWidth="1"/>
    <col min="50" max="50" width="13.28515625" style="20" customWidth="1"/>
    <col min="51" max="51" width="10.5703125" style="20" customWidth="1"/>
    <col min="52" max="52" width="11.85546875" style="20" customWidth="1"/>
    <col min="53" max="58" width="16.28515625" style="20" customWidth="1"/>
    <col min="59" max="59" width="15.28515625" style="20" bestFit="1" customWidth="1"/>
    <col min="60" max="62" width="10.5703125" style="20" bestFit="1" customWidth="1"/>
    <col min="63" max="65" width="10.5703125" style="20" customWidth="1"/>
    <col min="66" max="66" width="12.28515625" style="20" customWidth="1"/>
    <col min="67" max="67" width="10" style="20" customWidth="1"/>
    <col min="68" max="68" width="9" style="20" customWidth="1"/>
    <col min="69" max="69" width="10.28515625" style="20" customWidth="1"/>
    <col min="70" max="81" width="11.5703125" style="20" customWidth="1"/>
    <col min="82" max="82" width="11.5703125" style="20" bestFit="1" customWidth="1"/>
    <col min="83" max="83" width="11.140625" style="20" bestFit="1" customWidth="1"/>
    <col min="84" max="84" width="12" style="20" bestFit="1" customWidth="1"/>
    <col min="85" max="85" width="11.5703125" style="20" customWidth="1"/>
    <col min="86" max="86" width="11.5703125" style="20" bestFit="1" customWidth="1"/>
    <col min="87" max="87" width="12" style="20" bestFit="1" customWidth="1"/>
    <col min="88" max="89" width="11.5703125" style="20" bestFit="1" customWidth="1"/>
    <col min="90" max="91" width="12" style="20" bestFit="1" customWidth="1"/>
    <col min="92" max="92" width="11.5703125" style="20" bestFit="1" customWidth="1"/>
    <col min="93" max="95" width="12" style="20" bestFit="1" customWidth="1"/>
    <col min="96" max="96" width="11.5703125" style="20" bestFit="1" customWidth="1"/>
    <col min="97" max="98" width="12" style="20" bestFit="1" customWidth="1"/>
    <col min="99" max="99" width="11.5703125" style="20" bestFit="1" customWidth="1"/>
    <col min="100" max="102" width="12" style="20" bestFit="1" customWidth="1"/>
    <col min="103" max="103" width="11.5703125" style="20" bestFit="1" customWidth="1"/>
    <col min="104" max="104" width="21.5703125" style="20" bestFit="1" customWidth="1"/>
    <col min="105" max="105" width="15.140625" style="20" bestFit="1" customWidth="1"/>
    <col min="106" max="106" width="10" style="20" bestFit="1" customWidth="1"/>
    <col min="107" max="107" width="15.140625" style="20" bestFit="1" customWidth="1"/>
    <col min="108" max="16384" width="9.140625" style="20"/>
  </cols>
  <sheetData>
    <row r="1" spans="1:105" x14ac:dyDescent="0.25">
      <c r="B1" s="27" t="s">
        <v>44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05" x14ac:dyDescent="0.25">
      <c r="B2" s="50">
        <f>'Inputs Worksheet'!A29</f>
        <v>2027</v>
      </c>
      <c r="C2" s="189"/>
      <c r="D2" s="186"/>
      <c r="E2" s="223" t="s">
        <v>76</v>
      </c>
      <c r="F2" s="224"/>
      <c r="G2" s="224"/>
      <c r="H2" s="224"/>
      <c r="I2" s="224"/>
      <c r="J2" s="225"/>
      <c r="K2" s="225"/>
      <c r="L2" s="225"/>
      <c r="M2" s="225"/>
      <c r="N2" s="886" t="s">
        <v>229</v>
      </c>
      <c r="O2" s="886"/>
      <c r="P2" s="886"/>
      <c r="Q2" s="886"/>
      <c r="R2" s="886"/>
      <c r="S2" s="886"/>
      <c r="T2" s="886"/>
      <c r="U2" s="886"/>
      <c r="V2" s="886"/>
      <c r="W2" s="886"/>
      <c r="X2" s="886"/>
      <c r="Y2" s="887"/>
      <c r="Z2" s="887"/>
      <c r="AA2" s="887"/>
      <c r="AB2" s="887"/>
      <c r="AC2" s="887"/>
      <c r="AD2" s="887"/>
      <c r="AE2" s="887"/>
      <c r="AF2" s="887"/>
      <c r="AG2" s="887"/>
      <c r="AH2" s="887"/>
      <c r="AI2" s="887"/>
      <c r="AJ2" s="886"/>
      <c r="AK2" s="888" t="s">
        <v>35</v>
      </c>
      <c r="AL2" s="889"/>
      <c r="AM2" s="889"/>
      <c r="AN2" s="889"/>
      <c r="AO2" s="889"/>
      <c r="AP2" s="889"/>
      <c r="AQ2" s="889"/>
      <c r="AR2" s="889"/>
      <c r="AS2" s="889"/>
      <c r="AT2" s="889"/>
      <c r="AU2" s="889"/>
      <c r="AV2" s="890"/>
      <c r="AW2" s="890"/>
      <c r="AX2" s="890"/>
      <c r="AY2" s="890"/>
      <c r="AZ2" s="890"/>
      <c r="BA2" s="890"/>
      <c r="BB2" s="890"/>
      <c r="BC2" s="890"/>
      <c r="BD2" s="890"/>
      <c r="BE2" s="890"/>
      <c r="BF2" s="890"/>
      <c r="BG2" s="891"/>
      <c r="BH2" s="892" t="s">
        <v>36</v>
      </c>
      <c r="BI2" s="893"/>
      <c r="BJ2" s="893"/>
      <c r="BK2" s="893"/>
      <c r="BL2" s="893"/>
      <c r="BM2" s="893"/>
      <c r="BN2" s="893"/>
      <c r="BO2" s="893"/>
      <c r="BP2" s="893"/>
      <c r="BQ2" s="893"/>
      <c r="BR2" s="893"/>
      <c r="BS2" s="894"/>
      <c r="BT2" s="894"/>
      <c r="BU2" s="894"/>
      <c r="BV2" s="894"/>
      <c r="BW2" s="894"/>
      <c r="BX2" s="894"/>
      <c r="BY2" s="894"/>
      <c r="BZ2" s="894"/>
      <c r="CA2" s="894"/>
      <c r="CB2" s="894"/>
      <c r="CC2" s="894"/>
      <c r="CD2" s="895"/>
      <c r="CE2" s="896" t="s">
        <v>37</v>
      </c>
      <c r="CF2" s="897"/>
      <c r="CG2" s="897"/>
      <c r="CH2" s="897"/>
      <c r="CI2" s="897"/>
      <c r="CJ2" s="897"/>
      <c r="CK2" s="897"/>
      <c r="CL2" s="897"/>
      <c r="CM2" s="897"/>
      <c r="CN2" s="897"/>
      <c r="CO2" s="897"/>
      <c r="CP2" s="898"/>
      <c r="CQ2" s="898"/>
      <c r="CR2" s="898"/>
      <c r="CS2" s="898"/>
      <c r="CT2" s="898"/>
      <c r="CU2" s="898"/>
      <c r="CV2" s="898"/>
      <c r="CW2" s="898"/>
      <c r="CX2" s="898"/>
      <c r="CY2" s="898"/>
      <c r="CZ2" s="898"/>
      <c r="DA2" s="899"/>
    </row>
    <row r="3" spans="1:105" ht="61.5" customHeight="1" x14ac:dyDescent="0.25">
      <c r="B3" s="72" t="s">
        <v>156</v>
      </c>
      <c r="C3" s="186" t="s">
        <v>85</v>
      </c>
      <c r="D3" s="186" t="s">
        <v>84</v>
      </c>
      <c r="E3" s="226" t="str">
        <f>'Inputs Worksheet'!H58</f>
        <v>Fatal</v>
      </c>
      <c r="F3" s="226" t="str">
        <f>'Inputs Worksheet'!I58</f>
        <v>Injury A</v>
      </c>
      <c r="G3" s="226" t="str">
        <f>'Inputs Worksheet'!J58</f>
        <v>Injury B</v>
      </c>
      <c r="H3" s="226" t="str">
        <f>'Inputs Worksheet'!K58</f>
        <v>Injury C</v>
      </c>
      <c r="I3" s="226" t="str">
        <f>'Inputs Worksheet'!L58</f>
        <v>PDO</v>
      </c>
      <c r="J3" s="226" t="s">
        <v>245</v>
      </c>
      <c r="K3" s="391"/>
      <c r="L3" s="391"/>
      <c r="M3" s="391"/>
      <c r="N3" s="58">
        <f>'Inputs Worksheet'!Z32</f>
        <v>2027</v>
      </c>
      <c r="O3" s="33">
        <f>'Inputs Worksheet'!AA32</f>
        <v>2028</v>
      </c>
      <c r="P3" s="33">
        <f>'Inputs Worksheet'!AB32</f>
        <v>2029</v>
      </c>
      <c r="Q3" s="33">
        <f>'Inputs Worksheet'!AC32</f>
        <v>2030</v>
      </c>
      <c r="R3" s="33">
        <f>'Inputs Worksheet'!AD32</f>
        <v>2031</v>
      </c>
      <c r="S3" s="33">
        <f>'Inputs Worksheet'!AE32</f>
        <v>2032</v>
      </c>
      <c r="T3" s="33">
        <f>'Inputs Worksheet'!AF32</f>
        <v>2033</v>
      </c>
      <c r="U3" s="33">
        <f>'Inputs Worksheet'!AG32</f>
        <v>2034</v>
      </c>
      <c r="V3" s="33">
        <f>'Inputs Worksheet'!AH32</f>
        <v>2035</v>
      </c>
      <c r="W3" s="33">
        <f>'Inputs Worksheet'!AI32</f>
        <v>2036</v>
      </c>
      <c r="X3" s="33">
        <f>'Inputs Worksheet'!AJ32</f>
        <v>2037</v>
      </c>
      <c r="Y3" s="33">
        <f>'Inputs Worksheet'!AK32</f>
        <v>2038</v>
      </c>
      <c r="Z3" s="33">
        <f>'Inputs Worksheet'!AL32</f>
        <v>2039</v>
      </c>
      <c r="AA3" s="33">
        <f>'Inputs Worksheet'!AM32</f>
        <v>2040</v>
      </c>
      <c r="AB3" s="33">
        <f>'Inputs Worksheet'!AN32</f>
        <v>2041</v>
      </c>
      <c r="AC3" s="33">
        <f>'Inputs Worksheet'!AO32</f>
        <v>2042</v>
      </c>
      <c r="AD3" s="33">
        <f>'Inputs Worksheet'!AP32</f>
        <v>2043</v>
      </c>
      <c r="AE3" s="33">
        <f>'Inputs Worksheet'!AQ32</f>
        <v>2044</v>
      </c>
      <c r="AF3" s="33">
        <f>'Inputs Worksheet'!AR32</f>
        <v>2045</v>
      </c>
      <c r="AG3" s="33">
        <f>'Inputs Worksheet'!AS32</f>
        <v>2046</v>
      </c>
      <c r="AH3" s="33">
        <f>'Inputs Worksheet'!AT32</f>
        <v>2047</v>
      </c>
      <c r="AI3" s="33">
        <f>'Inputs Worksheet'!AU32</f>
        <v>2048</v>
      </c>
      <c r="AJ3" s="33" t="str">
        <f>'Inputs Worksheet'!AV32</f>
        <v>Annual Average</v>
      </c>
      <c r="AK3" s="59">
        <f>'Inputs Worksheet'!AW32</f>
        <v>2027</v>
      </c>
      <c r="AL3" s="60">
        <f>'Inputs Worksheet'!AX32</f>
        <v>2028</v>
      </c>
      <c r="AM3" s="60">
        <f>'Inputs Worksheet'!AY32</f>
        <v>2029</v>
      </c>
      <c r="AN3" s="60">
        <f>'Inputs Worksheet'!AZ32</f>
        <v>2030</v>
      </c>
      <c r="AO3" s="60">
        <f>'Inputs Worksheet'!BA32</f>
        <v>2031</v>
      </c>
      <c r="AP3" s="60">
        <f>'Inputs Worksheet'!BB32</f>
        <v>2032</v>
      </c>
      <c r="AQ3" s="60">
        <f>'Inputs Worksheet'!BC32</f>
        <v>2033</v>
      </c>
      <c r="AR3" s="60">
        <f>'Inputs Worksheet'!BD32</f>
        <v>2034</v>
      </c>
      <c r="AS3" s="60">
        <f>'Inputs Worksheet'!BE32</f>
        <v>2035</v>
      </c>
      <c r="AT3" s="60">
        <f>'Inputs Worksheet'!BF32</f>
        <v>2036</v>
      </c>
      <c r="AU3" s="60">
        <f>'Inputs Worksheet'!BG32</f>
        <v>2037</v>
      </c>
      <c r="AV3" s="60">
        <f>'Inputs Worksheet'!BH32</f>
        <v>2038</v>
      </c>
      <c r="AW3" s="60">
        <f>'Inputs Worksheet'!BI32</f>
        <v>2039</v>
      </c>
      <c r="AX3" s="60">
        <f>'Inputs Worksheet'!BJ32</f>
        <v>2040</v>
      </c>
      <c r="AY3" s="60">
        <f>'Inputs Worksheet'!BK32</f>
        <v>2041</v>
      </c>
      <c r="AZ3" s="60">
        <f>'Inputs Worksheet'!BL32</f>
        <v>2042</v>
      </c>
      <c r="BA3" s="60">
        <f>'Inputs Worksheet'!BM32</f>
        <v>2043</v>
      </c>
      <c r="BB3" s="60">
        <f>'Inputs Worksheet'!BN32</f>
        <v>2044</v>
      </c>
      <c r="BC3" s="60">
        <f>'Inputs Worksheet'!BO32</f>
        <v>2045</v>
      </c>
      <c r="BD3" s="60">
        <f>'Inputs Worksheet'!BP32</f>
        <v>2046</v>
      </c>
      <c r="BE3" s="60">
        <f>'Inputs Worksheet'!BQ32</f>
        <v>2047</v>
      </c>
      <c r="BF3" s="60">
        <f>'Inputs Worksheet'!BR32</f>
        <v>2048</v>
      </c>
      <c r="BG3" s="60" t="str">
        <f>'Inputs Worksheet'!BS32</f>
        <v>Annual Average</v>
      </c>
      <c r="BH3" s="61" t="e">
        <f>'Inputs Worksheet'!#REF!</f>
        <v>#REF!</v>
      </c>
      <c r="BI3" s="62" t="e">
        <f>'Inputs Worksheet'!#REF!</f>
        <v>#REF!</v>
      </c>
      <c r="BJ3" s="62" t="e">
        <f>'Inputs Worksheet'!#REF!</f>
        <v>#REF!</v>
      </c>
      <c r="BK3" s="62" t="e">
        <f>'Inputs Worksheet'!#REF!</f>
        <v>#REF!</v>
      </c>
      <c r="BL3" s="62" t="e">
        <f>'Inputs Worksheet'!#REF!</f>
        <v>#REF!</v>
      </c>
      <c r="BM3" s="62" t="e">
        <f>'Inputs Worksheet'!#REF!</f>
        <v>#REF!</v>
      </c>
      <c r="BN3" s="62" t="e">
        <f>'Inputs Worksheet'!#REF!</f>
        <v>#REF!</v>
      </c>
      <c r="BO3" s="62" t="e">
        <f>'Inputs Worksheet'!#REF!</f>
        <v>#REF!</v>
      </c>
      <c r="BP3" s="62" t="e">
        <f>'Inputs Worksheet'!#REF!</f>
        <v>#REF!</v>
      </c>
      <c r="BQ3" s="62" t="e">
        <f>'Inputs Worksheet'!#REF!</f>
        <v>#REF!</v>
      </c>
      <c r="BR3" s="62" t="e">
        <f>'Inputs Worksheet'!#REF!</f>
        <v>#REF!</v>
      </c>
      <c r="BS3" s="62" t="e">
        <f>'Inputs Worksheet'!#REF!</f>
        <v>#REF!</v>
      </c>
      <c r="BT3" s="62" t="e">
        <f>'Inputs Worksheet'!#REF!</f>
        <v>#REF!</v>
      </c>
      <c r="BU3" s="62" t="e">
        <f>'Inputs Worksheet'!#REF!</f>
        <v>#REF!</v>
      </c>
      <c r="BV3" s="62" t="e">
        <f>'Inputs Worksheet'!#REF!</f>
        <v>#REF!</v>
      </c>
      <c r="BW3" s="62" t="e">
        <f>'Inputs Worksheet'!#REF!</f>
        <v>#REF!</v>
      </c>
      <c r="BX3" s="62" t="e">
        <f>'Inputs Worksheet'!#REF!</f>
        <v>#REF!</v>
      </c>
      <c r="BY3" s="62" t="e">
        <f>'Inputs Worksheet'!#REF!</f>
        <v>#REF!</v>
      </c>
      <c r="BZ3" s="62" t="e">
        <f>'Inputs Worksheet'!#REF!</f>
        <v>#REF!</v>
      </c>
      <c r="CA3" s="62" t="e">
        <f>'Inputs Worksheet'!#REF!</f>
        <v>#REF!</v>
      </c>
      <c r="CB3" s="62" t="e">
        <f>'Inputs Worksheet'!#REF!</f>
        <v>#REF!</v>
      </c>
      <c r="CC3" s="62" t="e">
        <f>'Inputs Worksheet'!#REF!</f>
        <v>#REF!</v>
      </c>
      <c r="CD3" s="62" t="e">
        <f>'Inputs Worksheet'!#REF!</f>
        <v>#REF!</v>
      </c>
      <c r="CE3" s="63">
        <f>'Inputs Worksheet'!BT32</f>
        <v>2027</v>
      </c>
      <c r="CF3" s="64">
        <f>'Inputs Worksheet'!BU32</f>
        <v>2028</v>
      </c>
      <c r="CG3" s="64">
        <f>'Inputs Worksheet'!BV32</f>
        <v>2029</v>
      </c>
      <c r="CH3" s="64">
        <f>'Inputs Worksheet'!BW32</f>
        <v>2030</v>
      </c>
      <c r="CI3" s="64">
        <f>'Inputs Worksheet'!BX32</f>
        <v>2031</v>
      </c>
      <c r="CJ3" s="64">
        <f>'Inputs Worksheet'!BY32</f>
        <v>2032</v>
      </c>
      <c r="CK3" s="64">
        <f>'Inputs Worksheet'!BZ32</f>
        <v>2033</v>
      </c>
      <c r="CL3" s="64">
        <f>'Inputs Worksheet'!CA32</f>
        <v>2034</v>
      </c>
      <c r="CM3" s="64">
        <f>'Inputs Worksheet'!CB32</f>
        <v>2035</v>
      </c>
      <c r="CN3" s="64">
        <f>'Inputs Worksheet'!CC32</f>
        <v>2036</v>
      </c>
      <c r="CO3" s="64">
        <f>'Inputs Worksheet'!CD32</f>
        <v>2037</v>
      </c>
      <c r="CP3" s="64">
        <f>'Inputs Worksheet'!CE32</f>
        <v>2038</v>
      </c>
      <c r="CQ3" s="64">
        <f>'Inputs Worksheet'!CF32</f>
        <v>2039</v>
      </c>
      <c r="CR3" s="64">
        <f>'Inputs Worksheet'!CG32</f>
        <v>2040</v>
      </c>
      <c r="CS3" s="64">
        <f>'Inputs Worksheet'!CH32</f>
        <v>2041</v>
      </c>
      <c r="CT3" s="64">
        <f>'Inputs Worksheet'!CI32</f>
        <v>2042</v>
      </c>
      <c r="CU3" s="64">
        <f>'Inputs Worksheet'!CJ32</f>
        <v>2043</v>
      </c>
      <c r="CV3" s="64">
        <f>'Inputs Worksheet'!CK32</f>
        <v>2044</v>
      </c>
      <c r="CW3" s="64">
        <f>'Inputs Worksheet'!CL32</f>
        <v>2045</v>
      </c>
      <c r="CX3" s="64">
        <f>'Inputs Worksheet'!CM32</f>
        <v>2046</v>
      </c>
      <c r="CY3" s="64">
        <f>'Inputs Worksheet'!CN32</f>
        <v>2047</v>
      </c>
      <c r="CZ3" s="64">
        <f>'Inputs Worksheet'!CO32</f>
        <v>2048</v>
      </c>
      <c r="DA3" s="64" t="str">
        <f>'Inputs Worksheet'!CP32</f>
        <v>Annual Average</v>
      </c>
    </row>
    <row r="4" spans="1:105" ht="16.5" customHeight="1" x14ac:dyDescent="0.25">
      <c r="A4" s="81">
        <v>1</v>
      </c>
      <c r="B4" s="96" t="str">
        <f>'Inputs Worksheet'!A7</f>
        <v>Not Used</v>
      </c>
      <c r="C4" s="529">
        <v>1</v>
      </c>
      <c r="D4" s="529">
        <v>1</v>
      </c>
      <c r="E4" s="443">
        <f>'Inputs Worksheet'!H77</f>
        <v>0</v>
      </c>
      <c r="F4" s="443">
        <f>'Inputs Worksheet'!I77</f>
        <v>0</v>
      </c>
      <c r="G4" s="443">
        <f>'Inputs Worksheet'!J77</f>
        <v>0</v>
      </c>
      <c r="H4" s="443">
        <f>'Inputs Worksheet'!K77</f>
        <v>0</v>
      </c>
      <c r="I4" s="443">
        <f>'Inputs Worksheet'!L77</f>
        <v>0</v>
      </c>
      <c r="J4" s="443">
        <f>'Inputs Worksheet'!M77</f>
        <v>0</v>
      </c>
      <c r="K4" s="392"/>
      <c r="L4" s="392"/>
      <c r="M4" s="392"/>
      <c r="N4" s="68" t="e">
        <f>'Inputs Worksheet'!Z33</f>
        <v>#VALUE!</v>
      </c>
      <c r="O4" s="68" t="e">
        <f>'Inputs Worksheet'!AA33</f>
        <v>#VALUE!</v>
      </c>
      <c r="P4" s="68" t="e">
        <f>'Inputs Worksheet'!AB33</f>
        <v>#VALUE!</v>
      </c>
      <c r="Q4" s="68" t="e">
        <f>'Inputs Worksheet'!AC33</f>
        <v>#VALUE!</v>
      </c>
      <c r="R4" s="68" t="e">
        <f>'Inputs Worksheet'!AD33</f>
        <v>#VALUE!</v>
      </c>
      <c r="S4" s="68" t="e">
        <f>'Inputs Worksheet'!AE33</f>
        <v>#VALUE!</v>
      </c>
      <c r="T4" s="68" t="e">
        <f>'Inputs Worksheet'!AF33</f>
        <v>#VALUE!</v>
      </c>
      <c r="U4" s="68" t="e">
        <f>'Inputs Worksheet'!AG33</f>
        <v>#VALUE!</v>
      </c>
      <c r="V4" s="68" t="e">
        <f>'Inputs Worksheet'!AH33</f>
        <v>#VALUE!</v>
      </c>
      <c r="W4" s="68" t="e">
        <f>'Inputs Worksheet'!AI33</f>
        <v>#VALUE!</v>
      </c>
      <c r="X4" s="68" t="e">
        <f>'Inputs Worksheet'!AJ33</f>
        <v>#VALUE!</v>
      </c>
      <c r="Y4" s="68" t="e">
        <f>'Inputs Worksheet'!AK33</f>
        <v>#VALUE!</v>
      </c>
      <c r="Z4" s="68" t="e">
        <f>'Inputs Worksheet'!AL33</f>
        <v>#VALUE!</v>
      </c>
      <c r="AA4" s="68" t="e">
        <f>'Inputs Worksheet'!AM33</f>
        <v>#VALUE!</v>
      </c>
      <c r="AB4" s="68" t="e">
        <f>'Inputs Worksheet'!AN33</f>
        <v>#VALUE!</v>
      </c>
      <c r="AC4" s="68" t="e">
        <f>'Inputs Worksheet'!AO33</f>
        <v>#VALUE!</v>
      </c>
      <c r="AD4" s="68" t="e">
        <f>'Inputs Worksheet'!AP33</f>
        <v>#VALUE!</v>
      </c>
      <c r="AE4" s="68" t="e">
        <f>'Inputs Worksheet'!AQ33</f>
        <v>#VALUE!</v>
      </c>
      <c r="AF4" s="68" t="e">
        <f>'Inputs Worksheet'!AR33</f>
        <v>#VALUE!</v>
      </c>
      <c r="AG4" s="68" t="e">
        <f>'Inputs Worksheet'!AS33</f>
        <v>#VALUE!</v>
      </c>
      <c r="AH4" s="68"/>
      <c r="AI4" s="68"/>
      <c r="AJ4" s="68" t="e">
        <f>'Inputs Worksheet'!AV33</f>
        <v>#VALUE!</v>
      </c>
      <c r="AK4" s="69">
        <f>'Inputs Worksheet'!AW33</f>
        <v>0</v>
      </c>
      <c r="AL4" s="69" t="e">
        <f>'Inputs Worksheet'!AX33</f>
        <v>#VALUE!</v>
      </c>
      <c r="AM4" s="69" t="e">
        <f>'Inputs Worksheet'!AY33</f>
        <v>#VALUE!</v>
      </c>
      <c r="AN4" s="69" t="e">
        <f>'Inputs Worksheet'!AZ33</f>
        <v>#VALUE!</v>
      </c>
      <c r="AO4" s="69" t="e">
        <f>'Inputs Worksheet'!BA33</f>
        <v>#VALUE!</v>
      </c>
      <c r="AP4" s="69" t="e">
        <f>'Inputs Worksheet'!BB33</f>
        <v>#VALUE!</v>
      </c>
      <c r="AQ4" s="69" t="e">
        <f>'Inputs Worksheet'!BC33</f>
        <v>#VALUE!</v>
      </c>
      <c r="AR4" s="69" t="e">
        <f>'Inputs Worksheet'!BD33</f>
        <v>#VALUE!</v>
      </c>
      <c r="AS4" s="69" t="e">
        <f>'Inputs Worksheet'!BE33</f>
        <v>#VALUE!</v>
      </c>
      <c r="AT4" s="69" t="e">
        <f>'Inputs Worksheet'!BF33</f>
        <v>#VALUE!</v>
      </c>
      <c r="AU4" s="69" t="e">
        <f>'Inputs Worksheet'!BG33</f>
        <v>#VALUE!</v>
      </c>
      <c r="AV4" s="69" t="e">
        <f>'Inputs Worksheet'!BH33</f>
        <v>#VALUE!</v>
      </c>
      <c r="AW4" s="69" t="e">
        <f>'Inputs Worksheet'!BI33</f>
        <v>#VALUE!</v>
      </c>
      <c r="AX4" s="69" t="e">
        <f>'Inputs Worksheet'!BJ33</f>
        <v>#VALUE!</v>
      </c>
      <c r="AY4" s="69" t="e">
        <f>'Inputs Worksheet'!BK33</f>
        <v>#VALUE!</v>
      </c>
      <c r="AZ4" s="69" t="e">
        <f>'Inputs Worksheet'!BL33</f>
        <v>#VALUE!</v>
      </c>
      <c r="BA4" s="69" t="e">
        <f>'Inputs Worksheet'!BM33</f>
        <v>#VALUE!</v>
      </c>
      <c r="BB4" s="69" t="e">
        <f>'Inputs Worksheet'!BN33</f>
        <v>#VALUE!</v>
      </c>
      <c r="BC4" s="69" t="e">
        <f>'Inputs Worksheet'!BO33</f>
        <v>#VALUE!</v>
      </c>
      <c r="BD4" s="69" t="e">
        <f>'Inputs Worksheet'!BP33</f>
        <v>#VALUE!</v>
      </c>
      <c r="BE4" s="69">
        <f>'Inputs Worksheet'!BQ33</f>
        <v>0</v>
      </c>
      <c r="BF4" s="69">
        <f>'Inputs Worksheet'!BR33</f>
        <v>0</v>
      </c>
      <c r="BG4" s="69" t="e">
        <f>'Inputs Worksheet'!BS33</f>
        <v>#VALUE!</v>
      </c>
      <c r="BH4" s="70" t="e">
        <f>'Inputs Worksheet'!#REF!</f>
        <v>#REF!</v>
      </c>
      <c r="BI4" s="70" t="e">
        <f>'Inputs Worksheet'!#REF!</f>
        <v>#REF!</v>
      </c>
      <c r="BJ4" s="70" t="e">
        <f>'Inputs Worksheet'!#REF!</f>
        <v>#REF!</v>
      </c>
      <c r="BK4" s="70" t="e">
        <f>'Inputs Worksheet'!#REF!</f>
        <v>#REF!</v>
      </c>
      <c r="BL4" s="70" t="e">
        <f>'Inputs Worksheet'!#REF!</f>
        <v>#REF!</v>
      </c>
      <c r="BM4" s="70" t="e">
        <f>'Inputs Worksheet'!#REF!</f>
        <v>#REF!</v>
      </c>
      <c r="BN4" s="70" t="e">
        <f>'Inputs Worksheet'!#REF!</f>
        <v>#REF!</v>
      </c>
      <c r="BO4" s="70" t="e">
        <f>'Inputs Worksheet'!#REF!</f>
        <v>#REF!</v>
      </c>
      <c r="BP4" s="70" t="e">
        <f>'Inputs Worksheet'!#REF!</f>
        <v>#REF!</v>
      </c>
      <c r="BQ4" s="70" t="e">
        <f>'Inputs Worksheet'!#REF!</f>
        <v>#REF!</v>
      </c>
      <c r="BR4" s="70" t="e">
        <f>'Inputs Worksheet'!#REF!</f>
        <v>#REF!</v>
      </c>
      <c r="BS4" s="70" t="e">
        <f>'Inputs Worksheet'!#REF!</f>
        <v>#REF!</v>
      </c>
      <c r="BT4" s="70" t="e">
        <f>'Inputs Worksheet'!#REF!</f>
        <v>#REF!</v>
      </c>
      <c r="BU4" s="70" t="e">
        <f>'Inputs Worksheet'!#REF!</f>
        <v>#REF!</v>
      </c>
      <c r="BV4" s="70" t="e">
        <f>'Inputs Worksheet'!#REF!</f>
        <v>#REF!</v>
      </c>
      <c r="BW4" s="70" t="e">
        <f>'Inputs Worksheet'!#REF!</f>
        <v>#REF!</v>
      </c>
      <c r="BX4" s="70" t="e">
        <f>'Inputs Worksheet'!#REF!</f>
        <v>#REF!</v>
      </c>
      <c r="BY4" s="70" t="e">
        <f>'Inputs Worksheet'!#REF!</f>
        <v>#REF!</v>
      </c>
      <c r="BZ4" s="70" t="e">
        <f>'Inputs Worksheet'!#REF!</f>
        <v>#REF!</v>
      </c>
      <c r="CA4" s="70" t="e">
        <f>'Inputs Worksheet'!#REF!</f>
        <v>#REF!</v>
      </c>
      <c r="CB4" s="70" t="e">
        <f>'Inputs Worksheet'!#REF!</f>
        <v>#REF!</v>
      </c>
      <c r="CC4" s="70" t="e">
        <f>'Inputs Worksheet'!#REF!</f>
        <v>#REF!</v>
      </c>
      <c r="CD4" s="70" t="e">
        <f>'Inputs Worksheet'!#REF!</f>
        <v>#REF!</v>
      </c>
      <c r="CE4" s="71">
        <f>'Inputs Worksheet'!BT33</f>
        <v>0</v>
      </c>
      <c r="CF4" s="71" t="e">
        <f>'Inputs Worksheet'!BU33</f>
        <v>#VALUE!</v>
      </c>
      <c r="CG4" s="71" t="e">
        <f>'Inputs Worksheet'!BV33</f>
        <v>#VALUE!</v>
      </c>
      <c r="CH4" s="71" t="e">
        <f>'Inputs Worksheet'!BW33</f>
        <v>#VALUE!</v>
      </c>
      <c r="CI4" s="71" t="e">
        <f>'Inputs Worksheet'!BX33</f>
        <v>#VALUE!</v>
      </c>
      <c r="CJ4" s="71" t="e">
        <f>'Inputs Worksheet'!BY33</f>
        <v>#VALUE!</v>
      </c>
      <c r="CK4" s="71" t="e">
        <f>'Inputs Worksheet'!BZ33</f>
        <v>#VALUE!</v>
      </c>
      <c r="CL4" s="71" t="e">
        <f>'Inputs Worksheet'!CA33</f>
        <v>#VALUE!</v>
      </c>
      <c r="CM4" s="71" t="e">
        <f>'Inputs Worksheet'!CB33</f>
        <v>#VALUE!</v>
      </c>
      <c r="CN4" s="71" t="e">
        <f>'Inputs Worksheet'!CC33</f>
        <v>#VALUE!</v>
      </c>
      <c r="CO4" s="71" t="e">
        <f>'Inputs Worksheet'!CD33</f>
        <v>#VALUE!</v>
      </c>
      <c r="CP4" s="71" t="e">
        <f>'Inputs Worksheet'!CE33</f>
        <v>#VALUE!</v>
      </c>
      <c r="CQ4" s="71" t="e">
        <f>'Inputs Worksheet'!CF33</f>
        <v>#VALUE!</v>
      </c>
      <c r="CR4" s="71" t="e">
        <f>'Inputs Worksheet'!CG33</f>
        <v>#VALUE!</v>
      </c>
      <c r="CS4" s="71" t="e">
        <f>'Inputs Worksheet'!CH33</f>
        <v>#VALUE!</v>
      </c>
      <c r="CT4" s="71" t="e">
        <f>'Inputs Worksheet'!CI33</f>
        <v>#VALUE!</v>
      </c>
      <c r="CU4" s="71" t="e">
        <f>'Inputs Worksheet'!CJ33</f>
        <v>#VALUE!</v>
      </c>
      <c r="CV4" s="71" t="e">
        <f>'Inputs Worksheet'!CK33</f>
        <v>#VALUE!</v>
      </c>
      <c r="CW4" s="71" t="e">
        <f>'Inputs Worksheet'!CL33</f>
        <v>#VALUE!</v>
      </c>
      <c r="CX4" s="71" t="e">
        <f>'Inputs Worksheet'!CM33</f>
        <v>#VALUE!</v>
      </c>
      <c r="CY4" s="71">
        <f>'Inputs Worksheet'!CN33</f>
        <v>0</v>
      </c>
      <c r="CZ4" s="71">
        <f>'Inputs Worksheet'!CO33</f>
        <v>0</v>
      </c>
      <c r="DA4" s="71" t="e">
        <f>'Inputs Worksheet'!CP33</f>
        <v>#VALUE!</v>
      </c>
    </row>
    <row r="5" spans="1:105" ht="12.75" customHeight="1" x14ac:dyDescent="0.25">
      <c r="A5" s="81">
        <v>2</v>
      </c>
      <c r="B5" s="96" t="str">
        <f>'Inputs Worksheet'!A8</f>
        <v>I-205 Corridor Widening: Stafford Road to OR43</v>
      </c>
      <c r="C5" s="529">
        <v>1</v>
      </c>
      <c r="D5" s="529">
        <v>1</v>
      </c>
      <c r="E5" s="443">
        <f>'Inputs Worksheet'!H60</f>
        <v>0.31600000000000006</v>
      </c>
      <c r="F5" s="443">
        <f>'Inputs Worksheet'!I60</f>
        <v>5.6374400000000007</v>
      </c>
      <c r="G5" s="443">
        <f>'Inputs Worksheet'!J60</f>
        <v>8.4561599999999988</v>
      </c>
      <c r="H5" s="443">
        <f>'Inputs Worksheet'!K60</f>
        <v>126.84240000000001</v>
      </c>
      <c r="I5" s="443">
        <f>'Inputs Worksheet'!L60</f>
        <v>134.774</v>
      </c>
      <c r="J5" s="443">
        <f>'Inputs Worksheet'!M78</f>
        <v>0</v>
      </c>
      <c r="K5" s="392"/>
      <c r="L5" s="392"/>
      <c r="M5" s="392"/>
      <c r="N5" s="68">
        <f>'VHD Savings'!F57</f>
        <v>1169678.0541825553</v>
      </c>
      <c r="O5" s="68">
        <f>'VHD Savings'!G57</f>
        <v>1198304.6375305504</v>
      </c>
      <c r="P5" s="68">
        <f>'VHD Savings'!H57</f>
        <v>1210229.9298027048</v>
      </c>
      <c r="Q5" s="68">
        <f>'VHD Savings'!I57</f>
        <v>1222281.0724575066</v>
      </c>
      <c r="R5" s="68">
        <f>'VHD Savings'!J57</f>
        <v>1234459.454767789</v>
      </c>
      <c r="S5" s="68">
        <f>'VHD Savings'!K57</f>
        <v>1246766.4818575969</v>
      </c>
      <c r="T5" s="68">
        <f>'VHD Savings'!L57</f>
        <v>1259203.5748874117</v>
      </c>
      <c r="U5" s="68">
        <f>'VHD Savings'!M57</f>
        <v>1271772.1712415763</v>
      </c>
      <c r="V5" s="68">
        <f>'VHD Savings'!N57</f>
        <v>1284473.7247179523</v>
      </c>
      <c r="W5" s="68">
        <f>'VHD Savings'!O57</f>
        <v>1297309.70571983</v>
      </c>
      <c r="X5" s="68">
        <f>'VHD Savings'!P57</f>
        <v>1310281.6014501208</v>
      </c>
      <c r="Y5" s="68">
        <f>'VHD Savings'!Q57</f>
        <v>1323390.9161078632</v>
      </c>
      <c r="Z5" s="68">
        <f>'VHD Savings'!R57</f>
        <v>1336639.1710870634</v>
      </c>
      <c r="AA5" s="68">
        <f>'VHD Savings'!S57</f>
        <v>1350027.9051779062</v>
      </c>
      <c r="AB5" s="68">
        <f>'VHD Savings'!T57</f>
        <v>1363558.6747703566</v>
      </c>
      <c r="AC5" s="68">
        <f>'VHD Savings'!U57</f>
        <v>1377233.0540601867</v>
      </c>
      <c r="AD5" s="68">
        <f>'VHD Savings'!V57</f>
        <v>1391052.6352574588</v>
      </c>
      <c r="AE5" s="68">
        <f>'VHD Savings'!W57</f>
        <v>1405019.0287974859</v>
      </c>
      <c r="AF5" s="68">
        <f>'VHD Savings'!X57</f>
        <v>1419133.8635543066</v>
      </c>
      <c r="AG5" s="68">
        <f>'VHD Savings'!Y57</f>
        <v>1433398.7870567075</v>
      </c>
      <c r="AH5" s="68"/>
      <c r="AI5" s="68"/>
      <c r="AJ5" s="68">
        <f>'Inputs Worksheet'!AV34</f>
        <v>16692724.3985394</v>
      </c>
      <c r="AK5" s="69">
        <f>'Inputs Worksheet'!AW34</f>
        <v>187052.9204829571</v>
      </c>
      <c r="AL5" s="69">
        <f>'Inputs Worksheet'!AX34</f>
        <v>195052.8140869418</v>
      </c>
      <c r="AM5" s="69">
        <f>'Inputs Worksheet'!AY34</f>
        <v>200449.97542162245</v>
      </c>
      <c r="AN5" s="69">
        <f>'Inputs Worksheet'!AZ34</f>
        <v>209426.8987430289</v>
      </c>
      <c r="AO5" s="69">
        <f>'Inputs Worksheet'!BA34</f>
        <v>215038.78124216525</v>
      </c>
      <c r="AP5" s="69">
        <f>'Inputs Worksheet'!BB34</f>
        <v>220742.99582729285</v>
      </c>
      <c r="AQ5" s="69">
        <f>'Inputs Worksheet'!BC34</f>
        <v>226540.9002831243</v>
      </c>
      <c r="AR5" s="69">
        <f>'Inputs Worksheet'!BD34</f>
        <v>232433.87159304629</v>
      </c>
      <c r="AS5" s="69">
        <f>'Inputs Worksheet'!BE34</f>
        <v>238423.30620597486</v>
      </c>
      <c r="AT5" s="69">
        <f>'Inputs Worksheet'!BF34</f>
        <v>244510.62030688449</v>
      </c>
      <c r="AU5" s="69">
        <f>'Inputs Worksheet'!BG34</f>
        <v>250697.25009106292</v>
      </c>
      <c r="AV5" s="69">
        <f>'Inputs Worksheet'!BH34</f>
        <v>260763.83810158464</v>
      </c>
      <c r="AW5" s="69">
        <f>'Inputs Worksheet'!BI34</f>
        <v>267191.3221011117</v>
      </c>
      <c r="AX5" s="69">
        <f>'Inputs Worksheet'!BJ34</f>
        <v>273722.95439507446</v>
      </c>
      <c r="AY5" s="69">
        <f>'Inputs Worksheet'!BK34</f>
        <v>280360.25848341489</v>
      </c>
      <c r="AZ5" s="69">
        <f>'Inputs Worksheet'!BL34</f>
        <v>287104.77935619169</v>
      </c>
      <c r="BA5" s="69">
        <f>'Inputs Worksheet'!BM34</f>
        <v>293958.08379187592</v>
      </c>
      <c r="BB5" s="69">
        <f>'Inputs Worksheet'!BN34</f>
        <v>300921.7606597495</v>
      </c>
      <c r="BC5" s="69">
        <f>'Inputs Worksheet'!BO34</f>
        <v>312050.01887418056</v>
      </c>
      <c r="BD5" s="69">
        <f>'Inputs Worksheet'!BP34</f>
        <v>319280.03322612558</v>
      </c>
      <c r="BE5" s="69">
        <f>'Inputs Worksheet'!BQ34</f>
        <v>0</v>
      </c>
      <c r="BF5" s="69">
        <f>'Inputs Worksheet'!BR34</f>
        <v>0</v>
      </c>
      <c r="BG5" s="69">
        <f>'Inputs Worksheet'!BS34</f>
        <v>250786.16916367048</v>
      </c>
      <c r="BH5" s="70" t="e">
        <f>'Inputs Worksheet'!#REF!</f>
        <v>#REF!</v>
      </c>
      <c r="BI5" s="70" t="e">
        <f>'Inputs Worksheet'!#REF!</f>
        <v>#REF!</v>
      </c>
      <c r="BJ5" s="70" t="e">
        <f>'Inputs Worksheet'!#REF!</f>
        <v>#REF!</v>
      </c>
      <c r="BK5" s="70" t="e">
        <f>'Inputs Worksheet'!#REF!</f>
        <v>#REF!</v>
      </c>
      <c r="BL5" s="70" t="e">
        <f>'Inputs Worksheet'!#REF!</f>
        <v>#REF!</v>
      </c>
      <c r="BM5" s="70" t="e">
        <f>'Inputs Worksheet'!#REF!</f>
        <v>#REF!</v>
      </c>
      <c r="BN5" s="70" t="e">
        <f>'Inputs Worksheet'!#REF!</f>
        <v>#REF!</v>
      </c>
      <c r="BO5" s="70" t="e">
        <f>'Inputs Worksheet'!#REF!</f>
        <v>#REF!</v>
      </c>
      <c r="BP5" s="70" t="e">
        <f>'Inputs Worksheet'!#REF!</f>
        <v>#REF!</v>
      </c>
      <c r="BQ5" s="70" t="e">
        <f>'Inputs Worksheet'!#REF!</f>
        <v>#REF!</v>
      </c>
      <c r="BR5" s="70" t="e">
        <f>'Inputs Worksheet'!#REF!</f>
        <v>#REF!</v>
      </c>
      <c r="BS5" s="70" t="e">
        <f>'Inputs Worksheet'!#REF!</f>
        <v>#REF!</v>
      </c>
      <c r="BT5" s="70" t="e">
        <f>'Inputs Worksheet'!#REF!</f>
        <v>#REF!</v>
      </c>
      <c r="BU5" s="70" t="e">
        <f>'Inputs Worksheet'!#REF!</f>
        <v>#REF!</v>
      </c>
      <c r="BV5" s="70" t="e">
        <f>'Inputs Worksheet'!#REF!</f>
        <v>#REF!</v>
      </c>
      <c r="BW5" s="70" t="e">
        <f>'Inputs Worksheet'!#REF!</f>
        <v>#REF!</v>
      </c>
      <c r="BX5" s="70" t="e">
        <f>'Inputs Worksheet'!#REF!</f>
        <v>#REF!</v>
      </c>
      <c r="BY5" s="70" t="e">
        <f>'Inputs Worksheet'!#REF!</f>
        <v>#REF!</v>
      </c>
      <c r="BZ5" s="70" t="e">
        <f>'Inputs Worksheet'!#REF!</f>
        <v>#REF!</v>
      </c>
      <c r="CA5" s="70" t="e">
        <f>'Inputs Worksheet'!#REF!</f>
        <v>#REF!</v>
      </c>
      <c r="CB5" s="70" t="e">
        <f>'Inputs Worksheet'!#REF!</f>
        <v>#REF!</v>
      </c>
      <c r="CC5" s="70" t="e">
        <f>'Inputs Worksheet'!#REF!</f>
        <v>#REF!</v>
      </c>
      <c r="CD5" s="70" t="e">
        <f>'Inputs Worksheet'!#REF!</f>
        <v>#REF!</v>
      </c>
      <c r="CE5" s="71">
        <f>'Inputs Worksheet'!BT34</f>
        <v>108616.91691691308</v>
      </c>
      <c r="CF5" s="71">
        <f>'Inputs Worksheet'!BU34</f>
        <v>113984.98321312523</v>
      </c>
      <c r="CG5" s="71">
        <f>'Inputs Worksheet'!BV34</f>
        <v>120063.3094972446</v>
      </c>
      <c r="CH5" s="71">
        <f>'Inputs Worksheet'!BW34</f>
        <v>124634.71958461961</v>
      </c>
      <c r="CI5" s="71">
        <f>'Inputs Worksheet'!BX34</f>
        <v>129342.48484139025</v>
      </c>
      <c r="CJ5" s="71">
        <f>'Inputs Worksheet'!BY34</f>
        <v>134935.8023960391</v>
      </c>
      <c r="CK5" s="71">
        <f>'Inputs Worksheet'!BZ34</f>
        <v>137660.84384862494</v>
      </c>
      <c r="CL5" s="71">
        <f>'Inputs Worksheet'!CA34</f>
        <v>140441.73978896829</v>
      </c>
      <c r="CM5" s="71">
        <f>'Inputs Worksheet'!CB34</f>
        <v>143279.6506984843</v>
      </c>
      <c r="CN5" s="71">
        <f>'Inputs Worksheet'!CC34</f>
        <v>146175.76146591714</v>
      </c>
      <c r="CO5" s="71">
        <f>'Inputs Worksheet'!CD34</f>
        <v>149131.28190626146</v>
      </c>
      <c r="CP5" s="71">
        <f>'Inputs Worksheet'!CE34</f>
        <v>152147.44729082179</v>
      </c>
      <c r="CQ5" s="71">
        <f>'Inputs Worksheet'!CF34</f>
        <v>155225.51888865032</v>
      </c>
      <c r="CR5" s="71">
        <f>'Inputs Worksheet'!CG34</f>
        <v>158366.78451961055</v>
      </c>
      <c r="CS5" s="71">
        <f>'Inputs Worksheet'!CH34</f>
        <v>161572.55911931748</v>
      </c>
      <c r="CT5" s="71">
        <f>'Inputs Worksheet'!CI34</f>
        <v>164844.18531621151</v>
      </c>
      <c r="CU5" s="71">
        <f>'Inputs Worksheet'!CJ34</f>
        <v>168183.03402102945</v>
      </c>
      <c r="CV5" s="71">
        <f>'Inputs Worksheet'!CK34</f>
        <v>171590.50502894065</v>
      </c>
      <c r="CW5" s="71">
        <f>'Inputs Worksheet'!CL34</f>
        <v>175068.02763462259</v>
      </c>
      <c r="CX5" s="71">
        <f>'Inputs Worksheet'!CM34</f>
        <v>178617.0612605561</v>
      </c>
      <c r="CY5" s="71">
        <f>'Inputs Worksheet'!CN34</f>
        <v>0</v>
      </c>
      <c r="CZ5" s="71">
        <f>'Inputs Worksheet'!CO34</f>
        <v>0</v>
      </c>
      <c r="DA5" s="71">
        <f>'Inputs Worksheet'!CP34</f>
        <v>146694.13086186739</v>
      </c>
    </row>
    <row r="6" spans="1:105" x14ac:dyDescent="0.25">
      <c r="A6" s="81">
        <v>3</v>
      </c>
      <c r="B6" s="97" t="str">
        <f>'Inputs Worksheet'!A9</f>
        <v>Not Used</v>
      </c>
      <c r="C6" s="529">
        <v>1</v>
      </c>
      <c r="D6" s="530">
        <v>1</v>
      </c>
      <c r="E6" s="443">
        <f>'Inputs Worksheet'!H79</f>
        <v>0</v>
      </c>
      <c r="F6" s="443">
        <f>'Inputs Worksheet'!I79</f>
        <v>0</v>
      </c>
      <c r="G6" s="443">
        <f>'Inputs Worksheet'!J79</f>
        <v>0</v>
      </c>
      <c r="H6" s="443">
        <f>'Inputs Worksheet'!K79</f>
        <v>0</v>
      </c>
      <c r="I6" s="443">
        <f>'Inputs Worksheet'!L79</f>
        <v>0</v>
      </c>
      <c r="J6" s="443">
        <f>'Inputs Worksheet'!M79</f>
        <v>0</v>
      </c>
      <c r="K6" s="392"/>
      <c r="L6" s="392"/>
      <c r="M6" s="392"/>
      <c r="N6" s="68">
        <f>'Inputs Worksheet'!Z35</f>
        <v>0</v>
      </c>
      <c r="O6" s="68" t="e">
        <f>'Inputs Worksheet'!AA35</f>
        <v>#DIV/0!</v>
      </c>
      <c r="P6" s="68" t="e">
        <f>'Inputs Worksheet'!AB35</f>
        <v>#DIV/0!</v>
      </c>
      <c r="Q6" s="68" t="e">
        <f>'Inputs Worksheet'!AC35</f>
        <v>#DIV/0!</v>
      </c>
      <c r="R6" s="68" t="e">
        <f>'Inputs Worksheet'!AD35</f>
        <v>#DIV/0!</v>
      </c>
      <c r="S6" s="68" t="e">
        <f>'Inputs Worksheet'!AE35</f>
        <v>#DIV/0!</v>
      </c>
      <c r="T6" s="68" t="e">
        <f>'Inputs Worksheet'!AF35</f>
        <v>#DIV/0!</v>
      </c>
      <c r="U6" s="68" t="e">
        <f>'Inputs Worksheet'!AG35</f>
        <v>#DIV/0!</v>
      </c>
      <c r="V6" s="68" t="e">
        <f>'Inputs Worksheet'!AH35</f>
        <v>#DIV/0!</v>
      </c>
      <c r="W6" s="68" t="e">
        <f>'Inputs Worksheet'!AI35</f>
        <v>#DIV/0!</v>
      </c>
      <c r="X6" s="68" t="e">
        <f>'Inputs Worksheet'!AJ35</f>
        <v>#DIV/0!</v>
      </c>
      <c r="Y6" s="68" t="e">
        <f>'Inputs Worksheet'!AK35</f>
        <v>#DIV/0!</v>
      </c>
      <c r="Z6" s="68" t="e">
        <f>'Inputs Worksheet'!AL35</f>
        <v>#DIV/0!</v>
      </c>
      <c r="AA6" s="68" t="e">
        <f>'Inputs Worksheet'!AM35</f>
        <v>#DIV/0!</v>
      </c>
      <c r="AB6" s="68" t="e">
        <f>'Inputs Worksheet'!AN35</f>
        <v>#DIV/0!</v>
      </c>
      <c r="AC6" s="68" t="e">
        <f>'Inputs Worksheet'!AO35</f>
        <v>#DIV/0!</v>
      </c>
      <c r="AD6" s="68" t="e">
        <f>'Inputs Worksheet'!AP35</f>
        <v>#DIV/0!</v>
      </c>
      <c r="AE6" s="68" t="e">
        <f>'Inputs Worksheet'!AQ35</f>
        <v>#DIV/0!</v>
      </c>
      <c r="AF6" s="68" t="e">
        <f>'Inputs Worksheet'!AR35</f>
        <v>#DIV/0!</v>
      </c>
      <c r="AG6" s="68" t="e">
        <f>'Inputs Worksheet'!AS35</f>
        <v>#DIV/0!</v>
      </c>
      <c r="AH6" s="68"/>
      <c r="AI6" s="68"/>
      <c r="AJ6" s="68" t="e">
        <f>'Inputs Worksheet'!AV35</f>
        <v>#DIV/0!</v>
      </c>
      <c r="AK6" s="69">
        <f>'Inputs Worksheet'!AW35</f>
        <v>0</v>
      </c>
      <c r="AL6" s="69" t="e">
        <f>'Inputs Worksheet'!AX35</f>
        <v>#DIV/0!</v>
      </c>
      <c r="AM6" s="69" t="e">
        <f>'Inputs Worksheet'!AY35</f>
        <v>#DIV/0!</v>
      </c>
      <c r="AN6" s="69" t="e">
        <f>'Inputs Worksheet'!AZ35</f>
        <v>#DIV/0!</v>
      </c>
      <c r="AO6" s="69" t="e">
        <f>'Inputs Worksheet'!BA35</f>
        <v>#DIV/0!</v>
      </c>
      <c r="AP6" s="69" t="e">
        <f>'Inputs Worksheet'!BB35</f>
        <v>#DIV/0!</v>
      </c>
      <c r="AQ6" s="69" t="e">
        <f>'Inputs Worksheet'!BC35</f>
        <v>#DIV/0!</v>
      </c>
      <c r="AR6" s="69" t="e">
        <f>'Inputs Worksheet'!BD35</f>
        <v>#DIV/0!</v>
      </c>
      <c r="AS6" s="69" t="e">
        <f>'Inputs Worksheet'!BE35</f>
        <v>#DIV/0!</v>
      </c>
      <c r="AT6" s="69" t="e">
        <f>'Inputs Worksheet'!BF35</f>
        <v>#DIV/0!</v>
      </c>
      <c r="AU6" s="69" t="e">
        <f>'Inputs Worksheet'!BG35</f>
        <v>#DIV/0!</v>
      </c>
      <c r="AV6" s="69" t="e">
        <f>'Inputs Worksheet'!BH35</f>
        <v>#DIV/0!</v>
      </c>
      <c r="AW6" s="69" t="e">
        <f>'Inputs Worksheet'!BI35</f>
        <v>#DIV/0!</v>
      </c>
      <c r="AX6" s="69" t="e">
        <f>'Inputs Worksheet'!BJ35</f>
        <v>#DIV/0!</v>
      </c>
      <c r="AY6" s="69" t="e">
        <f>'Inputs Worksheet'!BK35</f>
        <v>#DIV/0!</v>
      </c>
      <c r="AZ6" s="69" t="e">
        <f>'Inputs Worksheet'!BL35</f>
        <v>#DIV/0!</v>
      </c>
      <c r="BA6" s="69" t="e">
        <f>'Inputs Worksheet'!BM35</f>
        <v>#DIV/0!</v>
      </c>
      <c r="BB6" s="69" t="e">
        <f>'Inputs Worksheet'!BN35</f>
        <v>#DIV/0!</v>
      </c>
      <c r="BC6" s="69" t="e">
        <f>'Inputs Worksheet'!BO35</f>
        <v>#DIV/0!</v>
      </c>
      <c r="BD6" s="69" t="e">
        <f>'Inputs Worksheet'!BP35</f>
        <v>#DIV/0!</v>
      </c>
      <c r="BE6" s="69">
        <f>'Inputs Worksheet'!BQ35</f>
        <v>0</v>
      </c>
      <c r="BF6" s="69">
        <f>'Inputs Worksheet'!BR35</f>
        <v>0</v>
      </c>
      <c r="BG6" s="69" t="e">
        <f>'Inputs Worksheet'!BS35</f>
        <v>#DIV/0!</v>
      </c>
      <c r="BH6" s="70" t="e">
        <f>'Inputs Worksheet'!#REF!</f>
        <v>#REF!</v>
      </c>
      <c r="BI6" s="70" t="e">
        <f>'Inputs Worksheet'!#REF!</f>
        <v>#REF!</v>
      </c>
      <c r="BJ6" s="70" t="e">
        <f>'Inputs Worksheet'!#REF!</f>
        <v>#REF!</v>
      </c>
      <c r="BK6" s="70" t="e">
        <f>'Inputs Worksheet'!#REF!</f>
        <v>#REF!</v>
      </c>
      <c r="BL6" s="70" t="e">
        <f>'Inputs Worksheet'!#REF!</f>
        <v>#REF!</v>
      </c>
      <c r="BM6" s="70" t="e">
        <f>'Inputs Worksheet'!#REF!</f>
        <v>#REF!</v>
      </c>
      <c r="BN6" s="70" t="e">
        <f>'Inputs Worksheet'!#REF!</f>
        <v>#REF!</v>
      </c>
      <c r="BO6" s="70" t="e">
        <f>'Inputs Worksheet'!#REF!</f>
        <v>#REF!</v>
      </c>
      <c r="BP6" s="70" t="e">
        <f>'Inputs Worksheet'!#REF!</f>
        <v>#REF!</v>
      </c>
      <c r="BQ6" s="70" t="e">
        <f>'Inputs Worksheet'!#REF!</f>
        <v>#REF!</v>
      </c>
      <c r="BR6" s="70" t="e">
        <f>'Inputs Worksheet'!#REF!</f>
        <v>#REF!</v>
      </c>
      <c r="BS6" s="70" t="e">
        <f>'Inputs Worksheet'!#REF!</f>
        <v>#REF!</v>
      </c>
      <c r="BT6" s="70" t="e">
        <f>'Inputs Worksheet'!#REF!</f>
        <v>#REF!</v>
      </c>
      <c r="BU6" s="70" t="e">
        <f>'Inputs Worksheet'!#REF!</f>
        <v>#REF!</v>
      </c>
      <c r="BV6" s="70" t="e">
        <f>'Inputs Worksheet'!#REF!</f>
        <v>#REF!</v>
      </c>
      <c r="BW6" s="70" t="e">
        <f>'Inputs Worksheet'!#REF!</f>
        <v>#REF!</v>
      </c>
      <c r="BX6" s="70" t="e">
        <f>'Inputs Worksheet'!#REF!</f>
        <v>#REF!</v>
      </c>
      <c r="BY6" s="70" t="e">
        <f>'Inputs Worksheet'!#REF!</f>
        <v>#REF!</v>
      </c>
      <c r="BZ6" s="70" t="e">
        <f>'Inputs Worksheet'!#REF!</f>
        <v>#REF!</v>
      </c>
      <c r="CA6" s="70" t="e">
        <f>'Inputs Worksheet'!#REF!</f>
        <v>#REF!</v>
      </c>
      <c r="CB6" s="70" t="e">
        <f>'Inputs Worksheet'!#REF!</f>
        <v>#REF!</v>
      </c>
      <c r="CC6" s="70" t="e">
        <f>'Inputs Worksheet'!#REF!</f>
        <v>#REF!</v>
      </c>
      <c r="CD6" s="70" t="e">
        <f>'Inputs Worksheet'!#REF!</f>
        <v>#REF!</v>
      </c>
      <c r="CE6" s="71" t="e">
        <f>'Inputs Worksheet'!BT35</f>
        <v>#DIV/0!</v>
      </c>
      <c r="CF6" s="71" t="e">
        <f>'Inputs Worksheet'!BU35</f>
        <v>#DIV/0!</v>
      </c>
      <c r="CG6" s="71" t="e">
        <f>'Inputs Worksheet'!BV35</f>
        <v>#DIV/0!</v>
      </c>
      <c r="CH6" s="71" t="e">
        <f>'Inputs Worksheet'!BW35</f>
        <v>#DIV/0!</v>
      </c>
      <c r="CI6" s="71" t="e">
        <f>'Inputs Worksheet'!BX35</f>
        <v>#DIV/0!</v>
      </c>
      <c r="CJ6" s="71" t="e">
        <f>'Inputs Worksheet'!BY35</f>
        <v>#DIV/0!</v>
      </c>
      <c r="CK6" s="71" t="e">
        <f>'Inputs Worksheet'!BZ35</f>
        <v>#DIV/0!</v>
      </c>
      <c r="CL6" s="71" t="e">
        <f>'Inputs Worksheet'!CA35</f>
        <v>#DIV/0!</v>
      </c>
      <c r="CM6" s="71" t="e">
        <f>'Inputs Worksheet'!CB35</f>
        <v>#DIV/0!</v>
      </c>
      <c r="CN6" s="71" t="e">
        <f>'Inputs Worksheet'!CC35</f>
        <v>#DIV/0!</v>
      </c>
      <c r="CO6" s="71" t="e">
        <f>'Inputs Worksheet'!CD35</f>
        <v>#DIV/0!</v>
      </c>
      <c r="CP6" s="71" t="e">
        <f>'Inputs Worksheet'!CE35</f>
        <v>#DIV/0!</v>
      </c>
      <c r="CQ6" s="71" t="e">
        <f>'Inputs Worksheet'!CF35</f>
        <v>#DIV/0!</v>
      </c>
      <c r="CR6" s="71" t="e">
        <f>'Inputs Worksheet'!CG35</f>
        <v>#DIV/0!</v>
      </c>
      <c r="CS6" s="71" t="e">
        <f>'Inputs Worksheet'!CH35</f>
        <v>#DIV/0!</v>
      </c>
      <c r="CT6" s="71" t="e">
        <f>'Inputs Worksheet'!CI35</f>
        <v>#DIV/0!</v>
      </c>
      <c r="CU6" s="71" t="e">
        <f>'Inputs Worksheet'!CJ35</f>
        <v>#DIV/0!</v>
      </c>
      <c r="CV6" s="71" t="e">
        <f>'Inputs Worksheet'!CK35</f>
        <v>#DIV/0!</v>
      </c>
      <c r="CW6" s="71" t="e">
        <f>'Inputs Worksheet'!CL35</f>
        <v>#DIV/0!</v>
      </c>
      <c r="CX6" s="71" t="e">
        <f>'Inputs Worksheet'!CM35</f>
        <v>#DIV/0!</v>
      </c>
      <c r="CY6" s="71">
        <f>'Inputs Worksheet'!CN35</f>
        <v>0</v>
      </c>
      <c r="CZ6" s="71">
        <f>'Inputs Worksheet'!CO35</f>
        <v>0</v>
      </c>
      <c r="DA6" s="71" t="e">
        <f>'Inputs Worksheet'!CP35</f>
        <v>#DIV/0!</v>
      </c>
    </row>
    <row r="7" spans="1:105" x14ac:dyDescent="0.25">
      <c r="A7" s="81">
        <v>4</v>
      </c>
      <c r="B7" s="97" t="str">
        <f>'Inputs Worksheet'!A10</f>
        <v>Name #4</v>
      </c>
      <c r="C7" s="529">
        <v>1</v>
      </c>
      <c r="D7" s="530">
        <v>1</v>
      </c>
      <c r="E7" s="443">
        <f>'Inputs Worksheet'!H80</f>
        <v>0</v>
      </c>
      <c r="F7" s="443">
        <f>'Inputs Worksheet'!I80</f>
        <v>0</v>
      </c>
      <c r="G7" s="443">
        <f>'Inputs Worksheet'!J80</f>
        <v>0</v>
      </c>
      <c r="H7" s="443">
        <f>'Inputs Worksheet'!K80</f>
        <v>0</v>
      </c>
      <c r="I7" s="443">
        <f>'Inputs Worksheet'!L80</f>
        <v>0</v>
      </c>
      <c r="J7" s="443">
        <f>'Inputs Worksheet'!M80</f>
        <v>0</v>
      </c>
      <c r="K7" s="392"/>
      <c r="L7" s="392"/>
      <c r="M7" s="392"/>
      <c r="N7" s="68">
        <f>'Inputs Worksheet'!Z36</f>
        <v>0</v>
      </c>
      <c r="O7" s="68" t="e">
        <f>'Inputs Worksheet'!AA36</f>
        <v>#DIV/0!</v>
      </c>
      <c r="P7" s="68" t="e">
        <f>'Inputs Worksheet'!AB36</f>
        <v>#DIV/0!</v>
      </c>
      <c r="Q7" s="68" t="e">
        <f>'Inputs Worksheet'!AC36</f>
        <v>#DIV/0!</v>
      </c>
      <c r="R7" s="68" t="e">
        <f>'Inputs Worksheet'!AD36</f>
        <v>#DIV/0!</v>
      </c>
      <c r="S7" s="68" t="e">
        <f>'Inputs Worksheet'!AE36</f>
        <v>#DIV/0!</v>
      </c>
      <c r="T7" s="68" t="e">
        <f>'Inputs Worksheet'!AF36</f>
        <v>#DIV/0!</v>
      </c>
      <c r="U7" s="68" t="e">
        <f>'Inputs Worksheet'!AG36</f>
        <v>#DIV/0!</v>
      </c>
      <c r="V7" s="68" t="e">
        <f>'Inputs Worksheet'!AH36</f>
        <v>#DIV/0!</v>
      </c>
      <c r="W7" s="68" t="e">
        <f>'Inputs Worksheet'!AI36</f>
        <v>#DIV/0!</v>
      </c>
      <c r="X7" s="68" t="e">
        <f>'Inputs Worksheet'!AJ36</f>
        <v>#DIV/0!</v>
      </c>
      <c r="Y7" s="68" t="e">
        <f>'Inputs Worksheet'!AK36</f>
        <v>#DIV/0!</v>
      </c>
      <c r="Z7" s="68" t="e">
        <f>'Inputs Worksheet'!AL36</f>
        <v>#DIV/0!</v>
      </c>
      <c r="AA7" s="68" t="e">
        <f>'Inputs Worksheet'!AM36</f>
        <v>#DIV/0!</v>
      </c>
      <c r="AB7" s="68" t="e">
        <f>'Inputs Worksheet'!AN36</f>
        <v>#DIV/0!</v>
      </c>
      <c r="AC7" s="68" t="e">
        <f>'Inputs Worksheet'!AO36</f>
        <v>#DIV/0!</v>
      </c>
      <c r="AD7" s="68" t="e">
        <f>'Inputs Worksheet'!AP36</f>
        <v>#DIV/0!</v>
      </c>
      <c r="AE7" s="68" t="e">
        <f>'Inputs Worksheet'!AQ36</f>
        <v>#DIV/0!</v>
      </c>
      <c r="AF7" s="68" t="e">
        <f>'Inputs Worksheet'!AR36</f>
        <v>#DIV/0!</v>
      </c>
      <c r="AG7" s="68" t="e">
        <f>'Inputs Worksheet'!AS36</f>
        <v>#DIV/0!</v>
      </c>
      <c r="AH7" s="68" t="e">
        <f>'Inputs Worksheet'!AT36</f>
        <v>#DIV/0!</v>
      </c>
      <c r="AI7" s="68" t="e">
        <f>'Inputs Worksheet'!AU36</f>
        <v>#DIV/0!</v>
      </c>
      <c r="AJ7" s="68" t="e">
        <f>'Inputs Worksheet'!AV36</f>
        <v>#DIV/0!</v>
      </c>
      <c r="AK7" s="69">
        <f>'Inputs Worksheet'!AW36</f>
        <v>0</v>
      </c>
      <c r="AL7" s="69" t="e">
        <f>'Inputs Worksheet'!AX36</f>
        <v>#DIV/0!</v>
      </c>
      <c r="AM7" s="69" t="e">
        <f>'Inputs Worksheet'!AY36</f>
        <v>#DIV/0!</v>
      </c>
      <c r="AN7" s="69" t="e">
        <f>'Inputs Worksheet'!AZ36</f>
        <v>#DIV/0!</v>
      </c>
      <c r="AO7" s="69" t="e">
        <f>'Inputs Worksheet'!BA36</f>
        <v>#DIV/0!</v>
      </c>
      <c r="AP7" s="69" t="e">
        <f>'Inputs Worksheet'!BB36</f>
        <v>#DIV/0!</v>
      </c>
      <c r="AQ7" s="69" t="e">
        <f>'Inputs Worksheet'!BC36</f>
        <v>#DIV/0!</v>
      </c>
      <c r="AR7" s="69" t="e">
        <f>'Inputs Worksheet'!BD36</f>
        <v>#DIV/0!</v>
      </c>
      <c r="AS7" s="69" t="e">
        <f>'Inputs Worksheet'!BE36</f>
        <v>#DIV/0!</v>
      </c>
      <c r="AT7" s="69" t="e">
        <f>'Inputs Worksheet'!BF36</f>
        <v>#DIV/0!</v>
      </c>
      <c r="AU7" s="69" t="e">
        <f>'Inputs Worksheet'!BG36</f>
        <v>#DIV/0!</v>
      </c>
      <c r="AV7" s="69" t="e">
        <f>'Inputs Worksheet'!BH36</f>
        <v>#DIV/0!</v>
      </c>
      <c r="AW7" s="69" t="e">
        <f>'Inputs Worksheet'!BI36</f>
        <v>#DIV/0!</v>
      </c>
      <c r="AX7" s="69" t="e">
        <f>'Inputs Worksheet'!BJ36</f>
        <v>#DIV/0!</v>
      </c>
      <c r="AY7" s="69" t="e">
        <f>'Inputs Worksheet'!BK36</f>
        <v>#DIV/0!</v>
      </c>
      <c r="AZ7" s="69" t="e">
        <f>'Inputs Worksheet'!BL36</f>
        <v>#DIV/0!</v>
      </c>
      <c r="BA7" s="69" t="e">
        <f>'Inputs Worksheet'!BM36</f>
        <v>#DIV/0!</v>
      </c>
      <c r="BB7" s="69" t="e">
        <f>'Inputs Worksheet'!BN36</f>
        <v>#DIV/0!</v>
      </c>
      <c r="BC7" s="69" t="e">
        <f>'Inputs Worksheet'!BO36</f>
        <v>#DIV/0!</v>
      </c>
      <c r="BD7" s="69" t="e">
        <f>'Inputs Worksheet'!BP36</f>
        <v>#DIV/0!</v>
      </c>
      <c r="BE7" s="69" t="e">
        <f>'Inputs Worksheet'!BQ36</f>
        <v>#DIV/0!</v>
      </c>
      <c r="BF7" s="69" t="e">
        <f>'Inputs Worksheet'!BR36</f>
        <v>#DIV/0!</v>
      </c>
      <c r="BG7" s="69" t="e">
        <f>'Inputs Worksheet'!BS36</f>
        <v>#DIV/0!</v>
      </c>
      <c r="BH7" s="70" t="e">
        <f>'Inputs Worksheet'!#REF!</f>
        <v>#REF!</v>
      </c>
      <c r="BI7" s="70" t="e">
        <f>'Inputs Worksheet'!#REF!</f>
        <v>#REF!</v>
      </c>
      <c r="BJ7" s="70" t="e">
        <f>'Inputs Worksheet'!#REF!</f>
        <v>#REF!</v>
      </c>
      <c r="BK7" s="70" t="e">
        <f>'Inputs Worksheet'!#REF!</f>
        <v>#REF!</v>
      </c>
      <c r="BL7" s="70" t="e">
        <f>'Inputs Worksheet'!#REF!</f>
        <v>#REF!</v>
      </c>
      <c r="BM7" s="70" t="e">
        <f>'Inputs Worksheet'!#REF!</f>
        <v>#REF!</v>
      </c>
      <c r="BN7" s="70" t="e">
        <f>'Inputs Worksheet'!#REF!</f>
        <v>#REF!</v>
      </c>
      <c r="BO7" s="70" t="e">
        <f>'Inputs Worksheet'!#REF!</f>
        <v>#REF!</v>
      </c>
      <c r="BP7" s="70" t="e">
        <f>'Inputs Worksheet'!#REF!</f>
        <v>#REF!</v>
      </c>
      <c r="BQ7" s="70" t="e">
        <f>'Inputs Worksheet'!#REF!</f>
        <v>#REF!</v>
      </c>
      <c r="BR7" s="70" t="e">
        <f>'Inputs Worksheet'!#REF!</f>
        <v>#REF!</v>
      </c>
      <c r="BS7" s="70" t="e">
        <f>'Inputs Worksheet'!#REF!</f>
        <v>#REF!</v>
      </c>
      <c r="BT7" s="70" t="e">
        <f>'Inputs Worksheet'!#REF!</f>
        <v>#REF!</v>
      </c>
      <c r="BU7" s="70" t="e">
        <f>'Inputs Worksheet'!#REF!</f>
        <v>#REF!</v>
      </c>
      <c r="BV7" s="70" t="e">
        <f>'Inputs Worksheet'!#REF!</f>
        <v>#REF!</v>
      </c>
      <c r="BW7" s="70" t="e">
        <f>'Inputs Worksheet'!#REF!</f>
        <v>#REF!</v>
      </c>
      <c r="BX7" s="70" t="e">
        <f>'Inputs Worksheet'!#REF!</f>
        <v>#REF!</v>
      </c>
      <c r="BY7" s="70" t="e">
        <f>'Inputs Worksheet'!#REF!</f>
        <v>#REF!</v>
      </c>
      <c r="BZ7" s="70" t="e">
        <f>'Inputs Worksheet'!#REF!</f>
        <v>#REF!</v>
      </c>
      <c r="CA7" s="70" t="e">
        <f>'Inputs Worksheet'!#REF!</f>
        <v>#REF!</v>
      </c>
      <c r="CB7" s="70" t="e">
        <f>'Inputs Worksheet'!#REF!</f>
        <v>#REF!</v>
      </c>
      <c r="CC7" s="70" t="e">
        <f>'Inputs Worksheet'!#REF!</f>
        <v>#REF!</v>
      </c>
      <c r="CD7" s="70" t="e">
        <f>'Inputs Worksheet'!#REF!</f>
        <v>#REF!</v>
      </c>
      <c r="CE7" s="71">
        <f>'Inputs Worksheet'!BT36</f>
        <v>0</v>
      </c>
      <c r="CF7" s="71" t="e">
        <f>'Inputs Worksheet'!BU36</f>
        <v>#DIV/0!</v>
      </c>
      <c r="CG7" s="71" t="e">
        <f>'Inputs Worksheet'!BV36</f>
        <v>#DIV/0!</v>
      </c>
      <c r="CH7" s="71" t="e">
        <f>'Inputs Worksheet'!BW36</f>
        <v>#DIV/0!</v>
      </c>
      <c r="CI7" s="71" t="e">
        <f>'Inputs Worksheet'!BX36</f>
        <v>#DIV/0!</v>
      </c>
      <c r="CJ7" s="71" t="e">
        <f>'Inputs Worksheet'!BY36</f>
        <v>#DIV/0!</v>
      </c>
      <c r="CK7" s="71" t="e">
        <f>'Inputs Worksheet'!BZ36</f>
        <v>#DIV/0!</v>
      </c>
      <c r="CL7" s="71" t="e">
        <f>'Inputs Worksheet'!CA36</f>
        <v>#DIV/0!</v>
      </c>
      <c r="CM7" s="71" t="e">
        <f>'Inputs Worksheet'!CB36</f>
        <v>#DIV/0!</v>
      </c>
      <c r="CN7" s="71" t="e">
        <f>'Inputs Worksheet'!CC36</f>
        <v>#DIV/0!</v>
      </c>
      <c r="CO7" s="71" t="e">
        <f>'Inputs Worksheet'!CD36</f>
        <v>#DIV/0!</v>
      </c>
      <c r="CP7" s="71" t="e">
        <f>'Inputs Worksheet'!CE36</f>
        <v>#DIV/0!</v>
      </c>
      <c r="CQ7" s="71" t="e">
        <f>'Inputs Worksheet'!CF36</f>
        <v>#DIV/0!</v>
      </c>
      <c r="CR7" s="71" t="e">
        <f>'Inputs Worksheet'!CG36</f>
        <v>#DIV/0!</v>
      </c>
      <c r="CS7" s="71" t="e">
        <f>'Inputs Worksheet'!CH36</f>
        <v>#DIV/0!</v>
      </c>
      <c r="CT7" s="71" t="e">
        <f>'Inputs Worksheet'!CI36</f>
        <v>#DIV/0!</v>
      </c>
      <c r="CU7" s="71" t="e">
        <f>'Inputs Worksheet'!CJ36</f>
        <v>#DIV/0!</v>
      </c>
      <c r="CV7" s="71" t="e">
        <f>'Inputs Worksheet'!CK36</f>
        <v>#DIV/0!</v>
      </c>
      <c r="CW7" s="71" t="e">
        <f>'Inputs Worksheet'!CL36</f>
        <v>#DIV/0!</v>
      </c>
      <c r="CX7" s="71" t="e">
        <f>'Inputs Worksheet'!CM36</f>
        <v>#DIV/0!</v>
      </c>
      <c r="CY7" s="71">
        <f>'Inputs Worksheet'!CN36</f>
        <v>0</v>
      </c>
      <c r="CZ7" s="71">
        <f>'Inputs Worksheet'!CO36</f>
        <v>0</v>
      </c>
      <c r="DA7" s="71" t="e">
        <f>'Inputs Worksheet'!CP36</f>
        <v>#DIV/0!</v>
      </c>
    </row>
    <row r="8" spans="1:105" x14ac:dyDescent="0.25">
      <c r="A8" s="123">
        <v>5</v>
      </c>
      <c r="B8" s="97" t="str">
        <f>'Inputs Worksheet'!A11</f>
        <v>Name #5</v>
      </c>
      <c r="C8" s="529">
        <v>1</v>
      </c>
      <c r="D8" s="530">
        <v>1</v>
      </c>
      <c r="E8" s="443">
        <f>'Inputs Worksheet'!H81</f>
        <v>0</v>
      </c>
      <c r="F8" s="443">
        <f>'Inputs Worksheet'!I81</f>
        <v>0</v>
      </c>
      <c r="G8" s="443">
        <f>'Inputs Worksheet'!J81</f>
        <v>0</v>
      </c>
      <c r="H8" s="443">
        <f>'Inputs Worksheet'!K81</f>
        <v>0</v>
      </c>
      <c r="I8" s="443">
        <f>'Inputs Worksheet'!L81</f>
        <v>0</v>
      </c>
      <c r="J8" s="443">
        <f>'Inputs Worksheet'!M81</f>
        <v>0</v>
      </c>
      <c r="K8" s="392"/>
      <c r="L8" s="392"/>
      <c r="M8" s="392"/>
      <c r="N8" s="181">
        <f>'Inputs Worksheet'!Z37</f>
        <v>0</v>
      </c>
      <c r="O8" s="181" t="e">
        <f>'Inputs Worksheet'!AA37</f>
        <v>#DIV/0!</v>
      </c>
      <c r="P8" s="181" t="e">
        <f>'Inputs Worksheet'!AB37</f>
        <v>#DIV/0!</v>
      </c>
      <c r="Q8" s="181" t="e">
        <f>'Inputs Worksheet'!AC37</f>
        <v>#DIV/0!</v>
      </c>
      <c r="R8" s="181" t="e">
        <f>'Inputs Worksheet'!AD37</f>
        <v>#DIV/0!</v>
      </c>
      <c r="S8" s="181" t="e">
        <f>'Inputs Worksheet'!AE37</f>
        <v>#DIV/0!</v>
      </c>
      <c r="T8" s="181" t="e">
        <f>'Inputs Worksheet'!AF37</f>
        <v>#DIV/0!</v>
      </c>
      <c r="U8" s="181" t="e">
        <f>'Inputs Worksheet'!AG37</f>
        <v>#DIV/0!</v>
      </c>
      <c r="V8" s="181" t="e">
        <f>'Inputs Worksheet'!AH37</f>
        <v>#DIV/0!</v>
      </c>
      <c r="W8" s="181" t="e">
        <f>'Inputs Worksheet'!AI37</f>
        <v>#DIV/0!</v>
      </c>
      <c r="X8" s="181" t="e">
        <f>'Inputs Worksheet'!AJ37</f>
        <v>#DIV/0!</v>
      </c>
      <c r="Y8" s="181" t="e">
        <f>'Inputs Worksheet'!AK37</f>
        <v>#DIV/0!</v>
      </c>
      <c r="Z8" s="181" t="e">
        <f>'Inputs Worksheet'!AL37</f>
        <v>#DIV/0!</v>
      </c>
      <c r="AA8" s="181" t="e">
        <f>'Inputs Worksheet'!AM37</f>
        <v>#DIV/0!</v>
      </c>
      <c r="AB8" s="181" t="e">
        <f>'Inputs Worksheet'!AN37</f>
        <v>#DIV/0!</v>
      </c>
      <c r="AC8" s="181" t="e">
        <f>'Inputs Worksheet'!AO37</f>
        <v>#DIV/0!</v>
      </c>
      <c r="AD8" s="181" t="e">
        <f>'Inputs Worksheet'!AP37</f>
        <v>#DIV/0!</v>
      </c>
      <c r="AE8" s="181" t="e">
        <f>'Inputs Worksheet'!AQ37</f>
        <v>#DIV/0!</v>
      </c>
      <c r="AF8" s="181" t="e">
        <f>'Inputs Worksheet'!AR37</f>
        <v>#DIV/0!</v>
      </c>
      <c r="AG8" s="181" t="e">
        <f>'Inputs Worksheet'!AS37</f>
        <v>#DIV/0!</v>
      </c>
      <c r="AH8" s="181" t="e">
        <f>'Inputs Worksheet'!AT37</f>
        <v>#DIV/0!</v>
      </c>
      <c r="AI8" s="181" t="e">
        <f>'Inputs Worksheet'!AU37</f>
        <v>#DIV/0!</v>
      </c>
      <c r="AJ8" s="181" t="e">
        <f>'Inputs Worksheet'!AV37</f>
        <v>#DIV/0!</v>
      </c>
      <c r="AK8" s="69">
        <f>'Inputs Worksheet'!AW37</f>
        <v>0</v>
      </c>
      <c r="AL8" s="69" t="e">
        <f>'Inputs Worksheet'!AX37</f>
        <v>#DIV/0!</v>
      </c>
      <c r="AM8" s="69" t="e">
        <f>'Inputs Worksheet'!AY37</f>
        <v>#DIV/0!</v>
      </c>
      <c r="AN8" s="69" t="e">
        <f>'Inputs Worksheet'!AZ37</f>
        <v>#DIV/0!</v>
      </c>
      <c r="AO8" s="69" t="e">
        <f>'Inputs Worksheet'!BA37</f>
        <v>#DIV/0!</v>
      </c>
      <c r="AP8" s="69" t="e">
        <f>'Inputs Worksheet'!BB37</f>
        <v>#DIV/0!</v>
      </c>
      <c r="AQ8" s="69" t="e">
        <f>'Inputs Worksheet'!BC37</f>
        <v>#DIV/0!</v>
      </c>
      <c r="AR8" s="69" t="e">
        <f>'Inputs Worksheet'!BD37</f>
        <v>#DIV/0!</v>
      </c>
      <c r="AS8" s="69" t="e">
        <f>'Inputs Worksheet'!BE37</f>
        <v>#DIV/0!</v>
      </c>
      <c r="AT8" s="69" t="e">
        <f>'Inputs Worksheet'!BF37</f>
        <v>#DIV/0!</v>
      </c>
      <c r="AU8" s="69" t="e">
        <f>'Inputs Worksheet'!BG37</f>
        <v>#DIV/0!</v>
      </c>
      <c r="AV8" s="69" t="e">
        <f>'Inputs Worksheet'!BH37</f>
        <v>#DIV/0!</v>
      </c>
      <c r="AW8" s="69" t="e">
        <f>'Inputs Worksheet'!BI37</f>
        <v>#DIV/0!</v>
      </c>
      <c r="AX8" s="69" t="e">
        <f>'Inputs Worksheet'!BJ37</f>
        <v>#DIV/0!</v>
      </c>
      <c r="AY8" s="69" t="e">
        <f>'Inputs Worksheet'!BK37</f>
        <v>#DIV/0!</v>
      </c>
      <c r="AZ8" s="69" t="e">
        <f>'Inputs Worksheet'!BL37</f>
        <v>#DIV/0!</v>
      </c>
      <c r="BA8" s="69" t="e">
        <f>'Inputs Worksheet'!BM37</f>
        <v>#DIV/0!</v>
      </c>
      <c r="BB8" s="69" t="e">
        <f>'Inputs Worksheet'!BN37</f>
        <v>#DIV/0!</v>
      </c>
      <c r="BC8" s="69" t="e">
        <f>'Inputs Worksheet'!BO37</f>
        <v>#DIV/0!</v>
      </c>
      <c r="BD8" s="69" t="e">
        <f>'Inputs Worksheet'!BP37</f>
        <v>#DIV/0!</v>
      </c>
      <c r="BE8" s="69" t="e">
        <f>'Inputs Worksheet'!BQ37</f>
        <v>#DIV/0!</v>
      </c>
      <c r="BF8" s="69" t="e">
        <f>'Inputs Worksheet'!BR37</f>
        <v>#DIV/0!</v>
      </c>
      <c r="BG8" s="69" t="e">
        <f>'Inputs Worksheet'!BS37</f>
        <v>#DIV/0!</v>
      </c>
      <c r="BH8" s="70" t="e">
        <f>'Inputs Worksheet'!#REF!</f>
        <v>#REF!</v>
      </c>
      <c r="BI8" s="70" t="e">
        <f>'Inputs Worksheet'!#REF!</f>
        <v>#REF!</v>
      </c>
      <c r="BJ8" s="70" t="e">
        <f>'Inputs Worksheet'!#REF!</f>
        <v>#REF!</v>
      </c>
      <c r="BK8" s="70" t="e">
        <f>'Inputs Worksheet'!#REF!</f>
        <v>#REF!</v>
      </c>
      <c r="BL8" s="70" t="e">
        <f>'Inputs Worksheet'!#REF!</f>
        <v>#REF!</v>
      </c>
      <c r="BM8" s="70" t="e">
        <f>'Inputs Worksheet'!#REF!</f>
        <v>#REF!</v>
      </c>
      <c r="BN8" s="70" t="e">
        <f>'Inputs Worksheet'!#REF!</f>
        <v>#REF!</v>
      </c>
      <c r="BO8" s="70" t="e">
        <f>'Inputs Worksheet'!#REF!</f>
        <v>#REF!</v>
      </c>
      <c r="BP8" s="70" t="e">
        <f>'Inputs Worksheet'!#REF!</f>
        <v>#REF!</v>
      </c>
      <c r="BQ8" s="70" t="e">
        <f>'Inputs Worksheet'!#REF!</f>
        <v>#REF!</v>
      </c>
      <c r="BR8" s="70" t="e">
        <f>'Inputs Worksheet'!#REF!</f>
        <v>#REF!</v>
      </c>
      <c r="BS8" s="70" t="e">
        <f>'Inputs Worksheet'!#REF!</f>
        <v>#REF!</v>
      </c>
      <c r="BT8" s="70" t="e">
        <f>'Inputs Worksheet'!#REF!</f>
        <v>#REF!</v>
      </c>
      <c r="BU8" s="70" t="e">
        <f>'Inputs Worksheet'!#REF!</f>
        <v>#REF!</v>
      </c>
      <c r="BV8" s="70" t="e">
        <f>'Inputs Worksheet'!#REF!</f>
        <v>#REF!</v>
      </c>
      <c r="BW8" s="70" t="e">
        <f>'Inputs Worksheet'!#REF!</f>
        <v>#REF!</v>
      </c>
      <c r="BX8" s="70" t="e">
        <f>'Inputs Worksheet'!#REF!</f>
        <v>#REF!</v>
      </c>
      <c r="BY8" s="70" t="e">
        <f>'Inputs Worksheet'!#REF!</f>
        <v>#REF!</v>
      </c>
      <c r="BZ8" s="70" t="e">
        <f>'Inputs Worksheet'!#REF!</f>
        <v>#REF!</v>
      </c>
      <c r="CA8" s="70" t="e">
        <f>'Inputs Worksheet'!#REF!</f>
        <v>#REF!</v>
      </c>
      <c r="CB8" s="70" t="e">
        <f>'Inputs Worksheet'!#REF!</f>
        <v>#REF!</v>
      </c>
      <c r="CC8" s="70" t="e">
        <f>'Inputs Worksheet'!#REF!</f>
        <v>#REF!</v>
      </c>
      <c r="CD8" s="70" t="e">
        <f>'Inputs Worksheet'!#REF!</f>
        <v>#REF!</v>
      </c>
      <c r="CE8" s="71">
        <f>'Inputs Worksheet'!BT37</f>
        <v>0</v>
      </c>
      <c r="CF8" s="71" t="e">
        <f>'Inputs Worksheet'!BU37</f>
        <v>#DIV/0!</v>
      </c>
      <c r="CG8" s="71" t="e">
        <f>'Inputs Worksheet'!BV37</f>
        <v>#DIV/0!</v>
      </c>
      <c r="CH8" s="71" t="e">
        <f>'Inputs Worksheet'!BW37</f>
        <v>#DIV/0!</v>
      </c>
      <c r="CI8" s="71" t="e">
        <f>'Inputs Worksheet'!BX37</f>
        <v>#DIV/0!</v>
      </c>
      <c r="CJ8" s="71" t="e">
        <f>'Inputs Worksheet'!BY37</f>
        <v>#DIV/0!</v>
      </c>
      <c r="CK8" s="71" t="e">
        <f>'Inputs Worksheet'!BZ37</f>
        <v>#DIV/0!</v>
      </c>
      <c r="CL8" s="71" t="e">
        <f>'Inputs Worksheet'!CA37</f>
        <v>#DIV/0!</v>
      </c>
      <c r="CM8" s="71" t="e">
        <f>'Inputs Worksheet'!CB37</f>
        <v>#DIV/0!</v>
      </c>
      <c r="CN8" s="71" t="e">
        <f>'Inputs Worksheet'!CC37</f>
        <v>#DIV/0!</v>
      </c>
      <c r="CO8" s="71" t="e">
        <f>'Inputs Worksheet'!CD37</f>
        <v>#DIV/0!</v>
      </c>
      <c r="CP8" s="71" t="e">
        <f>'Inputs Worksheet'!CE37</f>
        <v>#DIV/0!</v>
      </c>
      <c r="CQ8" s="71" t="e">
        <f>'Inputs Worksheet'!CF37</f>
        <v>#DIV/0!</v>
      </c>
      <c r="CR8" s="71" t="e">
        <f>'Inputs Worksheet'!CG37</f>
        <v>#DIV/0!</v>
      </c>
      <c r="CS8" s="71" t="e">
        <f>'Inputs Worksheet'!CH37</f>
        <v>#DIV/0!</v>
      </c>
      <c r="CT8" s="71" t="e">
        <f>'Inputs Worksheet'!CI37</f>
        <v>#DIV/0!</v>
      </c>
      <c r="CU8" s="71" t="e">
        <f>'Inputs Worksheet'!CJ37</f>
        <v>#DIV/0!</v>
      </c>
      <c r="CV8" s="71" t="e">
        <f>'Inputs Worksheet'!CK37</f>
        <v>#DIV/0!</v>
      </c>
      <c r="CW8" s="71" t="e">
        <f>'Inputs Worksheet'!CL37</f>
        <v>#DIV/0!</v>
      </c>
      <c r="CX8" s="71" t="e">
        <f>'Inputs Worksheet'!CM37</f>
        <v>#DIV/0!</v>
      </c>
      <c r="CY8" s="71" t="e">
        <f>'Inputs Worksheet'!CN37</f>
        <v>#DIV/0!</v>
      </c>
      <c r="CZ8" s="71" t="e">
        <f>'Inputs Worksheet'!CO37</f>
        <v>#DIV/0!</v>
      </c>
      <c r="DA8" s="71" t="e">
        <f>'Inputs Worksheet'!CP37</f>
        <v>#DIV/0!</v>
      </c>
    </row>
    <row r="9" spans="1:105" s="125" customFormat="1" x14ac:dyDescent="0.25">
      <c r="A9" s="123"/>
      <c r="B9" s="84"/>
      <c r="C9" s="84"/>
      <c r="D9" s="174" t="s">
        <v>56</v>
      </c>
      <c r="E9" s="175">
        <f>'Inputs Worksheet'!AB59</f>
        <v>11600000</v>
      </c>
      <c r="F9" s="175">
        <f>'Inputs Worksheet'!AB60</f>
        <v>554800</v>
      </c>
      <c r="G9" s="175">
        <f>'Inputs Worksheet'!AB61</f>
        <v>151100</v>
      </c>
      <c r="H9" s="175">
        <f>'Inputs Worksheet'!AB62</f>
        <v>77200</v>
      </c>
      <c r="I9" s="175">
        <f>'Inputs Worksheet'!AB64</f>
        <v>4500</v>
      </c>
      <c r="J9" s="175">
        <f>'Inputs Worksheet'!AB63</f>
        <v>3900</v>
      </c>
      <c r="K9" s="175"/>
      <c r="L9" s="175"/>
      <c r="M9" s="173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</row>
    <row r="10" spans="1:105" x14ac:dyDescent="0.25">
      <c r="B10" s="84"/>
      <c r="C10" s="84"/>
      <c r="D10" s="154"/>
      <c r="E10" s="99"/>
      <c r="F10" s="99"/>
      <c r="G10" s="99"/>
      <c r="H10" s="99"/>
      <c r="I10" s="99"/>
      <c r="J10" s="245"/>
      <c r="K10" s="245"/>
      <c r="L10" s="99"/>
      <c r="M10" s="173"/>
      <c r="N10" s="900" t="s">
        <v>80</v>
      </c>
      <c r="O10" s="901"/>
      <c r="P10" s="901"/>
      <c r="Q10" s="901"/>
      <c r="R10" s="901"/>
      <c r="S10" s="901"/>
      <c r="T10" s="901"/>
      <c r="U10" s="901"/>
      <c r="V10" s="901"/>
      <c r="W10" s="901"/>
      <c r="X10" s="901"/>
      <c r="Y10" s="901"/>
      <c r="Z10" s="901"/>
      <c r="AA10" s="901"/>
      <c r="AB10" s="901"/>
      <c r="AC10" s="901"/>
      <c r="AD10" s="901"/>
      <c r="AE10" s="901"/>
      <c r="AF10" s="901"/>
      <c r="AG10" s="901"/>
      <c r="AH10" s="901"/>
      <c r="AI10" s="901"/>
      <c r="AJ10" s="902"/>
      <c r="AK10" s="903" t="s">
        <v>81</v>
      </c>
      <c r="AL10" s="890"/>
      <c r="AM10" s="890"/>
      <c r="AN10" s="890"/>
      <c r="AO10" s="890"/>
      <c r="AP10" s="890"/>
      <c r="AQ10" s="890"/>
      <c r="AR10" s="890"/>
      <c r="AS10" s="890"/>
      <c r="AT10" s="890"/>
      <c r="AU10" s="890"/>
      <c r="AV10" s="890"/>
      <c r="AW10" s="890"/>
      <c r="AX10" s="890"/>
      <c r="AY10" s="890"/>
      <c r="AZ10" s="890"/>
      <c r="BA10" s="890"/>
      <c r="BB10" s="890"/>
      <c r="BC10" s="890"/>
      <c r="BD10" s="890"/>
      <c r="BE10" s="890"/>
      <c r="BF10" s="890"/>
      <c r="BG10" s="904"/>
      <c r="BH10" s="905" t="s">
        <v>82</v>
      </c>
      <c r="BI10" s="894"/>
      <c r="BJ10" s="894"/>
      <c r="BK10" s="894"/>
      <c r="BL10" s="894"/>
      <c r="BM10" s="894"/>
      <c r="BN10" s="894"/>
      <c r="BO10" s="894"/>
      <c r="BP10" s="894"/>
      <c r="BQ10" s="894"/>
      <c r="BR10" s="894"/>
      <c r="BS10" s="894"/>
      <c r="BT10" s="894"/>
      <c r="BU10" s="894"/>
      <c r="BV10" s="894"/>
      <c r="BW10" s="894"/>
      <c r="BX10" s="894"/>
      <c r="BY10" s="894"/>
      <c r="BZ10" s="894"/>
      <c r="CA10" s="894"/>
      <c r="CB10" s="894"/>
      <c r="CC10" s="894"/>
      <c r="CD10" s="906"/>
      <c r="CE10" s="907" t="s">
        <v>83</v>
      </c>
      <c r="CF10" s="898"/>
      <c r="CG10" s="898"/>
      <c r="CH10" s="898"/>
      <c r="CI10" s="898"/>
      <c r="CJ10" s="898"/>
      <c r="CK10" s="898"/>
      <c r="CL10" s="898"/>
      <c r="CM10" s="898"/>
      <c r="CN10" s="898"/>
      <c r="CO10" s="898"/>
      <c r="CP10" s="898"/>
      <c r="CQ10" s="898"/>
      <c r="CR10" s="898"/>
      <c r="CS10" s="898"/>
      <c r="CT10" s="898"/>
      <c r="CU10" s="898"/>
      <c r="CV10" s="898"/>
      <c r="CW10" s="898"/>
      <c r="CX10" s="898"/>
      <c r="CY10" s="898"/>
      <c r="CZ10" s="898"/>
      <c r="DA10" s="908"/>
    </row>
    <row r="11" spans="1:105" x14ac:dyDescent="0.25">
      <c r="B11" s="84"/>
      <c r="C11" s="84"/>
      <c r="D11" s="154"/>
      <c r="E11" s="99"/>
      <c r="F11" s="99"/>
      <c r="G11" s="99"/>
      <c r="H11" s="99"/>
      <c r="I11" s="99"/>
      <c r="J11" s="246"/>
      <c r="K11" s="246"/>
      <c r="L11" s="99"/>
      <c r="M11" s="173"/>
      <c r="N11" s="177">
        <f>'Inputs Worksheet'!AN42</f>
        <v>2027</v>
      </c>
      <c r="O11" s="177">
        <f>'Inputs Worksheet'!AO42</f>
        <v>2028</v>
      </c>
      <c r="P11" s="177">
        <f>'Inputs Worksheet'!AP42</f>
        <v>2029</v>
      </c>
      <c r="Q11" s="177">
        <f>'Inputs Worksheet'!AQ42</f>
        <v>2030</v>
      </c>
      <c r="R11" s="177">
        <f>'Inputs Worksheet'!AR42</f>
        <v>2031</v>
      </c>
      <c r="S11" s="177">
        <f>'Inputs Worksheet'!AS42</f>
        <v>2032</v>
      </c>
      <c r="T11" s="177">
        <f>'Inputs Worksheet'!AT42</f>
        <v>2033</v>
      </c>
      <c r="U11" s="177">
        <f>'Inputs Worksheet'!AU42</f>
        <v>2034</v>
      </c>
      <c r="V11" s="177">
        <f>'Inputs Worksheet'!AV42</f>
        <v>2035</v>
      </c>
      <c r="W11" s="177">
        <f>'Inputs Worksheet'!AW42</f>
        <v>2036</v>
      </c>
      <c r="X11" s="177">
        <f>'Inputs Worksheet'!AX42</f>
        <v>2037</v>
      </c>
      <c r="Y11" s="177">
        <f>'Inputs Worksheet'!AY42</f>
        <v>2038</v>
      </c>
      <c r="Z11" s="177">
        <f>'Inputs Worksheet'!AZ42</f>
        <v>2039</v>
      </c>
      <c r="AA11" s="177">
        <f>'Inputs Worksheet'!BA42</f>
        <v>2040</v>
      </c>
      <c r="AB11" s="177">
        <f>'Inputs Worksheet'!BB42</f>
        <v>2041</v>
      </c>
      <c r="AC11" s="177">
        <f>'Inputs Worksheet'!BC42</f>
        <v>2042</v>
      </c>
      <c r="AD11" s="177">
        <f>'Inputs Worksheet'!BD42</f>
        <v>2043</v>
      </c>
      <c r="AE11" s="177">
        <f>'Inputs Worksheet'!BE42</f>
        <v>2044</v>
      </c>
      <c r="AF11" s="177">
        <f>'Inputs Worksheet'!BF42</f>
        <v>2045</v>
      </c>
      <c r="AG11" s="177">
        <f>'Inputs Worksheet'!BG42</f>
        <v>2046</v>
      </c>
      <c r="AH11" s="177">
        <f>'Inputs Worksheet'!BH42</f>
        <v>2047</v>
      </c>
      <c r="AI11" s="177">
        <f>'Inputs Worksheet'!BI42</f>
        <v>2048</v>
      </c>
      <c r="AJ11" s="177" t="str">
        <f>'Inputs Worksheet'!BJ42</f>
        <v>Annual Average</v>
      </c>
      <c r="AK11" s="178">
        <f>'Inputs Worksheet'!BK42</f>
        <v>2027</v>
      </c>
      <c r="AL11" s="178">
        <f>'Inputs Worksheet'!BL42</f>
        <v>2028</v>
      </c>
      <c r="AM11" s="178">
        <f>'Inputs Worksheet'!BM42</f>
        <v>2029</v>
      </c>
      <c r="AN11" s="178">
        <f>'Inputs Worksheet'!BN42</f>
        <v>2030</v>
      </c>
      <c r="AO11" s="178">
        <f>'Inputs Worksheet'!BO42</f>
        <v>2031</v>
      </c>
      <c r="AP11" s="178">
        <f>'Inputs Worksheet'!BP42</f>
        <v>2032</v>
      </c>
      <c r="AQ11" s="178">
        <f>'Inputs Worksheet'!BQ42</f>
        <v>2033</v>
      </c>
      <c r="AR11" s="178">
        <f>'Inputs Worksheet'!BR42</f>
        <v>2034</v>
      </c>
      <c r="AS11" s="178">
        <f>'Inputs Worksheet'!BS42</f>
        <v>2035</v>
      </c>
      <c r="AT11" s="178">
        <f>'Inputs Worksheet'!BT42</f>
        <v>2036</v>
      </c>
      <c r="AU11" s="178">
        <f>'Inputs Worksheet'!BU42</f>
        <v>2037</v>
      </c>
      <c r="AV11" s="178">
        <f>'Inputs Worksheet'!BV42</f>
        <v>2038</v>
      </c>
      <c r="AW11" s="178">
        <f>'Inputs Worksheet'!BW42</f>
        <v>2039</v>
      </c>
      <c r="AX11" s="178">
        <f>'Inputs Worksheet'!BX42</f>
        <v>2040</v>
      </c>
      <c r="AY11" s="178">
        <f>'Inputs Worksheet'!BY42</f>
        <v>2041</v>
      </c>
      <c r="AZ11" s="178">
        <f>'Inputs Worksheet'!BZ42</f>
        <v>2042</v>
      </c>
      <c r="BA11" s="178">
        <f>'Inputs Worksheet'!CA42</f>
        <v>2043</v>
      </c>
      <c r="BB11" s="178">
        <f>'Inputs Worksheet'!CB42</f>
        <v>2044</v>
      </c>
      <c r="BC11" s="178">
        <f>'Inputs Worksheet'!CC42</f>
        <v>2045</v>
      </c>
      <c r="BD11" s="178">
        <f>'Inputs Worksheet'!CD42</f>
        <v>2046</v>
      </c>
      <c r="BE11" s="178">
        <f>'Inputs Worksheet'!CE42</f>
        <v>2047</v>
      </c>
      <c r="BF11" s="178">
        <f>'Inputs Worksheet'!CF42</f>
        <v>2048</v>
      </c>
      <c r="BG11" s="178" t="str">
        <f>'Inputs Worksheet'!CG42</f>
        <v>Annual Average</v>
      </c>
      <c r="BH11" s="179" t="e">
        <f>'Inputs Worksheet'!#REF!</f>
        <v>#REF!</v>
      </c>
      <c r="BI11" s="179" t="e">
        <f>'Inputs Worksheet'!#REF!</f>
        <v>#REF!</v>
      </c>
      <c r="BJ11" s="179" t="e">
        <f>'Inputs Worksheet'!#REF!</f>
        <v>#REF!</v>
      </c>
      <c r="BK11" s="179" t="e">
        <f>'Inputs Worksheet'!#REF!</f>
        <v>#REF!</v>
      </c>
      <c r="BL11" s="179" t="e">
        <f>'Inputs Worksheet'!#REF!</f>
        <v>#REF!</v>
      </c>
      <c r="BM11" s="179" t="e">
        <f>'Inputs Worksheet'!#REF!</f>
        <v>#REF!</v>
      </c>
      <c r="BN11" s="179" t="e">
        <f>'Inputs Worksheet'!#REF!</f>
        <v>#REF!</v>
      </c>
      <c r="BO11" s="179" t="e">
        <f>'Inputs Worksheet'!#REF!</f>
        <v>#REF!</v>
      </c>
      <c r="BP11" s="179" t="e">
        <f>'Inputs Worksheet'!#REF!</f>
        <v>#REF!</v>
      </c>
      <c r="BQ11" s="179" t="e">
        <f>'Inputs Worksheet'!#REF!</f>
        <v>#REF!</v>
      </c>
      <c r="BR11" s="179" t="e">
        <f>'Inputs Worksheet'!#REF!</f>
        <v>#REF!</v>
      </c>
      <c r="BS11" s="179" t="e">
        <f>'Inputs Worksheet'!#REF!</f>
        <v>#REF!</v>
      </c>
      <c r="BT11" s="179" t="e">
        <f>'Inputs Worksheet'!#REF!</f>
        <v>#REF!</v>
      </c>
      <c r="BU11" s="179" t="e">
        <f>'Inputs Worksheet'!#REF!</f>
        <v>#REF!</v>
      </c>
      <c r="BV11" s="179" t="e">
        <f>'Inputs Worksheet'!#REF!</f>
        <v>#REF!</v>
      </c>
      <c r="BW11" s="179" t="e">
        <f>'Inputs Worksheet'!#REF!</f>
        <v>#REF!</v>
      </c>
      <c r="BX11" s="179" t="e">
        <f>'Inputs Worksheet'!#REF!</f>
        <v>#REF!</v>
      </c>
      <c r="BY11" s="179" t="e">
        <f>'Inputs Worksheet'!#REF!</f>
        <v>#REF!</v>
      </c>
      <c r="BZ11" s="179" t="e">
        <f>'Inputs Worksheet'!#REF!</f>
        <v>#REF!</v>
      </c>
      <c r="CA11" s="179" t="e">
        <f>'Inputs Worksheet'!#REF!</f>
        <v>#REF!</v>
      </c>
      <c r="CB11" s="179" t="e">
        <f>'Inputs Worksheet'!#REF!</f>
        <v>#REF!</v>
      </c>
      <c r="CC11" s="179" t="e">
        <f>'Inputs Worksheet'!#REF!</f>
        <v>#REF!</v>
      </c>
      <c r="CD11" s="179" t="s">
        <v>45</v>
      </c>
      <c r="CE11" s="180">
        <f>'Inputs Worksheet'!CH42</f>
        <v>2027</v>
      </c>
      <c r="CF11" s="180">
        <f>'Inputs Worksheet'!CI42</f>
        <v>2028</v>
      </c>
      <c r="CG11" s="180">
        <f>'Inputs Worksheet'!CJ42</f>
        <v>2029</v>
      </c>
      <c r="CH11" s="180">
        <f>'Inputs Worksheet'!CK42</f>
        <v>2030</v>
      </c>
      <c r="CI11" s="180">
        <f>'Inputs Worksheet'!CL42</f>
        <v>2031</v>
      </c>
      <c r="CJ11" s="180">
        <f>'Inputs Worksheet'!CM42</f>
        <v>2032</v>
      </c>
      <c r="CK11" s="180">
        <f>'Inputs Worksheet'!CN42</f>
        <v>2033</v>
      </c>
      <c r="CL11" s="180">
        <f>'Inputs Worksheet'!CO42</f>
        <v>2034</v>
      </c>
      <c r="CM11" s="180">
        <f>'Inputs Worksheet'!CP42</f>
        <v>2035</v>
      </c>
      <c r="CN11" s="180">
        <f>'Inputs Worksheet'!CQ42</f>
        <v>2036</v>
      </c>
      <c r="CO11" s="180">
        <f>'Inputs Worksheet'!CR42</f>
        <v>2037</v>
      </c>
      <c r="CP11" s="180">
        <f>'Inputs Worksheet'!CS42</f>
        <v>2038</v>
      </c>
      <c r="CQ11" s="180">
        <f>'Inputs Worksheet'!CT42</f>
        <v>2039</v>
      </c>
      <c r="CR11" s="180">
        <f>'Inputs Worksheet'!CU42</f>
        <v>2040</v>
      </c>
      <c r="CS11" s="180">
        <f>'Inputs Worksheet'!CV42</f>
        <v>2041</v>
      </c>
      <c r="CT11" s="180">
        <f>'Inputs Worksheet'!CW42</f>
        <v>2042</v>
      </c>
      <c r="CU11" s="180">
        <f>'Inputs Worksheet'!CX42</f>
        <v>2043</v>
      </c>
      <c r="CV11" s="180">
        <f>'Inputs Worksheet'!CY42</f>
        <v>2044</v>
      </c>
      <c r="CW11" s="180">
        <f>'Inputs Worksheet'!CZ42</f>
        <v>2045</v>
      </c>
      <c r="CX11" s="180">
        <f>'Inputs Worksheet'!DA42</f>
        <v>2046</v>
      </c>
      <c r="CY11" s="180">
        <f>'Inputs Worksheet'!DB42</f>
        <v>2047</v>
      </c>
      <c r="CZ11" s="180">
        <f>'Inputs Worksheet'!DC42</f>
        <v>2048</v>
      </c>
      <c r="DA11" s="180" t="str">
        <f>'Inputs Worksheet'!DD42</f>
        <v>Annual Average</v>
      </c>
    </row>
    <row r="12" spans="1:105" x14ac:dyDescent="0.25">
      <c r="B12" s="84"/>
      <c r="C12" s="84"/>
      <c r="D12" s="154"/>
      <c r="E12" s="99"/>
      <c r="F12" s="99"/>
      <c r="G12" s="99"/>
      <c r="H12" s="99"/>
      <c r="I12" s="99"/>
      <c r="J12" s="245"/>
      <c r="K12" s="245"/>
      <c r="L12" s="228" t="str">
        <f>B4</f>
        <v>Not Used</v>
      </c>
      <c r="M12" s="229"/>
      <c r="N12" s="227">
        <f>'Inputs Worksheet'!AN43</f>
        <v>0</v>
      </c>
      <c r="O12" s="181">
        <f>'Inputs Worksheet'!AO43</f>
        <v>0</v>
      </c>
      <c r="P12" s="181">
        <f>'Inputs Worksheet'!AP43</f>
        <v>0</v>
      </c>
      <c r="Q12" s="181">
        <f>'Inputs Worksheet'!AQ43</f>
        <v>0</v>
      </c>
      <c r="R12" s="181">
        <f>'Inputs Worksheet'!AR43</f>
        <v>0</v>
      </c>
      <c r="S12" s="181">
        <f>'Inputs Worksheet'!AS43</f>
        <v>0</v>
      </c>
      <c r="T12" s="181">
        <f>'Inputs Worksheet'!AT43</f>
        <v>0</v>
      </c>
      <c r="U12" s="181">
        <f>'Inputs Worksheet'!AU43</f>
        <v>0</v>
      </c>
      <c r="V12" s="181">
        <f>'Inputs Worksheet'!AV43</f>
        <v>0</v>
      </c>
      <c r="W12" s="181">
        <f>'Inputs Worksheet'!AW43</f>
        <v>0</v>
      </c>
      <c r="X12" s="181">
        <f>'Inputs Worksheet'!AX43</f>
        <v>0</v>
      </c>
      <c r="Y12" s="181">
        <f>'Inputs Worksheet'!AY43</f>
        <v>0</v>
      </c>
      <c r="Z12" s="181">
        <f>'Inputs Worksheet'!AZ43</f>
        <v>0</v>
      </c>
      <c r="AA12" s="181">
        <f>'Inputs Worksheet'!BA43</f>
        <v>0</v>
      </c>
      <c r="AB12" s="181">
        <f>'Inputs Worksheet'!BB43</f>
        <v>0</v>
      </c>
      <c r="AC12" s="181">
        <f>'Inputs Worksheet'!BC43</f>
        <v>0</v>
      </c>
      <c r="AD12" s="181">
        <f>'Inputs Worksheet'!BD43</f>
        <v>0</v>
      </c>
      <c r="AE12" s="181">
        <f>'Inputs Worksheet'!BE43</f>
        <v>0</v>
      </c>
      <c r="AF12" s="181">
        <f>'Inputs Worksheet'!BF43</f>
        <v>0</v>
      </c>
      <c r="AG12" s="181">
        <f>'Inputs Worksheet'!BG43</f>
        <v>0</v>
      </c>
      <c r="AH12" s="181">
        <f>'Inputs Worksheet'!BH43</f>
        <v>0</v>
      </c>
      <c r="AI12" s="181">
        <f>'Inputs Worksheet'!BI43</f>
        <v>0</v>
      </c>
      <c r="AJ12" s="181">
        <f>'Inputs Worksheet'!BJ43</f>
        <v>0</v>
      </c>
      <c r="AK12" s="182">
        <f>'Inputs Worksheet'!BK43</f>
        <v>0</v>
      </c>
      <c r="AL12" s="182" t="e">
        <f>'Inputs Worksheet'!BL43</f>
        <v>#VALUE!</v>
      </c>
      <c r="AM12" s="182" t="e">
        <f>'Inputs Worksheet'!BM43</f>
        <v>#VALUE!</v>
      </c>
      <c r="AN12" s="182" t="e">
        <f>'Inputs Worksheet'!BN43</f>
        <v>#VALUE!</v>
      </c>
      <c r="AO12" s="182" t="e">
        <f>'Inputs Worksheet'!BO43</f>
        <v>#VALUE!</v>
      </c>
      <c r="AP12" s="182" t="e">
        <f>'Inputs Worksheet'!BP43</f>
        <v>#VALUE!</v>
      </c>
      <c r="AQ12" s="182" t="e">
        <f>'Inputs Worksheet'!BQ43</f>
        <v>#VALUE!</v>
      </c>
      <c r="AR12" s="182" t="e">
        <f>'Inputs Worksheet'!BR43</f>
        <v>#VALUE!</v>
      </c>
      <c r="AS12" s="182" t="e">
        <f>'Inputs Worksheet'!BS43</f>
        <v>#VALUE!</v>
      </c>
      <c r="AT12" s="182" t="e">
        <f>'Inputs Worksheet'!BT43</f>
        <v>#VALUE!</v>
      </c>
      <c r="AU12" s="182" t="e">
        <f>'Inputs Worksheet'!BU43</f>
        <v>#VALUE!</v>
      </c>
      <c r="AV12" s="182" t="e">
        <f>'Inputs Worksheet'!BV43</f>
        <v>#VALUE!</v>
      </c>
      <c r="AW12" s="182" t="e">
        <f>'Inputs Worksheet'!BW43</f>
        <v>#VALUE!</v>
      </c>
      <c r="AX12" s="182" t="e">
        <f>'Inputs Worksheet'!BX43</f>
        <v>#VALUE!</v>
      </c>
      <c r="AY12" s="182" t="e">
        <f>'Inputs Worksheet'!BY43</f>
        <v>#VALUE!</v>
      </c>
      <c r="AZ12" s="182" t="e">
        <f>'Inputs Worksheet'!BZ43</f>
        <v>#VALUE!</v>
      </c>
      <c r="BA12" s="182" t="e">
        <f>'Inputs Worksheet'!CA43</f>
        <v>#VALUE!</v>
      </c>
      <c r="BB12" s="182" t="e">
        <f>'Inputs Worksheet'!CB43</f>
        <v>#VALUE!</v>
      </c>
      <c r="BC12" s="182" t="e">
        <f>'Inputs Worksheet'!CC43</f>
        <v>#VALUE!</v>
      </c>
      <c r="BD12" s="182" t="e">
        <f>'Inputs Worksheet'!CD43</f>
        <v>#VALUE!</v>
      </c>
      <c r="BE12" s="182">
        <f>'Inputs Worksheet'!CE43</f>
        <v>0</v>
      </c>
      <c r="BF12" s="182">
        <f>'Inputs Worksheet'!CF43</f>
        <v>0</v>
      </c>
      <c r="BG12" s="182" t="e">
        <f>'Inputs Worksheet'!CG43</f>
        <v>#VALUE!</v>
      </c>
      <c r="BH12" s="183" t="e">
        <f>'Inputs Worksheet'!#REF!</f>
        <v>#REF!</v>
      </c>
      <c r="BI12" s="183" t="e">
        <f>'Inputs Worksheet'!#REF!</f>
        <v>#REF!</v>
      </c>
      <c r="BJ12" s="183" t="e">
        <f>'Inputs Worksheet'!#REF!</f>
        <v>#REF!</v>
      </c>
      <c r="BK12" s="183" t="e">
        <f>'Inputs Worksheet'!#REF!</f>
        <v>#REF!</v>
      </c>
      <c r="BL12" s="183" t="e">
        <f>'Inputs Worksheet'!#REF!</f>
        <v>#REF!</v>
      </c>
      <c r="BM12" s="183" t="e">
        <f>'Inputs Worksheet'!#REF!</f>
        <v>#REF!</v>
      </c>
      <c r="BN12" s="183" t="e">
        <f>'Inputs Worksheet'!#REF!</f>
        <v>#REF!</v>
      </c>
      <c r="BO12" s="183" t="e">
        <f>'Inputs Worksheet'!#REF!</f>
        <v>#REF!</v>
      </c>
      <c r="BP12" s="183" t="e">
        <f>'Inputs Worksheet'!#REF!</f>
        <v>#REF!</v>
      </c>
      <c r="BQ12" s="183" t="e">
        <f>'Inputs Worksheet'!#REF!</f>
        <v>#REF!</v>
      </c>
      <c r="BR12" s="183" t="e">
        <f>'Inputs Worksheet'!#REF!</f>
        <v>#REF!</v>
      </c>
      <c r="BS12" s="183" t="e">
        <f>'Inputs Worksheet'!#REF!</f>
        <v>#REF!</v>
      </c>
      <c r="BT12" s="183" t="e">
        <f>'Inputs Worksheet'!#REF!</f>
        <v>#REF!</v>
      </c>
      <c r="BU12" s="183" t="e">
        <f>'Inputs Worksheet'!#REF!</f>
        <v>#REF!</v>
      </c>
      <c r="BV12" s="183" t="e">
        <f>'Inputs Worksheet'!#REF!</f>
        <v>#REF!</v>
      </c>
      <c r="BW12" s="183" t="e">
        <f>'Inputs Worksheet'!#REF!</f>
        <v>#REF!</v>
      </c>
      <c r="BX12" s="183" t="e">
        <f>'Inputs Worksheet'!#REF!</f>
        <v>#REF!</v>
      </c>
      <c r="BY12" s="183" t="e">
        <f>'Inputs Worksheet'!#REF!</f>
        <v>#REF!</v>
      </c>
      <c r="BZ12" s="183" t="e">
        <f>'Inputs Worksheet'!#REF!</f>
        <v>#REF!</v>
      </c>
      <c r="CA12" s="183" t="e">
        <f>'Inputs Worksheet'!#REF!</f>
        <v>#REF!</v>
      </c>
      <c r="CB12" s="183" t="e">
        <f>'Inputs Worksheet'!#REF!</f>
        <v>#REF!</v>
      </c>
      <c r="CC12" s="183" t="e">
        <f>'Inputs Worksheet'!#REF!</f>
        <v>#REF!</v>
      </c>
      <c r="CD12" s="183" t="e">
        <f>'Inputs Worksheet'!#REF!</f>
        <v>#REF!</v>
      </c>
      <c r="CE12" s="184" t="e">
        <f>'Inputs Worksheet'!CH43</f>
        <v>#VALUE!</v>
      </c>
      <c r="CF12" s="184" t="e">
        <f>'Inputs Worksheet'!CI43</f>
        <v>#VALUE!</v>
      </c>
      <c r="CG12" s="184" t="e">
        <f>'Inputs Worksheet'!CJ43</f>
        <v>#VALUE!</v>
      </c>
      <c r="CH12" s="184" t="e">
        <f>'Inputs Worksheet'!CK43</f>
        <v>#VALUE!</v>
      </c>
      <c r="CI12" s="184" t="e">
        <f>'Inputs Worksheet'!CL43</f>
        <v>#VALUE!</v>
      </c>
      <c r="CJ12" s="184" t="e">
        <f>'Inputs Worksheet'!CM43</f>
        <v>#VALUE!</v>
      </c>
      <c r="CK12" s="184" t="e">
        <f>'Inputs Worksheet'!CN43</f>
        <v>#VALUE!</v>
      </c>
      <c r="CL12" s="184" t="e">
        <f>'Inputs Worksheet'!CO43</f>
        <v>#VALUE!</v>
      </c>
      <c r="CM12" s="184" t="e">
        <f>'Inputs Worksheet'!CP43</f>
        <v>#VALUE!</v>
      </c>
      <c r="CN12" s="184" t="e">
        <f>'Inputs Worksheet'!CQ43</f>
        <v>#VALUE!</v>
      </c>
      <c r="CO12" s="184" t="e">
        <f>'Inputs Worksheet'!CR43</f>
        <v>#VALUE!</v>
      </c>
      <c r="CP12" s="184" t="e">
        <f>'Inputs Worksheet'!CS43</f>
        <v>#VALUE!</v>
      </c>
      <c r="CQ12" s="184" t="e">
        <f>'Inputs Worksheet'!CT43</f>
        <v>#VALUE!</v>
      </c>
      <c r="CR12" s="184" t="e">
        <f>'Inputs Worksheet'!CU43</f>
        <v>#VALUE!</v>
      </c>
      <c r="CS12" s="184" t="e">
        <f>'Inputs Worksheet'!CV43</f>
        <v>#VALUE!</v>
      </c>
      <c r="CT12" s="184" t="e">
        <f>'Inputs Worksheet'!CW43</f>
        <v>#VALUE!</v>
      </c>
      <c r="CU12" s="184" t="e">
        <f>'Inputs Worksheet'!CX43</f>
        <v>#VALUE!</v>
      </c>
      <c r="CV12" s="184" t="e">
        <f>'Inputs Worksheet'!CY43</f>
        <v>#VALUE!</v>
      </c>
      <c r="CW12" s="184" t="e">
        <f>'Inputs Worksheet'!CZ43</f>
        <v>#VALUE!</v>
      </c>
      <c r="CX12" s="184" t="e">
        <f>'Inputs Worksheet'!DA43</f>
        <v>#VALUE!</v>
      </c>
      <c r="CY12" s="184">
        <f>'Inputs Worksheet'!DB43</f>
        <v>0</v>
      </c>
      <c r="CZ12" s="184">
        <f>'Inputs Worksheet'!DC43</f>
        <v>0</v>
      </c>
      <c r="DA12" s="184" t="e">
        <f>'Inputs Worksheet'!DD43</f>
        <v>#VALUE!</v>
      </c>
    </row>
    <row r="13" spans="1:105" x14ac:dyDescent="0.25">
      <c r="C13" s="84"/>
      <c r="D13" s="154"/>
      <c r="E13" s="99"/>
      <c r="F13" s="99"/>
      <c r="G13" s="99"/>
      <c r="H13" s="99"/>
      <c r="I13" s="99"/>
      <c r="J13" s="99"/>
      <c r="K13" s="99"/>
      <c r="L13" s="230" t="str">
        <f>B5</f>
        <v>I-205 Corridor Widening: Stafford Road to OR43</v>
      </c>
      <c r="M13" s="231"/>
      <c r="N13" s="227">
        <f>'Inputs Worksheet'!AN44</f>
        <v>433997.38209106849</v>
      </c>
      <c r="O13" s="181">
        <f>'Inputs Worksheet'!AO44</f>
        <v>438391.42777547427</v>
      </c>
      <c r="P13" s="181">
        <f>'Inputs Worksheet'!AP44</f>
        <v>442829.96137218864</v>
      </c>
      <c r="Q13" s="181">
        <f>'Inputs Worksheet'!AQ44</f>
        <v>447313.43330309703</v>
      </c>
      <c r="R13" s="181">
        <f>'Inputs Worksheet'!AR44</f>
        <v>451842.29855042184</v>
      </c>
      <c r="S13" s="181">
        <f>'Inputs Worksheet'!AS44</f>
        <v>456417.01670289412</v>
      </c>
      <c r="T13" s="181">
        <f>'Inputs Worksheet'!AT44</f>
        <v>461038.05200239248</v>
      </c>
      <c r="U13" s="181">
        <f>'Inputs Worksheet'!AU44</f>
        <v>465705.87339105434</v>
      </c>
      <c r="V13" s="181">
        <f>'Inputs Worksheet'!AV44</f>
        <v>470420.95455886418</v>
      </c>
      <c r="W13" s="181">
        <f>'Inputs Worksheet'!AW44</f>
        <v>475183.77399172349</v>
      </c>
      <c r="X13" s="181">
        <f>'Inputs Worksheet'!AX44</f>
        <v>479994.81502000749</v>
      </c>
      <c r="Y13" s="181">
        <f>'Inputs Worksheet'!AY44</f>
        <v>484854.56586761336</v>
      </c>
      <c r="Z13" s="181">
        <f>'Inputs Worksheet'!AZ44</f>
        <v>489763.51970150531</v>
      </c>
      <c r="AA13" s="181">
        <f>'Inputs Worksheet'!BA44</f>
        <v>494722.17468176089</v>
      </c>
      <c r="AB13" s="181">
        <f>'Inputs Worksheet'!BB44</f>
        <v>499731.03401212447</v>
      </c>
      <c r="AC13" s="181">
        <f>'Inputs Worksheet'!BC44</f>
        <v>504790.60599107208</v>
      </c>
      <c r="AD13" s="181">
        <f>'Inputs Worksheet'!BD44</f>
        <v>509901.40406339365</v>
      </c>
      <c r="AE13" s="181">
        <f>'Inputs Worksheet'!BE44</f>
        <v>515063.94687229715</v>
      </c>
      <c r="AF13" s="181">
        <f>'Inputs Worksheet'!BF44</f>
        <v>520278.75831204059</v>
      </c>
      <c r="AG13" s="181">
        <f>'Inputs Worksheet'!BG44</f>
        <v>525546.36758109671</v>
      </c>
      <c r="AH13" s="181">
        <f>'Inputs Worksheet'!BH44</f>
        <v>530867.30923585594</v>
      </c>
      <c r="AI13" s="181">
        <f>'Inputs Worksheet'!BI44</f>
        <v>536242.12324487325</v>
      </c>
      <c r="AJ13" s="181">
        <f>'Inputs Worksheet'!BJ44</f>
        <v>483404.39992376452</v>
      </c>
      <c r="AK13" s="182">
        <f>'Inputs Worksheet'!BK44</f>
        <v>15445.825765852747</v>
      </c>
      <c r="AL13" s="182">
        <f>'Inputs Worksheet'!BL44</f>
        <v>16204.020766432086</v>
      </c>
      <c r="AM13" s="182">
        <f>'Inputs Worksheet'!BM44</f>
        <v>16323.03776273103</v>
      </c>
      <c r="AN13" s="182">
        <f>'Inputs Worksheet'!BN44</f>
        <v>17403.999937074452</v>
      </c>
      <c r="AO13" s="182">
        <f>'Inputs Worksheet'!BO44</f>
        <v>17516.717019490734</v>
      </c>
      <c r="AP13" s="182">
        <f>'Inputs Worksheet'!BP44</f>
        <v>18350.140736210731</v>
      </c>
      <c r="AQ13" s="182">
        <f>'Inputs Worksheet'!BQ44</f>
        <v>18459.218721296802</v>
      </c>
      <c r="AR13" s="182">
        <f>'Inputs Worksheet'!BR44</f>
        <v>19327.584076259689</v>
      </c>
      <c r="AS13" s="182">
        <f>'Inputs Worksheet'!BS44</f>
        <v>19432.828154045364</v>
      </c>
      <c r="AT13" s="182">
        <f>'Inputs Worksheet'!BT44</f>
        <v>20337.212193114905</v>
      </c>
      <c r="AU13" s="182">
        <f>'Inputs Worksheet'!BU44</f>
        <v>20438.421131488656</v>
      </c>
      <c r="AV13" s="182">
        <f>'Inputs Worksheet'!BV44</f>
        <v>21694.341006638733</v>
      </c>
      <c r="AW13" s="182">
        <f>'Inputs Worksheet'!BW44</f>
        <v>21788.155597079352</v>
      </c>
      <c r="AX13" s="182">
        <f>'Inputs Worksheet'!BX44</f>
        <v>22777.476521515247</v>
      </c>
      <c r="AY13" s="182">
        <f>'Inputs Worksheet'!BY44</f>
        <v>22866.769378573048</v>
      </c>
      <c r="AZ13" s="182">
        <f>'Inputs Worksheet'!BZ44</f>
        <v>23895.713703186801</v>
      </c>
      <c r="BA13" s="182">
        <f>'Inputs Worksheet'!CA44</f>
        <v>23980.261919870471</v>
      </c>
      <c r="BB13" s="182">
        <f>'Inputs Worksheet'!CB44</f>
        <v>25050.032682789759</v>
      </c>
      <c r="BC13" s="182">
        <f>'Inputs Worksheet'!CC44</f>
        <v>25460.258864428157</v>
      </c>
      <c r="BD13" s="182">
        <f>'Inputs Worksheet'!CD44</f>
        <v>26582.236855711544</v>
      </c>
      <c r="BE13" s="182">
        <f>'Inputs Worksheet'!CE44</f>
        <v>0</v>
      </c>
      <c r="BF13" s="182">
        <f>'Inputs Worksheet'!CF44</f>
        <v>0</v>
      </c>
      <c r="BG13" s="182">
        <f>'Inputs Worksheet'!CG44</f>
        <v>20666.712639689515</v>
      </c>
      <c r="BH13" s="183" t="e">
        <f>'Inputs Worksheet'!#REF!</f>
        <v>#REF!</v>
      </c>
      <c r="BI13" s="183" t="e">
        <f>'Inputs Worksheet'!#REF!</f>
        <v>#REF!</v>
      </c>
      <c r="BJ13" s="183" t="e">
        <f>'Inputs Worksheet'!#REF!</f>
        <v>#REF!</v>
      </c>
      <c r="BK13" s="183" t="e">
        <f>'Inputs Worksheet'!#REF!</f>
        <v>#REF!</v>
      </c>
      <c r="BL13" s="183" t="e">
        <f>'Inputs Worksheet'!#REF!</f>
        <v>#REF!</v>
      </c>
      <c r="BM13" s="183" t="e">
        <f>'Inputs Worksheet'!#REF!</f>
        <v>#REF!</v>
      </c>
      <c r="BN13" s="183" t="e">
        <f>'Inputs Worksheet'!#REF!</f>
        <v>#REF!</v>
      </c>
      <c r="BO13" s="183" t="e">
        <f>'Inputs Worksheet'!#REF!</f>
        <v>#REF!</v>
      </c>
      <c r="BP13" s="183" t="e">
        <f>'Inputs Worksheet'!#REF!</f>
        <v>#REF!</v>
      </c>
      <c r="BQ13" s="183" t="e">
        <f>'Inputs Worksheet'!#REF!</f>
        <v>#REF!</v>
      </c>
      <c r="BR13" s="183" t="e">
        <f>'Inputs Worksheet'!#REF!</f>
        <v>#REF!</v>
      </c>
      <c r="BS13" s="183" t="e">
        <f>'Inputs Worksheet'!#REF!</f>
        <v>#REF!</v>
      </c>
      <c r="BT13" s="183" t="e">
        <f>'Inputs Worksheet'!#REF!</f>
        <v>#REF!</v>
      </c>
      <c r="BU13" s="183" t="e">
        <f>'Inputs Worksheet'!#REF!</f>
        <v>#REF!</v>
      </c>
      <c r="BV13" s="183" t="e">
        <f>'Inputs Worksheet'!#REF!</f>
        <v>#REF!</v>
      </c>
      <c r="BW13" s="183" t="e">
        <f>'Inputs Worksheet'!#REF!</f>
        <v>#REF!</v>
      </c>
      <c r="BX13" s="183" t="e">
        <f>'Inputs Worksheet'!#REF!</f>
        <v>#REF!</v>
      </c>
      <c r="BY13" s="183" t="e">
        <f>'Inputs Worksheet'!#REF!</f>
        <v>#REF!</v>
      </c>
      <c r="BZ13" s="183" t="e">
        <f>'Inputs Worksheet'!#REF!</f>
        <v>#REF!</v>
      </c>
      <c r="CA13" s="183" t="e">
        <f>'Inputs Worksheet'!#REF!</f>
        <v>#REF!</v>
      </c>
      <c r="CB13" s="183" t="e">
        <f>'Inputs Worksheet'!#REF!</f>
        <v>#REF!</v>
      </c>
      <c r="CC13" s="183" t="e">
        <f>'Inputs Worksheet'!#REF!</f>
        <v>#REF!</v>
      </c>
      <c r="CD13" s="183" t="e">
        <f>'Inputs Worksheet'!#REF!</f>
        <v>#REF!</v>
      </c>
      <c r="CE13" s="184">
        <f>'Inputs Worksheet'!CH44</f>
        <v>8969.0017648005705</v>
      </c>
      <c r="CF13" s="184">
        <f>'Inputs Worksheet'!CI44</f>
        <v>9224.533037295434</v>
      </c>
      <c r="CG13" s="184">
        <f>'Inputs Worksheet'!CJ44</f>
        <v>9484.319220263189</v>
      </c>
      <c r="CH13" s="184">
        <f>'Inputs Worksheet'!CK44</f>
        <v>9748.4202783262735</v>
      </c>
      <c r="CI13" s="184">
        <f>'Inputs Worksheet'!CL44</f>
        <v>10016.896954182097</v>
      </c>
      <c r="CJ13" s="184">
        <f>'Inputs Worksheet'!CM44</f>
        <v>10346.976393646106</v>
      </c>
      <c r="CK13" s="184">
        <f>'Inputs Worksheet'!CN44</f>
        <v>10451.735290462699</v>
      </c>
      <c r="CL13" s="184">
        <f>'Inputs Worksheet'!CO44</f>
        <v>10557.554828189706</v>
      </c>
      <c r="CM13" s="184">
        <f>'Inputs Worksheet'!CP44</f>
        <v>10664.445745381807</v>
      </c>
      <c r="CN13" s="184">
        <f>'Inputs Worksheet'!CQ44</f>
        <v>10772.418889317132</v>
      </c>
      <c r="CO13" s="184">
        <f>'Inputs Worksheet'!CR44</f>
        <v>10881.485217098076</v>
      </c>
      <c r="CP13" s="184">
        <f>'Inputs Worksheet'!CS44</f>
        <v>10991.655796763189</v>
      </c>
      <c r="CQ13" s="184">
        <f>'Inputs Worksheet'!CT44</f>
        <v>11102.941808410387</v>
      </c>
      <c r="CR13" s="184">
        <f>'Inputs Worksheet'!CU44</f>
        <v>11215.354545331498</v>
      </c>
      <c r="CS13" s="184">
        <f>'Inputs Worksheet'!CV44</f>
        <v>11328.905415158299</v>
      </c>
      <c r="CT13" s="184">
        <f>'Inputs Worksheet'!CW44</f>
        <v>11443.60594102016</v>
      </c>
      <c r="CU13" s="184">
        <f>'Inputs Worksheet'!CX44</f>
        <v>11559.467762713428</v>
      </c>
      <c r="CV13" s="184">
        <f>'Inputs Worksheet'!CY44</f>
        <v>11676.502637882606</v>
      </c>
      <c r="CW13" s="184">
        <f>'Inputs Worksheet'!CZ44</f>
        <v>11794.722443213537</v>
      </c>
      <c r="CX13" s="184">
        <f>'Inputs Worksheet'!DA44</f>
        <v>11914.139175638644</v>
      </c>
      <c r="CY13" s="184">
        <f>'Inputs Worksheet'!DB44</f>
        <v>0</v>
      </c>
      <c r="CZ13" s="184">
        <f>'Inputs Worksheet'!DC44</f>
        <v>0</v>
      </c>
      <c r="DA13" s="184">
        <f>'Inputs Worksheet'!DD44</f>
        <v>10707.254157254743</v>
      </c>
    </row>
    <row r="14" spans="1:105" x14ac:dyDescent="0.25">
      <c r="B14" s="84"/>
      <c r="C14" s="84"/>
      <c r="D14" s="154"/>
      <c r="E14" s="99"/>
      <c r="F14" s="99"/>
      <c r="G14" s="99"/>
      <c r="H14" s="99"/>
      <c r="I14" s="99"/>
      <c r="J14" s="99"/>
      <c r="K14" s="99"/>
      <c r="L14" s="230" t="str">
        <f>B6</f>
        <v>Not Used</v>
      </c>
      <c r="M14" s="231"/>
      <c r="N14" s="227">
        <f>'Inputs Worksheet'!AN45</f>
        <v>0</v>
      </c>
      <c r="O14" s="181">
        <f>'Inputs Worksheet'!AO45</f>
        <v>0</v>
      </c>
      <c r="P14" s="181">
        <f>'Inputs Worksheet'!AP45</f>
        <v>0</v>
      </c>
      <c r="Q14" s="181">
        <f>'Inputs Worksheet'!AQ45</f>
        <v>0</v>
      </c>
      <c r="R14" s="181">
        <f>'Inputs Worksheet'!AR45</f>
        <v>0</v>
      </c>
      <c r="S14" s="181">
        <f>'Inputs Worksheet'!AS45</f>
        <v>0</v>
      </c>
      <c r="T14" s="181">
        <f>'Inputs Worksheet'!AT45</f>
        <v>0</v>
      </c>
      <c r="U14" s="181">
        <f>'Inputs Worksheet'!AU45</f>
        <v>0</v>
      </c>
      <c r="V14" s="181">
        <f>'Inputs Worksheet'!AV45</f>
        <v>0</v>
      </c>
      <c r="W14" s="181">
        <f>'Inputs Worksheet'!AW45</f>
        <v>0</v>
      </c>
      <c r="X14" s="181">
        <f>'Inputs Worksheet'!AX45</f>
        <v>0</v>
      </c>
      <c r="Y14" s="181">
        <f>'Inputs Worksheet'!AY45</f>
        <v>0</v>
      </c>
      <c r="Z14" s="181">
        <f>'Inputs Worksheet'!AZ45</f>
        <v>0</v>
      </c>
      <c r="AA14" s="181">
        <f>'Inputs Worksheet'!BA45</f>
        <v>0</v>
      </c>
      <c r="AB14" s="181">
        <f>'Inputs Worksheet'!BB45</f>
        <v>0</v>
      </c>
      <c r="AC14" s="181">
        <f>'Inputs Worksheet'!BC45</f>
        <v>0</v>
      </c>
      <c r="AD14" s="181">
        <f>'Inputs Worksheet'!BD45</f>
        <v>0</v>
      </c>
      <c r="AE14" s="181">
        <f>'Inputs Worksheet'!BE45</f>
        <v>0</v>
      </c>
      <c r="AF14" s="181">
        <f>'Inputs Worksheet'!BF45</f>
        <v>0</v>
      </c>
      <c r="AG14" s="181">
        <f>'Inputs Worksheet'!BG45</f>
        <v>0</v>
      </c>
      <c r="AH14" s="181">
        <f>'Inputs Worksheet'!BH45</f>
        <v>0</v>
      </c>
      <c r="AI14" s="181">
        <f>'Inputs Worksheet'!BI45</f>
        <v>0</v>
      </c>
      <c r="AJ14" s="181">
        <f>'Inputs Worksheet'!BJ45</f>
        <v>0</v>
      </c>
      <c r="AK14" s="182">
        <f>'Inputs Worksheet'!BK45</f>
        <v>0</v>
      </c>
      <c r="AL14" s="182">
        <f>'Inputs Worksheet'!BL45</f>
        <v>0</v>
      </c>
      <c r="AM14" s="182">
        <f>'Inputs Worksheet'!BM45</f>
        <v>0</v>
      </c>
      <c r="AN14" s="182">
        <f>'Inputs Worksheet'!BN45</f>
        <v>0</v>
      </c>
      <c r="AO14" s="182">
        <f>'Inputs Worksheet'!BO45</f>
        <v>0</v>
      </c>
      <c r="AP14" s="182">
        <f>'Inputs Worksheet'!BP45</f>
        <v>0</v>
      </c>
      <c r="AQ14" s="182">
        <f>'Inputs Worksheet'!BQ45</f>
        <v>0</v>
      </c>
      <c r="AR14" s="182">
        <f>'Inputs Worksheet'!BR45</f>
        <v>0</v>
      </c>
      <c r="AS14" s="182">
        <f>'Inputs Worksheet'!BS45</f>
        <v>0</v>
      </c>
      <c r="AT14" s="182">
        <f>'Inputs Worksheet'!BT45</f>
        <v>0</v>
      </c>
      <c r="AU14" s="182">
        <f>'Inputs Worksheet'!BU45</f>
        <v>0</v>
      </c>
      <c r="AV14" s="182">
        <f>'Inputs Worksheet'!BV45</f>
        <v>0</v>
      </c>
      <c r="AW14" s="182">
        <f>'Inputs Worksheet'!BW45</f>
        <v>0</v>
      </c>
      <c r="AX14" s="182">
        <f>'Inputs Worksheet'!BX45</f>
        <v>0</v>
      </c>
      <c r="AY14" s="182">
        <f>'Inputs Worksheet'!BY45</f>
        <v>0</v>
      </c>
      <c r="AZ14" s="182">
        <f>'Inputs Worksheet'!BZ45</f>
        <v>0</v>
      </c>
      <c r="BA14" s="182">
        <f>'Inputs Worksheet'!CA45</f>
        <v>0</v>
      </c>
      <c r="BB14" s="182">
        <f>'Inputs Worksheet'!CB45</f>
        <v>0</v>
      </c>
      <c r="BC14" s="182">
        <f>'Inputs Worksheet'!CC45</f>
        <v>0</v>
      </c>
      <c r="BD14" s="182">
        <f>'Inputs Worksheet'!CD45</f>
        <v>0</v>
      </c>
      <c r="BE14" s="182">
        <f>'Inputs Worksheet'!CE45</f>
        <v>0</v>
      </c>
      <c r="BF14" s="182">
        <f>'Inputs Worksheet'!CF45</f>
        <v>0</v>
      </c>
      <c r="BG14" s="182">
        <f>'Inputs Worksheet'!CG45</f>
        <v>0</v>
      </c>
      <c r="BH14" s="183" t="e">
        <f>'Inputs Worksheet'!#REF!</f>
        <v>#REF!</v>
      </c>
      <c r="BI14" s="183" t="e">
        <f>'Inputs Worksheet'!#REF!</f>
        <v>#REF!</v>
      </c>
      <c r="BJ14" s="183" t="e">
        <f>'Inputs Worksheet'!#REF!</f>
        <v>#REF!</v>
      </c>
      <c r="BK14" s="183" t="e">
        <f>'Inputs Worksheet'!#REF!</f>
        <v>#REF!</v>
      </c>
      <c r="BL14" s="183" t="e">
        <f>'Inputs Worksheet'!#REF!</f>
        <v>#REF!</v>
      </c>
      <c r="BM14" s="183" t="e">
        <f>'Inputs Worksheet'!#REF!</f>
        <v>#REF!</v>
      </c>
      <c r="BN14" s="183" t="e">
        <f>'Inputs Worksheet'!#REF!</f>
        <v>#REF!</v>
      </c>
      <c r="BO14" s="183" t="e">
        <f>'Inputs Worksheet'!#REF!</f>
        <v>#REF!</v>
      </c>
      <c r="BP14" s="183" t="e">
        <f>'Inputs Worksheet'!#REF!</f>
        <v>#REF!</v>
      </c>
      <c r="BQ14" s="183" t="e">
        <f>'Inputs Worksheet'!#REF!</f>
        <v>#REF!</v>
      </c>
      <c r="BR14" s="183" t="e">
        <f>'Inputs Worksheet'!#REF!</f>
        <v>#REF!</v>
      </c>
      <c r="BS14" s="183" t="e">
        <f>'Inputs Worksheet'!#REF!</f>
        <v>#REF!</v>
      </c>
      <c r="BT14" s="183" t="e">
        <f>'Inputs Worksheet'!#REF!</f>
        <v>#REF!</v>
      </c>
      <c r="BU14" s="183" t="e">
        <f>'Inputs Worksheet'!#REF!</f>
        <v>#REF!</v>
      </c>
      <c r="BV14" s="183" t="e">
        <f>'Inputs Worksheet'!#REF!</f>
        <v>#REF!</v>
      </c>
      <c r="BW14" s="183" t="e">
        <f>'Inputs Worksheet'!#REF!</f>
        <v>#REF!</v>
      </c>
      <c r="BX14" s="183" t="e">
        <f>'Inputs Worksheet'!#REF!</f>
        <v>#REF!</v>
      </c>
      <c r="BY14" s="183" t="e">
        <f>'Inputs Worksheet'!#REF!</f>
        <v>#REF!</v>
      </c>
      <c r="BZ14" s="183" t="e">
        <f>'Inputs Worksheet'!#REF!</f>
        <v>#REF!</v>
      </c>
      <c r="CA14" s="183" t="e">
        <f>'Inputs Worksheet'!#REF!</f>
        <v>#REF!</v>
      </c>
      <c r="CB14" s="183" t="e">
        <f>'Inputs Worksheet'!#REF!</f>
        <v>#REF!</v>
      </c>
      <c r="CC14" s="183" t="e">
        <f>'Inputs Worksheet'!#REF!</f>
        <v>#REF!</v>
      </c>
      <c r="CD14" s="183" t="e">
        <f>'Inputs Worksheet'!#REF!</f>
        <v>#REF!</v>
      </c>
      <c r="CE14" s="184">
        <f>'Inputs Worksheet'!CH45</f>
        <v>0</v>
      </c>
      <c r="CF14" s="184">
        <f>'Inputs Worksheet'!CI45</f>
        <v>0</v>
      </c>
      <c r="CG14" s="184">
        <f>'Inputs Worksheet'!CJ45</f>
        <v>0</v>
      </c>
      <c r="CH14" s="184">
        <f>'Inputs Worksheet'!CK45</f>
        <v>0</v>
      </c>
      <c r="CI14" s="184">
        <f>'Inputs Worksheet'!CL45</f>
        <v>0</v>
      </c>
      <c r="CJ14" s="184">
        <f>'Inputs Worksheet'!CM45</f>
        <v>0</v>
      </c>
      <c r="CK14" s="184">
        <f>'Inputs Worksheet'!CN45</f>
        <v>0</v>
      </c>
      <c r="CL14" s="184">
        <f>'Inputs Worksheet'!CO45</f>
        <v>0</v>
      </c>
      <c r="CM14" s="184">
        <f>'Inputs Worksheet'!CP45</f>
        <v>0</v>
      </c>
      <c r="CN14" s="184">
        <f>'Inputs Worksheet'!CQ45</f>
        <v>0</v>
      </c>
      <c r="CO14" s="184">
        <f>'Inputs Worksheet'!CR45</f>
        <v>0</v>
      </c>
      <c r="CP14" s="184">
        <f>'Inputs Worksheet'!CS45</f>
        <v>0</v>
      </c>
      <c r="CQ14" s="184">
        <f>'Inputs Worksheet'!CT45</f>
        <v>0</v>
      </c>
      <c r="CR14" s="184">
        <f>'Inputs Worksheet'!CU45</f>
        <v>0</v>
      </c>
      <c r="CS14" s="184">
        <f>'Inputs Worksheet'!CV45</f>
        <v>0</v>
      </c>
      <c r="CT14" s="184">
        <f>'Inputs Worksheet'!CW45</f>
        <v>0</v>
      </c>
      <c r="CU14" s="184">
        <f>'Inputs Worksheet'!CX45</f>
        <v>0</v>
      </c>
      <c r="CV14" s="184">
        <f>'Inputs Worksheet'!CY45</f>
        <v>0</v>
      </c>
      <c r="CW14" s="184">
        <f>'Inputs Worksheet'!CZ45</f>
        <v>0</v>
      </c>
      <c r="CX14" s="184">
        <f>'Inputs Worksheet'!DA45</f>
        <v>0</v>
      </c>
      <c r="CY14" s="184">
        <f>'Inputs Worksheet'!DB45</f>
        <v>0</v>
      </c>
      <c r="CZ14" s="184">
        <f>'Inputs Worksheet'!DC45</f>
        <v>0</v>
      </c>
      <c r="DA14" s="184">
        <f>'Inputs Worksheet'!DD45</f>
        <v>0</v>
      </c>
    </row>
    <row r="15" spans="1:105" x14ac:dyDescent="0.25">
      <c r="B15" s="84"/>
      <c r="C15" s="84"/>
      <c r="D15" s="154"/>
      <c r="E15" s="99"/>
      <c r="F15" s="99"/>
      <c r="G15" s="99"/>
      <c r="H15" s="99"/>
      <c r="I15" s="99"/>
      <c r="J15" s="99"/>
      <c r="K15" s="99"/>
      <c r="L15" s="232" t="str">
        <f>B7</f>
        <v>Name #4</v>
      </c>
      <c r="M15" s="233"/>
      <c r="N15" s="227">
        <f>'Inputs Worksheet'!AN46</f>
        <v>0</v>
      </c>
      <c r="O15" s="181">
        <f>'Inputs Worksheet'!AO46</f>
        <v>0</v>
      </c>
      <c r="P15" s="181">
        <f>'Inputs Worksheet'!AP46</f>
        <v>0</v>
      </c>
      <c r="Q15" s="181">
        <f>'Inputs Worksheet'!AQ46</f>
        <v>0</v>
      </c>
      <c r="R15" s="181">
        <f>'Inputs Worksheet'!AR46</f>
        <v>0</v>
      </c>
      <c r="S15" s="181">
        <f>'Inputs Worksheet'!AS46</f>
        <v>0</v>
      </c>
      <c r="T15" s="181">
        <f>'Inputs Worksheet'!AT46</f>
        <v>0</v>
      </c>
      <c r="U15" s="181">
        <f>'Inputs Worksheet'!AU46</f>
        <v>0</v>
      </c>
      <c r="V15" s="181">
        <f>'Inputs Worksheet'!AV46</f>
        <v>0</v>
      </c>
      <c r="W15" s="181">
        <f>'Inputs Worksheet'!AW46</f>
        <v>0</v>
      </c>
      <c r="X15" s="181">
        <f>'Inputs Worksheet'!AX46</f>
        <v>0</v>
      </c>
      <c r="Y15" s="181">
        <f>'Inputs Worksheet'!AY46</f>
        <v>0</v>
      </c>
      <c r="Z15" s="181">
        <f>'Inputs Worksheet'!AZ46</f>
        <v>0</v>
      </c>
      <c r="AA15" s="181">
        <f>'Inputs Worksheet'!BA46</f>
        <v>0</v>
      </c>
      <c r="AB15" s="181">
        <f>'Inputs Worksheet'!BB46</f>
        <v>0</v>
      </c>
      <c r="AC15" s="181">
        <f>'Inputs Worksheet'!BC46</f>
        <v>0</v>
      </c>
      <c r="AD15" s="181">
        <f>'Inputs Worksheet'!BD46</f>
        <v>0</v>
      </c>
      <c r="AE15" s="181">
        <f>'Inputs Worksheet'!BE46</f>
        <v>0</v>
      </c>
      <c r="AF15" s="181">
        <f>'Inputs Worksheet'!BF46</f>
        <v>0</v>
      </c>
      <c r="AG15" s="181">
        <f>'Inputs Worksheet'!BG46</f>
        <v>0</v>
      </c>
      <c r="AH15" s="181">
        <f>'Inputs Worksheet'!BH46</f>
        <v>0</v>
      </c>
      <c r="AI15" s="181">
        <f>'Inputs Worksheet'!BI46</f>
        <v>0</v>
      </c>
      <c r="AJ15" s="181">
        <f>'Inputs Worksheet'!BJ46</f>
        <v>0</v>
      </c>
      <c r="AK15" s="182">
        <f>'Inputs Worksheet'!BK46</f>
        <v>0</v>
      </c>
      <c r="AL15" s="182">
        <f>'Inputs Worksheet'!BL46</f>
        <v>0</v>
      </c>
      <c r="AM15" s="182">
        <f>'Inputs Worksheet'!BM46</f>
        <v>0</v>
      </c>
      <c r="AN15" s="182">
        <f>'Inputs Worksheet'!BN46</f>
        <v>0</v>
      </c>
      <c r="AO15" s="182">
        <f>'Inputs Worksheet'!BO46</f>
        <v>0</v>
      </c>
      <c r="AP15" s="182">
        <f>'Inputs Worksheet'!BP46</f>
        <v>0</v>
      </c>
      <c r="AQ15" s="182">
        <f>'Inputs Worksheet'!BQ46</f>
        <v>0</v>
      </c>
      <c r="AR15" s="182">
        <f>'Inputs Worksheet'!BR46</f>
        <v>0</v>
      </c>
      <c r="AS15" s="182">
        <f>'Inputs Worksheet'!BS46</f>
        <v>0</v>
      </c>
      <c r="AT15" s="182">
        <f>'Inputs Worksheet'!BT46</f>
        <v>0</v>
      </c>
      <c r="AU15" s="182">
        <f>'Inputs Worksheet'!BU46</f>
        <v>0</v>
      </c>
      <c r="AV15" s="182">
        <f>'Inputs Worksheet'!BV46</f>
        <v>0</v>
      </c>
      <c r="AW15" s="182">
        <f>'Inputs Worksheet'!BW46</f>
        <v>0</v>
      </c>
      <c r="AX15" s="182">
        <f>'Inputs Worksheet'!BX46</f>
        <v>0</v>
      </c>
      <c r="AY15" s="182">
        <f>'Inputs Worksheet'!BY46</f>
        <v>0</v>
      </c>
      <c r="AZ15" s="182">
        <f>'Inputs Worksheet'!BZ46</f>
        <v>0</v>
      </c>
      <c r="BA15" s="182">
        <f>'Inputs Worksheet'!CA46</f>
        <v>0</v>
      </c>
      <c r="BB15" s="182">
        <f>'Inputs Worksheet'!CB46</f>
        <v>0</v>
      </c>
      <c r="BC15" s="182">
        <f>'Inputs Worksheet'!CC46</f>
        <v>0</v>
      </c>
      <c r="BD15" s="182">
        <f>'Inputs Worksheet'!CD46</f>
        <v>0</v>
      </c>
      <c r="BE15" s="182">
        <f>'Inputs Worksheet'!CE46</f>
        <v>0</v>
      </c>
      <c r="BF15" s="182">
        <f>'Inputs Worksheet'!CF46</f>
        <v>0</v>
      </c>
      <c r="BG15" s="182">
        <f>'Inputs Worksheet'!CG46</f>
        <v>0</v>
      </c>
      <c r="BH15" s="183" t="e">
        <f>'Inputs Worksheet'!#REF!</f>
        <v>#REF!</v>
      </c>
      <c r="BI15" s="183" t="e">
        <f>'Inputs Worksheet'!#REF!</f>
        <v>#REF!</v>
      </c>
      <c r="BJ15" s="183" t="e">
        <f>'Inputs Worksheet'!#REF!</f>
        <v>#REF!</v>
      </c>
      <c r="BK15" s="183" t="e">
        <f>'Inputs Worksheet'!#REF!</f>
        <v>#REF!</v>
      </c>
      <c r="BL15" s="183" t="e">
        <f>'Inputs Worksheet'!#REF!</f>
        <v>#REF!</v>
      </c>
      <c r="BM15" s="183" t="e">
        <f>'Inputs Worksheet'!#REF!</f>
        <v>#REF!</v>
      </c>
      <c r="BN15" s="183" t="e">
        <f>'Inputs Worksheet'!#REF!</f>
        <v>#REF!</v>
      </c>
      <c r="BO15" s="183" t="e">
        <f>'Inputs Worksheet'!#REF!</f>
        <v>#REF!</v>
      </c>
      <c r="BP15" s="183" t="e">
        <f>'Inputs Worksheet'!#REF!</f>
        <v>#REF!</v>
      </c>
      <c r="BQ15" s="183" t="e">
        <f>'Inputs Worksheet'!#REF!</f>
        <v>#REF!</v>
      </c>
      <c r="BR15" s="183" t="e">
        <f>'Inputs Worksheet'!#REF!</f>
        <v>#REF!</v>
      </c>
      <c r="BS15" s="183" t="e">
        <f>'Inputs Worksheet'!#REF!</f>
        <v>#REF!</v>
      </c>
      <c r="BT15" s="183" t="e">
        <f>'Inputs Worksheet'!#REF!</f>
        <v>#REF!</v>
      </c>
      <c r="BU15" s="183" t="e">
        <f>'Inputs Worksheet'!#REF!</f>
        <v>#REF!</v>
      </c>
      <c r="BV15" s="183" t="e">
        <f>'Inputs Worksheet'!#REF!</f>
        <v>#REF!</v>
      </c>
      <c r="BW15" s="183" t="e">
        <f>'Inputs Worksheet'!#REF!</f>
        <v>#REF!</v>
      </c>
      <c r="BX15" s="183" t="e">
        <f>'Inputs Worksheet'!#REF!</f>
        <v>#REF!</v>
      </c>
      <c r="BY15" s="183" t="e">
        <f>'Inputs Worksheet'!#REF!</f>
        <v>#REF!</v>
      </c>
      <c r="BZ15" s="183" t="e">
        <f>'Inputs Worksheet'!#REF!</f>
        <v>#REF!</v>
      </c>
      <c r="CA15" s="183" t="e">
        <f>'Inputs Worksheet'!#REF!</f>
        <v>#REF!</v>
      </c>
      <c r="CB15" s="183" t="e">
        <f>'Inputs Worksheet'!#REF!</f>
        <v>#REF!</v>
      </c>
      <c r="CC15" s="183" t="e">
        <f>'Inputs Worksheet'!#REF!</f>
        <v>#REF!</v>
      </c>
      <c r="CD15" s="183" t="e">
        <f>'Inputs Worksheet'!#REF!</f>
        <v>#REF!</v>
      </c>
      <c r="CE15" s="184">
        <f>'Inputs Worksheet'!CH46</f>
        <v>0</v>
      </c>
      <c r="CF15" s="184">
        <f>'Inputs Worksheet'!CI46</f>
        <v>0</v>
      </c>
      <c r="CG15" s="184">
        <f>'Inputs Worksheet'!CJ46</f>
        <v>0</v>
      </c>
      <c r="CH15" s="184">
        <f>'Inputs Worksheet'!CK46</f>
        <v>0</v>
      </c>
      <c r="CI15" s="184">
        <f>'Inputs Worksheet'!CL46</f>
        <v>0</v>
      </c>
      <c r="CJ15" s="184">
        <f>'Inputs Worksheet'!CM46</f>
        <v>0</v>
      </c>
      <c r="CK15" s="184">
        <f>'Inputs Worksheet'!CN46</f>
        <v>0</v>
      </c>
      <c r="CL15" s="184">
        <f>'Inputs Worksheet'!CO46</f>
        <v>0</v>
      </c>
      <c r="CM15" s="184">
        <f>'Inputs Worksheet'!CP46</f>
        <v>0</v>
      </c>
      <c r="CN15" s="184">
        <f>'Inputs Worksheet'!CQ46</f>
        <v>0</v>
      </c>
      <c r="CO15" s="184">
        <f>'Inputs Worksheet'!CR46</f>
        <v>0</v>
      </c>
      <c r="CP15" s="184">
        <f>'Inputs Worksheet'!CS46</f>
        <v>0</v>
      </c>
      <c r="CQ15" s="184">
        <f>'Inputs Worksheet'!CT46</f>
        <v>0</v>
      </c>
      <c r="CR15" s="184">
        <f>'Inputs Worksheet'!CU46</f>
        <v>0</v>
      </c>
      <c r="CS15" s="184">
        <f>'Inputs Worksheet'!CV46</f>
        <v>0</v>
      </c>
      <c r="CT15" s="184">
        <f>'Inputs Worksheet'!CW46</f>
        <v>0</v>
      </c>
      <c r="CU15" s="184">
        <f>'Inputs Worksheet'!CX46</f>
        <v>0</v>
      </c>
      <c r="CV15" s="184">
        <f>'Inputs Worksheet'!CY46</f>
        <v>0</v>
      </c>
      <c r="CW15" s="184">
        <f>'Inputs Worksheet'!CZ46</f>
        <v>0</v>
      </c>
      <c r="CX15" s="184">
        <f>'Inputs Worksheet'!DA46</f>
        <v>0</v>
      </c>
      <c r="CY15" s="184">
        <f>'Inputs Worksheet'!DB46</f>
        <v>0</v>
      </c>
      <c r="CZ15" s="184">
        <f>'Inputs Worksheet'!DC46</f>
        <v>0</v>
      </c>
      <c r="DA15" s="184">
        <f>'Inputs Worksheet'!DD46</f>
        <v>0</v>
      </c>
    </row>
    <row r="16" spans="1:105" x14ac:dyDescent="0.25">
      <c r="B16" s="84"/>
      <c r="C16" s="84"/>
      <c r="D16" s="154"/>
      <c r="E16" s="99"/>
      <c r="F16" s="99"/>
      <c r="G16" s="99"/>
      <c r="H16" s="99"/>
      <c r="I16" s="99"/>
      <c r="J16" s="99"/>
      <c r="K16" s="99"/>
      <c r="L16" s="232" t="str">
        <f>B8</f>
        <v>Name #5</v>
      </c>
      <c r="M16" s="233"/>
      <c r="N16" s="227">
        <f>'Inputs Worksheet'!AN47</f>
        <v>0</v>
      </c>
      <c r="O16" s="181">
        <f>'Inputs Worksheet'!AO47</f>
        <v>0</v>
      </c>
      <c r="P16" s="181">
        <f>'Inputs Worksheet'!AP47</f>
        <v>0</v>
      </c>
      <c r="Q16" s="181">
        <f>'Inputs Worksheet'!AQ47</f>
        <v>0</v>
      </c>
      <c r="R16" s="181">
        <f>'Inputs Worksheet'!AR47</f>
        <v>0</v>
      </c>
      <c r="S16" s="181">
        <f>'Inputs Worksheet'!AS47</f>
        <v>0</v>
      </c>
      <c r="T16" s="181">
        <f>'Inputs Worksheet'!AT47</f>
        <v>0</v>
      </c>
      <c r="U16" s="181">
        <f>'Inputs Worksheet'!AU47</f>
        <v>0</v>
      </c>
      <c r="V16" s="181">
        <f>'Inputs Worksheet'!AV47</f>
        <v>0</v>
      </c>
      <c r="W16" s="181">
        <f>'Inputs Worksheet'!AW47</f>
        <v>0</v>
      </c>
      <c r="X16" s="181">
        <f>'Inputs Worksheet'!AX47</f>
        <v>0</v>
      </c>
      <c r="Y16" s="181">
        <f>'Inputs Worksheet'!AY47</f>
        <v>0</v>
      </c>
      <c r="Z16" s="181">
        <f>'Inputs Worksheet'!AZ47</f>
        <v>0</v>
      </c>
      <c r="AA16" s="181">
        <f>'Inputs Worksheet'!BA47</f>
        <v>0</v>
      </c>
      <c r="AB16" s="181">
        <f>'Inputs Worksheet'!BB47</f>
        <v>0</v>
      </c>
      <c r="AC16" s="181">
        <f>'Inputs Worksheet'!BC47</f>
        <v>0</v>
      </c>
      <c r="AD16" s="181">
        <f>'Inputs Worksheet'!BD47</f>
        <v>0</v>
      </c>
      <c r="AE16" s="181">
        <f>'Inputs Worksheet'!BE47</f>
        <v>0</v>
      </c>
      <c r="AF16" s="181">
        <f>'Inputs Worksheet'!BF47</f>
        <v>0</v>
      </c>
      <c r="AG16" s="181">
        <f>'Inputs Worksheet'!BG47</f>
        <v>0</v>
      </c>
      <c r="AH16" s="181">
        <f>'Inputs Worksheet'!BH47</f>
        <v>0</v>
      </c>
      <c r="AI16" s="181">
        <f>'Inputs Worksheet'!BI47</f>
        <v>0</v>
      </c>
      <c r="AJ16" s="181">
        <f>'Inputs Worksheet'!BJ47</f>
        <v>0</v>
      </c>
      <c r="AK16" s="182">
        <f>'Inputs Worksheet'!BK47</f>
        <v>0</v>
      </c>
      <c r="AL16" s="182">
        <f>'Inputs Worksheet'!BL47</f>
        <v>0</v>
      </c>
      <c r="AM16" s="182">
        <f>'Inputs Worksheet'!BM47</f>
        <v>0</v>
      </c>
      <c r="AN16" s="182">
        <f>'Inputs Worksheet'!BN47</f>
        <v>0</v>
      </c>
      <c r="AO16" s="182">
        <f>'Inputs Worksheet'!BO47</f>
        <v>0</v>
      </c>
      <c r="AP16" s="182">
        <f>'Inputs Worksheet'!BP47</f>
        <v>0</v>
      </c>
      <c r="AQ16" s="182">
        <f>'Inputs Worksheet'!BQ47</f>
        <v>0</v>
      </c>
      <c r="AR16" s="182">
        <f>'Inputs Worksheet'!BR47</f>
        <v>0</v>
      </c>
      <c r="AS16" s="182">
        <f>'Inputs Worksheet'!BS47</f>
        <v>0</v>
      </c>
      <c r="AT16" s="182">
        <f>'Inputs Worksheet'!BT47</f>
        <v>0</v>
      </c>
      <c r="AU16" s="182">
        <f>'Inputs Worksheet'!BU47</f>
        <v>0</v>
      </c>
      <c r="AV16" s="182">
        <f>'Inputs Worksheet'!BV47</f>
        <v>0</v>
      </c>
      <c r="AW16" s="182">
        <f>'Inputs Worksheet'!BW47</f>
        <v>0</v>
      </c>
      <c r="AX16" s="182">
        <f>'Inputs Worksheet'!BX47</f>
        <v>0</v>
      </c>
      <c r="AY16" s="182">
        <f>'Inputs Worksheet'!BY47</f>
        <v>0</v>
      </c>
      <c r="AZ16" s="182">
        <f>'Inputs Worksheet'!BZ47</f>
        <v>0</v>
      </c>
      <c r="BA16" s="182">
        <f>'Inputs Worksheet'!CA47</f>
        <v>0</v>
      </c>
      <c r="BB16" s="182">
        <f>'Inputs Worksheet'!CB47</f>
        <v>0</v>
      </c>
      <c r="BC16" s="182">
        <f>'Inputs Worksheet'!CC47</f>
        <v>0</v>
      </c>
      <c r="BD16" s="182">
        <f>'Inputs Worksheet'!CD47</f>
        <v>0</v>
      </c>
      <c r="BE16" s="182">
        <f>'Inputs Worksheet'!CE47</f>
        <v>0</v>
      </c>
      <c r="BF16" s="182">
        <f>'Inputs Worksheet'!CF47</f>
        <v>0</v>
      </c>
      <c r="BG16" s="182">
        <f>'Inputs Worksheet'!CG47</f>
        <v>0</v>
      </c>
      <c r="BH16" s="183" t="e">
        <f>'Inputs Worksheet'!#REF!</f>
        <v>#REF!</v>
      </c>
      <c r="BI16" s="183" t="e">
        <f>'Inputs Worksheet'!#REF!</f>
        <v>#REF!</v>
      </c>
      <c r="BJ16" s="183" t="e">
        <f>'Inputs Worksheet'!#REF!</f>
        <v>#REF!</v>
      </c>
      <c r="BK16" s="183" t="e">
        <f>'Inputs Worksheet'!#REF!</f>
        <v>#REF!</v>
      </c>
      <c r="BL16" s="183" t="e">
        <f>'Inputs Worksheet'!#REF!</f>
        <v>#REF!</v>
      </c>
      <c r="BM16" s="183" t="e">
        <f>'Inputs Worksheet'!#REF!</f>
        <v>#REF!</v>
      </c>
      <c r="BN16" s="183" t="e">
        <f>'Inputs Worksheet'!#REF!</f>
        <v>#REF!</v>
      </c>
      <c r="BO16" s="183" t="e">
        <f>'Inputs Worksheet'!#REF!</f>
        <v>#REF!</v>
      </c>
      <c r="BP16" s="183" t="e">
        <f>'Inputs Worksheet'!#REF!</f>
        <v>#REF!</v>
      </c>
      <c r="BQ16" s="183" t="e">
        <f>'Inputs Worksheet'!#REF!</f>
        <v>#REF!</v>
      </c>
      <c r="BR16" s="183" t="e">
        <f>'Inputs Worksheet'!#REF!</f>
        <v>#REF!</v>
      </c>
      <c r="BS16" s="183" t="e">
        <f>'Inputs Worksheet'!#REF!</f>
        <v>#REF!</v>
      </c>
      <c r="BT16" s="183" t="e">
        <f>'Inputs Worksheet'!#REF!</f>
        <v>#REF!</v>
      </c>
      <c r="BU16" s="183" t="e">
        <f>'Inputs Worksheet'!#REF!</f>
        <v>#REF!</v>
      </c>
      <c r="BV16" s="183" t="e">
        <f>'Inputs Worksheet'!#REF!</f>
        <v>#REF!</v>
      </c>
      <c r="BW16" s="183" t="e">
        <f>'Inputs Worksheet'!#REF!</f>
        <v>#REF!</v>
      </c>
      <c r="BX16" s="183" t="e">
        <f>'Inputs Worksheet'!#REF!</f>
        <v>#REF!</v>
      </c>
      <c r="BY16" s="183" t="e">
        <f>'Inputs Worksheet'!#REF!</f>
        <v>#REF!</v>
      </c>
      <c r="BZ16" s="183" t="e">
        <f>'Inputs Worksheet'!#REF!</f>
        <v>#REF!</v>
      </c>
      <c r="CA16" s="183" t="e">
        <f>'Inputs Worksheet'!#REF!</f>
        <v>#REF!</v>
      </c>
      <c r="CB16" s="183" t="e">
        <f>'Inputs Worksheet'!#REF!</f>
        <v>#REF!</v>
      </c>
      <c r="CC16" s="183" t="e">
        <f>'Inputs Worksheet'!#REF!</f>
        <v>#REF!</v>
      </c>
      <c r="CD16" s="183" t="e">
        <f>'Inputs Worksheet'!#REF!</f>
        <v>#REF!</v>
      </c>
      <c r="CE16" s="184">
        <f>'Inputs Worksheet'!CH47</f>
        <v>0</v>
      </c>
      <c r="CF16" s="184">
        <f>'Inputs Worksheet'!CI47</f>
        <v>0</v>
      </c>
      <c r="CG16" s="184">
        <f>'Inputs Worksheet'!CJ47</f>
        <v>0</v>
      </c>
      <c r="CH16" s="184">
        <f>'Inputs Worksheet'!CK47</f>
        <v>0</v>
      </c>
      <c r="CI16" s="184">
        <f>'Inputs Worksheet'!CL47</f>
        <v>0</v>
      </c>
      <c r="CJ16" s="184">
        <f>'Inputs Worksheet'!CM47</f>
        <v>0</v>
      </c>
      <c r="CK16" s="184">
        <f>'Inputs Worksheet'!CN47</f>
        <v>0</v>
      </c>
      <c r="CL16" s="184">
        <f>'Inputs Worksheet'!CO47</f>
        <v>0</v>
      </c>
      <c r="CM16" s="184">
        <f>'Inputs Worksheet'!CP47</f>
        <v>0</v>
      </c>
      <c r="CN16" s="184">
        <f>'Inputs Worksheet'!CQ47</f>
        <v>0</v>
      </c>
      <c r="CO16" s="184">
        <f>'Inputs Worksheet'!CR47</f>
        <v>0</v>
      </c>
      <c r="CP16" s="184">
        <f>'Inputs Worksheet'!CS47</f>
        <v>0</v>
      </c>
      <c r="CQ16" s="184">
        <f>'Inputs Worksheet'!CT47</f>
        <v>0</v>
      </c>
      <c r="CR16" s="184">
        <f>'Inputs Worksheet'!CU47</f>
        <v>0</v>
      </c>
      <c r="CS16" s="184">
        <f>'Inputs Worksheet'!CV47</f>
        <v>0</v>
      </c>
      <c r="CT16" s="184">
        <f>'Inputs Worksheet'!CW47</f>
        <v>0</v>
      </c>
      <c r="CU16" s="184">
        <f>'Inputs Worksheet'!CX47</f>
        <v>0</v>
      </c>
      <c r="CV16" s="184">
        <f>'Inputs Worksheet'!CY47</f>
        <v>0</v>
      </c>
      <c r="CW16" s="184">
        <f>'Inputs Worksheet'!CZ47</f>
        <v>0</v>
      </c>
      <c r="CX16" s="184">
        <f>'Inputs Worksheet'!DA47</f>
        <v>0</v>
      </c>
      <c r="CY16" s="184">
        <f>'Inputs Worksheet'!DB47</f>
        <v>0</v>
      </c>
      <c r="CZ16" s="184">
        <f>'Inputs Worksheet'!DC47</f>
        <v>0</v>
      </c>
      <c r="DA16" s="184">
        <f>'Inputs Worksheet'!DD47</f>
        <v>0</v>
      </c>
    </row>
    <row r="17" spans="1:106" s="125" customFormat="1" x14ac:dyDescent="0.25">
      <c r="A17" s="123"/>
      <c r="B17" s="84"/>
      <c r="C17" s="84"/>
      <c r="D17" s="174"/>
      <c r="E17" s="175"/>
      <c r="F17" s="175"/>
      <c r="G17" s="175"/>
      <c r="H17" s="175"/>
      <c r="I17" s="175"/>
      <c r="J17" s="175"/>
      <c r="K17" s="175"/>
      <c r="L17" s="175"/>
      <c r="M17" s="173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  <c r="CB17" s="209"/>
      <c r="CC17" s="209"/>
      <c r="CD17" s="209"/>
      <c r="CE17" s="209"/>
      <c r="CF17" s="209"/>
      <c r="CG17" s="209"/>
      <c r="CH17" s="209"/>
      <c r="CI17" s="209"/>
      <c r="CJ17" s="209"/>
      <c r="CK17" s="209"/>
      <c r="CL17" s="209"/>
      <c r="CM17" s="209"/>
      <c r="CN17" s="209"/>
      <c r="CO17" s="209"/>
      <c r="CP17" s="209"/>
      <c r="CQ17" s="209"/>
      <c r="CR17" s="209"/>
      <c r="CS17" s="209"/>
      <c r="CT17" s="209"/>
      <c r="CU17" s="209"/>
      <c r="CV17" s="209"/>
      <c r="CW17" s="209"/>
      <c r="CX17" s="209"/>
      <c r="CY17" s="209"/>
      <c r="CZ17" s="209"/>
      <c r="DA17" s="209"/>
    </row>
    <row r="18" spans="1:106" ht="15.75" thickBot="1" x14ac:dyDescent="0.3">
      <c r="B18" s="84"/>
      <c r="C18" s="84"/>
      <c r="D18" s="154"/>
      <c r="E18" s="99"/>
      <c r="F18" s="99"/>
      <c r="G18" s="99"/>
      <c r="H18" s="99"/>
      <c r="I18" s="99"/>
      <c r="J18" s="99"/>
      <c r="K18" s="99"/>
      <c r="L18" s="99"/>
      <c r="M18" s="173"/>
      <c r="N18" s="886" t="s">
        <v>95</v>
      </c>
      <c r="O18" s="886"/>
      <c r="P18" s="886"/>
      <c r="Q18" s="886"/>
      <c r="R18" s="886"/>
      <c r="S18" s="886"/>
      <c r="T18" s="886"/>
      <c r="U18" s="886"/>
      <c r="V18" s="886"/>
      <c r="W18" s="886"/>
      <c r="X18" s="886"/>
      <c r="Y18" s="887"/>
      <c r="Z18" s="887"/>
      <c r="AA18" s="887"/>
      <c r="AB18" s="887"/>
      <c r="AC18" s="887"/>
      <c r="AD18" s="887"/>
      <c r="AE18" s="887"/>
      <c r="AF18" s="887"/>
      <c r="AG18" s="887"/>
      <c r="AH18" s="887"/>
      <c r="AI18" s="887"/>
      <c r="AJ18" s="886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  <c r="CB18" s="209"/>
      <c r="CC18" s="209"/>
      <c r="CD18" s="209"/>
      <c r="CE18" s="209"/>
      <c r="CF18" s="209"/>
      <c r="CG18" s="209"/>
      <c r="CH18" s="209"/>
      <c r="CI18" s="209"/>
      <c r="CJ18" s="209"/>
      <c r="CK18" s="209"/>
      <c r="CL18" s="209"/>
      <c r="CM18" s="209"/>
      <c r="CN18" s="209"/>
      <c r="CO18" s="209"/>
      <c r="CP18" s="209"/>
      <c r="CQ18" s="209"/>
      <c r="CR18" s="209"/>
      <c r="CS18" s="209"/>
      <c r="CT18" s="209"/>
      <c r="CU18" s="209"/>
      <c r="CV18" s="209"/>
      <c r="CW18" s="209"/>
      <c r="CX18" s="209"/>
      <c r="CY18" s="209"/>
      <c r="CZ18" s="209"/>
      <c r="DA18" s="209"/>
      <c r="DB18" s="125"/>
    </row>
    <row r="19" spans="1:106" ht="15.75" thickBot="1" x14ac:dyDescent="0.3">
      <c r="B19" s="188" t="s">
        <v>272</v>
      </c>
      <c r="C19" s="84"/>
      <c r="D19" s="154"/>
      <c r="E19" s="99"/>
      <c r="F19" s="99"/>
      <c r="G19" s="99"/>
      <c r="H19" s="99"/>
      <c r="I19" s="99"/>
      <c r="J19" s="99"/>
      <c r="K19" s="99"/>
      <c r="L19" s="99"/>
      <c r="M19" s="173"/>
      <c r="N19" s="58">
        <f>'Inputs Worksheet'!AN52</f>
        <v>2027</v>
      </c>
      <c r="O19" s="58">
        <f>'Inputs Worksheet'!AO52</f>
        <v>2028</v>
      </c>
      <c r="P19" s="58">
        <f>'Inputs Worksheet'!AP52</f>
        <v>2029</v>
      </c>
      <c r="Q19" s="58">
        <f>'Inputs Worksheet'!AQ52</f>
        <v>2030</v>
      </c>
      <c r="R19" s="58">
        <f>'Inputs Worksheet'!AR52</f>
        <v>2031</v>
      </c>
      <c r="S19" s="58">
        <f>'Inputs Worksheet'!AS52</f>
        <v>2032</v>
      </c>
      <c r="T19" s="58">
        <f>'Inputs Worksheet'!AT52</f>
        <v>2033</v>
      </c>
      <c r="U19" s="58">
        <f>'Inputs Worksheet'!AU52</f>
        <v>2034</v>
      </c>
      <c r="V19" s="58">
        <f>'Inputs Worksheet'!AV52</f>
        <v>2035</v>
      </c>
      <c r="W19" s="58">
        <f>'Inputs Worksheet'!AW52</f>
        <v>2036</v>
      </c>
      <c r="X19" s="58">
        <f>'Inputs Worksheet'!AX52</f>
        <v>2037</v>
      </c>
      <c r="Y19" s="58">
        <f>'Inputs Worksheet'!AY52</f>
        <v>2038</v>
      </c>
      <c r="Z19" s="58">
        <f>'Inputs Worksheet'!AZ52</f>
        <v>2039</v>
      </c>
      <c r="AA19" s="58">
        <f>'Inputs Worksheet'!BA52</f>
        <v>2040</v>
      </c>
      <c r="AB19" s="58">
        <f>'Inputs Worksheet'!BB52</f>
        <v>2041</v>
      </c>
      <c r="AC19" s="58">
        <f>'Inputs Worksheet'!BC52</f>
        <v>2042</v>
      </c>
      <c r="AD19" s="58">
        <f>'Inputs Worksheet'!BD52</f>
        <v>2043</v>
      </c>
      <c r="AE19" s="58">
        <f>'Inputs Worksheet'!BE52</f>
        <v>2044</v>
      </c>
      <c r="AF19" s="58">
        <f>'Inputs Worksheet'!BF52</f>
        <v>2045</v>
      </c>
      <c r="AG19" s="58">
        <f>'Inputs Worksheet'!BG52</f>
        <v>2046</v>
      </c>
      <c r="AH19" s="58">
        <f>'Inputs Worksheet'!BH52</f>
        <v>2047</v>
      </c>
      <c r="AI19" s="58">
        <f>'Inputs Worksheet'!BI52</f>
        <v>2048</v>
      </c>
      <c r="AJ19" s="58" t="str">
        <f>'Inputs Worksheet'!BJ52</f>
        <v>Annual Average</v>
      </c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  <c r="BI19" s="209"/>
      <c r="BJ19" s="209"/>
      <c r="BK19" s="209"/>
      <c r="BL19" s="209"/>
      <c r="BM19" s="209"/>
      <c r="BN19" s="209"/>
      <c r="BO19" s="209"/>
      <c r="BP19" s="209"/>
      <c r="BQ19" s="209"/>
      <c r="BR19" s="209"/>
      <c r="BS19" s="209"/>
      <c r="BT19" s="209"/>
      <c r="BU19" s="209"/>
      <c r="BV19" s="209"/>
      <c r="BW19" s="209"/>
      <c r="BX19" s="209"/>
      <c r="BY19" s="209"/>
      <c r="BZ19" s="209"/>
      <c r="CA19" s="209"/>
      <c r="CB19" s="209"/>
      <c r="CC19" s="209"/>
      <c r="CD19" s="209"/>
      <c r="CE19" s="209"/>
      <c r="CF19" s="209"/>
      <c r="CG19" s="209"/>
      <c r="CH19" s="209"/>
      <c r="CI19" s="209"/>
      <c r="CJ19" s="209"/>
      <c r="CK19" s="209"/>
      <c r="CL19" s="209"/>
      <c r="CM19" s="209"/>
      <c r="CN19" s="209"/>
      <c r="CO19" s="209"/>
      <c r="CP19" s="209"/>
      <c r="CQ19" s="209"/>
      <c r="CR19" s="209"/>
      <c r="CS19" s="209"/>
      <c r="CT19" s="209"/>
      <c r="CU19" s="209"/>
      <c r="CV19" s="209"/>
      <c r="CW19" s="209"/>
      <c r="CX19" s="209"/>
      <c r="CY19" s="209"/>
      <c r="CZ19" s="209"/>
      <c r="DA19" s="209"/>
      <c r="DB19" s="125"/>
    </row>
    <row r="20" spans="1:106" ht="15.75" thickBot="1" x14ac:dyDescent="0.3">
      <c r="B20" s="83">
        <v>0.03</v>
      </c>
      <c r="C20" s="84"/>
      <c r="D20" s="154"/>
      <c r="E20" s="99"/>
      <c r="F20" s="99"/>
      <c r="G20" s="99"/>
      <c r="H20" s="99"/>
      <c r="I20" s="99"/>
      <c r="J20" s="99"/>
      <c r="K20" s="99"/>
      <c r="L20" s="228" t="str">
        <f>B4</f>
        <v>Not Used</v>
      </c>
      <c r="M20" s="229"/>
      <c r="N20" s="181">
        <f>'Inputs Worksheet'!AN53</f>
        <v>0</v>
      </c>
      <c r="O20" s="181" t="e">
        <f>'Inputs Worksheet'!AO53</f>
        <v>#VALUE!</v>
      </c>
      <c r="P20" s="181" t="e">
        <f>'Inputs Worksheet'!AP53</f>
        <v>#VALUE!</v>
      </c>
      <c r="Q20" s="181" t="e">
        <f>'Inputs Worksheet'!AQ53</f>
        <v>#VALUE!</v>
      </c>
      <c r="R20" s="181" t="e">
        <f>'Inputs Worksheet'!AR53</f>
        <v>#VALUE!</v>
      </c>
      <c r="S20" s="181" t="e">
        <f>'Inputs Worksheet'!AS53</f>
        <v>#VALUE!</v>
      </c>
      <c r="T20" s="181" t="e">
        <f>'Inputs Worksheet'!AT53</f>
        <v>#VALUE!</v>
      </c>
      <c r="U20" s="181" t="e">
        <f>'Inputs Worksheet'!AU53</f>
        <v>#VALUE!</v>
      </c>
      <c r="V20" s="181" t="e">
        <f>'Inputs Worksheet'!AV53</f>
        <v>#VALUE!</v>
      </c>
      <c r="W20" s="181" t="e">
        <f>'Inputs Worksheet'!AW53</f>
        <v>#VALUE!</v>
      </c>
      <c r="X20" s="181" t="e">
        <f>'Inputs Worksheet'!AX53</f>
        <v>#VALUE!</v>
      </c>
      <c r="Y20" s="181" t="e">
        <f>'Inputs Worksheet'!AY53</f>
        <v>#VALUE!</v>
      </c>
      <c r="Z20" s="181" t="e">
        <f>'Inputs Worksheet'!AZ53</f>
        <v>#VALUE!</v>
      </c>
      <c r="AA20" s="181" t="e">
        <f>'Inputs Worksheet'!BA53</f>
        <v>#VALUE!</v>
      </c>
      <c r="AB20" s="181" t="e">
        <f>'Inputs Worksheet'!BB53</f>
        <v>#VALUE!</v>
      </c>
      <c r="AC20" s="181" t="e">
        <f>'Inputs Worksheet'!BC53</f>
        <v>#VALUE!</v>
      </c>
      <c r="AD20" s="181" t="e">
        <f>'Inputs Worksheet'!BD53</f>
        <v>#VALUE!</v>
      </c>
      <c r="AE20" s="181" t="e">
        <f>'Inputs Worksheet'!BE53</f>
        <v>#VALUE!</v>
      </c>
      <c r="AF20" s="181" t="e">
        <f>'Inputs Worksheet'!BF53</f>
        <v>#VALUE!</v>
      </c>
      <c r="AG20" s="181" t="e">
        <f>'Inputs Worksheet'!BG53</f>
        <v>#VALUE!</v>
      </c>
      <c r="AH20" s="181">
        <f>'Inputs Worksheet'!BH53</f>
        <v>0</v>
      </c>
      <c r="AI20" s="181">
        <f>'Inputs Worksheet'!BI53</f>
        <v>0</v>
      </c>
      <c r="AJ20" s="181" t="e">
        <f>'Inputs Worksheet'!BJ53</f>
        <v>#VALUE!</v>
      </c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09"/>
      <c r="CG20" s="209"/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125"/>
    </row>
    <row r="21" spans="1:106" x14ac:dyDescent="0.25">
      <c r="B21" s="84"/>
      <c r="C21" s="84"/>
      <c r="D21" s="154"/>
      <c r="E21" s="99"/>
      <c r="F21" s="99"/>
      <c r="G21" s="99"/>
      <c r="H21" s="99"/>
      <c r="I21" s="99"/>
      <c r="J21" s="99"/>
      <c r="K21" s="99"/>
      <c r="L21" s="230" t="str">
        <f>B5</f>
        <v>I-205 Corridor Widening: Stafford Road to OR43</v>
      </c>
      <c r="M21" s="231"/>
      <c r="N21" s="181">
        <f>'Inputs Worksheet'!AN54</f>
        <v>1199788.6728062062</v>
      </c>
      <c r="O21" s="181">
        <f>'Inputs Worksheet'!AO54</f>
        <v>1228415.2561542012</v>
      </c>
      <c r="P21" s="181">
        <f>'Inputs Worksheet'!AP54</f>
        <v>1240340.5484263557</v>
      </c>
      <c r="Q21" s="181">
        <f>'Inputs Worksheet'!AQ54</f>
        <v>1252391.6910811574</v>
      </c>
      <c r="R21" s="181">
        <f>'Inputs Worksheet'!AR54</f>
        <v>1264570.0733914399</v>
      </c>
      <c r="S21" s="181">
        <f>'Inputs Worksheet'!AS54</f>
        <v>1276877.1004812478</v>
      </c>
      <c r="T21" s="181">
        <f>'Inputs Worksheet'!AT54</f>
        <v>1289314.1935110625</v>
      </c>
      <c r="U21" s="181">
        <f>'Inputs Worksheet'!AU54</f>
        <v>1301882.7898652272</v>
      </c>
      <c r="V21" s="181">
        <f>'Inputs Worksheet'!AV54</f>
        <v>1314584.3433416032</v>
      </c>
      <c r="W21" s="181">
        <f>'Inputs Worksheet'!AW54</f>
        <v>1327420.3243434809</v>
      </c>
      <c r="X21" s="181">
        <f>'Inputs Worksheet'!AX54</f>
        <v>1340392.2200737717</v>
      </c>
      <c r="Y21" s="181">
        <f>'Inputs Worksheet'!AY54</f>
        <v>1353501.5347315141</v>
      </c>
      <c r="Z21" s="181">
        <f>'Inputs Worksheet'!AZ54</f>
        <v>1366749.7897107142</v>
      </c>
      <c r="AA21" s="181">
        <f>'Inputs Worksheet'!BA54</f>
        <v>1380138.523801557</v>
      </c>
      <c r="AB21" s="181">
        <f>'Inputs Worksheet'!BB54</f>
        <v>1393669.2933940075</v>
      </c>
      <c r="AC21" s="181">
        <f>'Inputs Worksheet'!BC54</f>
        <v>1407343.6726838376</v>
      </c>
      <c r="AD21" s="181">
        <f>'Inputs Worksheet'!BD54</f>
        <v>1421163.2538811096</v>
      </c>
      <c r="AE21" s="181">
        <f>'Inputs Worksheet'!BE54</f>
        <v>1435129.6474211367</v>
      </c>
      <c r="AF21" s="181">
        <f>'Inputs Worksheet'!BF54</f>
        <v>1449244.4821779574</v>
      </c>
      <c r="AG21" s="181">
        <f>'Inputs Worksheet'!BG54</f>
        <v>1463509.4056803584</v>
      </c>
      <c r="AH21" s="181">
        <f>'Inputs Worksheet'!BH54</f>
        <v>0</v>
      </c>
      <c r="AI21" s="181">
        <f>'Inputs Worksheet'!BI54</f>
        <v>0</v>
      </c>
      <c r="AJ21" s="181">
        <f>'Inputs Worksheet'!BJ54</f>
        <v>1335321.3408478971</v>
      </c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09"/>
      <c r="BN21" s="209"/>
      <c r="BO21" s="209"/>
      <c r="BP21" s="209"/>
      <c r="BQ21" s="209"/>
      <c r="BR21" s="209"/>
      <c r="BS21" s="209"/>
      <c r="BT21" s="209"/>
      <c r="BU21" s="209"/>
      <c r="BV21" s="209"/>
      <c r="BW21" s="209"/>
      <c r="BX21" s="209"/>
      <c r="BY21" s="209"/>
      <c r="BZ21" s="209"/>
      <c r="CA21" s="209"/>
      <c r="CB21" s="209"/>
      <c r="CC21" s="209"/>
      <c r="CD21" s="209"/>
      <c r="CE21" s="209"/>
      <c r="CF21" s="209"/>
      <c r="CG21" s="209"/>
      <c r="CH21" s="209"/>
      <c r="CI21" s="209"/>
      <c r="CJ21" s="209"/>
      <c r="CK21" s="209"/>
      <c r="CL21" s="209"/>
      <c r="CM21" s="209"/>
      <c r="CN21" s="209"/>
      <c r="CO21" s="209"/>
      <c r="CP21" s="209"/>
      <c r="CQ21" s="209"/>
      <c r="CR21" s="209"/>
      <c r="CS21" s="209"/>
      <c r="CT21" s="209"/>
      <c r="CU21" s="209"/>
      <c r="CV21" s="209"/>
      <c r="CW21" s="209"/>
      <c r="CX21" s="209"/>
      <c r="CY21" s="209"/>
      <c r="CZ21" s="209"/>
      <c r="DA21" s="209"/>
      <c r="DB21" s="125"/>
    </row>
    <row r="22" spans="1:106" x14ac:dyDescent="0.25">
      <c r="B22" s="84"/>
      <c r="C22" s="84"/>
      <c r="D22" s="154"/>
      <c r="E22" s="99"/>
      <c r="F22" s="99"/>
      <c r="G22" s="99"/>
      <c r="H22" s="99"/>
      <c r="I22" s="99"/>
      <c r="J22" s="99"/>
      <c r="K22" s="99"/>
      <c r="L22" s="230" t="str">
        <f>B6</f>
        <v>Not Used</v>
      </c>
      <c r="M22" s="231"/>
      <c r="N22" s="181">
        <f>'Inputs Worksheet'!AN55</f>
        <v>0</v>
      </c>
      <c r="O22" s="181" t="e">
        <f>'Inputs Worksheet'!AO55</f>
        <v>#DIV/0!</v>
      </c>
      <c r="P22" s="181" t="e">
        <f>'Inputs Worksheet'!AP55</f>
        <v>#DIV/0!</v>
      </c>
      <c r="Q22" s="181" t="e">
        <f>'Inputs Worksheet'!AQ55</f>
        <v>#DIV/0!</v>
      </c>
      <c r="R22" s="181" t="e">
        <f>'Inputs Worksheet'!AR55</f>
        <v>#DIV/0!</v>
      </c>
      <c r="S22" s="181" t="e">
        <f>'Inputs Worksheet'!AS55</f>
        <v>#DIV/0!</v>
      </c>
      <c r="T22" s="181" t="e">
        <f>'Inputs Worksheet'!AT55</f>
        <v>#DIV/0!</v>
      </c>
      <c r="U22" s="181" t="e">
        <f>'Inputs Worksheet'!AU55</f>
        <v>#DIV/0!</v>
      </c>
      <c r="V22" s="181" t="e">
        <f>'Inputs Worksheet'!AV55</f>
        <v>#DIV/0!</v>
      </c>
      <c r="W22" s="181" t="e">
        <f>'Inputs Worksheet'!AW55</f>
        <v>#DIV/0!</v>
      </c>
      <c r="X22" s="181" t="e">
        <f>'Inputs Worksheet'!AX55</f>
        <v>#DIV/0!</v>
      </c>
      <c r="Y22" s="181" t="e">
        <f>'Inputs Worksheet'!AY55</f>
        <v>#DIV/0!</v>
      </c>
      <c r="Z22" s="181" t="e">
        <f>'Inputs Worksheet'!AZ55</f>
        <v>#DIV/0!</v>
      </c>
      <c r="AA22" s="181" t="e">
        <f>'Inputs Worksheet'!BA55</f>
        <v>#DIV/0!</v>
      </c>
      <c r="AB22" s="181" t="e">
        <f>'Inputs Worksheet'!BB55</f>
        <v>#DIV/0!</v>
      </c>
      <c r="AC22" s="181" t="e">
        <f>'Inputs Worksheet'!BC55</f>
        <v>#DIV/0!</v>
      </c>
      <c r="AD22" s="181" t="e">
        <f>'Inputs Worksheet'!BD55</f>
        <v>#DIV/0!</v>
      </c>
      <c r="AE22" s="181" t="e">
        <f>'Inputs Worksheet'!BE55</f>
        <v>#DIV/0!</v>
      </c>
      <c r="AF22" s="181" t="e">
        <f>'Inputs Worksheet'!BF55</f>
        <v>#DIV/0!</v>
      </c>
      <c r="AG22" s="181" t="e">
        <f>'Inputs Worksheet'!BG55</f>
        <v>#DIV/0!</v>
      </c>
      <c r="AH22" s="181">
        <f>'Inputs Worksheet'!BH55</f>
        <v>0</v>
      </c>
      <c r="AI22" s="181">
        <f>'Inputs Worksheet'!BI55</f>
        <v>0</v>
      </c>
      <c r="AJ22" s="181" t="e">
        <f>'Inputs Worksheet'!BJ55</f>
        <v>#DIV/0!</v>
      </c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09"/>
      <c r="BN22" s="209"/>
      <c r="BO22" s="209"/>
      <c r="BP22" s="209"/>
      <c r="BQ22" s="209"/>
      <c r="BR22" s="209"/>
      <c r="BS22" s="209"/>
      <c r="BT22" s="209"/>
      <c r="BU22" s="209"/>
      <c r="BV22" s="209"/>
      <c r="BW22" s="209"/>
      <c r="BX22" s="209"/>
      <c r="BY22" s="209"/>
      <c r="BZ22" s="209"/>
      <c r="CA22" s="209"/>
      <c r="CB22" s="209"/>
      <c r="CC22" s="209"/>
      <c r="CD22" s="209"/>
      <c r="CE22" s="209"/>
      <c r="CF22" s="209"/>
      <c r="CG22" s="209"/>
      <c r="CH22" s="209"/>
      <c r="CI22" s="209"/>
      <c r="CJ22" s="209"/>
      <c r="CK22" s="209"/>
      <c r="CL22" s="209"/>
      <c r="CM22" s="209"/>
      <c r="CN22" s="209"/>
      <c r="CO22" s="209"/>
      <c r="CP22" s="209"/>
      <c r="CQ22" s="209"/>
      <c r="CR22" s="209"/>
      <c r="CS22" s="209"/>
      <c r="CT22" s="209"/>
      <c r="CU22" s="209"/>
      <c r="CV22" s="209"/>
      <c r="CW22" s="209"/>
      <c r="CX22" s="209"/>
      <c r="CY22" s="209"/>
      <c r="CZ22" s="209"/>
      <c r="DA22" s="209"/>
      <c r="DB22" s="125"/>
    </row>
    <row r="23" spans="1:106" x14ac:dyDescent="0.25">
      <c r="B23" s="84"/>
      <c r="C23" s="367"/>
      <c r="D23" s="154"/>
      <c r="E23" s="99"/>
      <c r="F23" s="99"/>
      <c r="G23" s="99"/>
      <c r="H23" s="99"/>
      <c r="I23" s="99"/>
      <c r="J23" s="99"/>
      <c r="K23" s="99"/>
      <c r="L23" s="232" t="str">
        <f>B7</f>
        <v>Name #4</v>
      </c>
      <c r="M23" s="233"/>
      <c r="N23" s="181">
        <f>'Inputs Worksheet'!AN56</f>
        <v>0</v>
      </c>
      <c r="O23" s="181" t="e">
        <f>'Inputs Worksheet'!AO56</f>
        <v>#DIV/0!</v>
      </c>
      <c r="P23" s="181" t="e">
        <f>'Inputs Worksheet'!AP56</f>
        <v>#DIV/0!</v>
      </c>
      <c r="Q23" s="181" t="e">
        <f>'Inputs Worksheet'!AQ56</f>
        <v>#DIV/0!</v>
      </c>
      <c r="R23" s="181" t="e">
        <f>'Inputs Worksheet'!AR56</f>
        <v>#DIV/0!</v>
      </c>
      <c r="S23" s="181" t="e">
        <f>'Inputs Worksheet'!AS56</f>
        <v>#DIV/0!</v>
      </c>
      <c r="T23" s="181" t="e">
        <f>'Inputs Worksheet'!AT56</f>
        <v>#DIV/0!</v>
      </c>
      <c r="U23" s="181" t="e">
        <f>'Inputs Worksheet'!AU56</f>
        <v>#DIV/0!</v>
      </c>
      <c r="V23" s="181" t="e">
        <f>'Inputs Worksheet'!AV56</f>
        <v>#DIV/0!</v>
      </c>
      <c r="W23" s="181" t="e">
        <f>'Inputs Worksheet'!AW56</f>
        <v>#DIV/0!</v>
      </c>
      <c r="X23" s="181" t="e">
        <f>'Inputs Worksheet'!AX56</f>
        <v>#DIV/0!</v>
      </c>
      <c r="Y23" s="181" t="e">
        <f>'Inputs Worksheet'!AY56</f>
        <v>#DIV/0!</v>
      </c>
      <c r="Z23" s="181" t="e">
        <f>'Inputs Worksheet'!AZ56</f>
        <v>#DIV/0!</v>
      </c>
      <c r="AA23" s="181" t="e">
        <f>'Inputs Worksheet'!BA56</f>
        <v>#DIV/0!</v>
      </c>
      <c r="AB23" s="181" t="e">
        <f>'Inputs Worksheet'!BB56</f>
        <v>#DIV/0!</v>
      </c>
      <c r="AC23" s="181" t="e">
        <f>'Inputs Worksheet'!BC56</f>
        <v>#DIV/0!</v>
      </c>
      <c r="AD23" s="181" t="e">
        <f>'Inputs Worksheet'!BD56</f>
        <v>#DIV/0!</v>
      </c>
      <c r="AE23" s="181" t="e">
        <f>'Inputs Worksheet'!BE56</f>
        <v>#DIV/0!</v>
      </c>
      <c r="AF23" s="181" t="e">
        <f>'Inputs Worksheet'!BF56</f>
        <v>#DIV/0!</v>
      </c>
      <c r="AG23" s="181" t="e">
        <f>'Inputs Worksheet'!BG56</f>
        <v>#DIV/0!</v>
      </c>
      <c r="AH23" s="181" t="e">
        <f>'Inputs Worksheet'!BH56</f>
        <v>#DIV/0!</v>
      </c>
      <c r="AI23" s="181" t="e">
        <f>'Inputs Worksheet'!BI56</f>
        <v>#DIV/0!</v>
      </c>
      <c r="AJ23" s="181" t="e">
        <f>'Inputs Worksheet'!BJ56</f>
        <v>#DIV/0!</v>
      </c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5"/>
      <c r="BM23" s="185"/>
      <c r="BN23" s="185"/>
      <c r="BO23" s="185"/>
      <c r="BP23" s="185"/>
      <c r="BQ23" s="185"/>
      <c r="BR23" s="185"/>
      <c r="BS23" s="185"/>
      <c r="BT23" s="185"/>
      <c r="BU23" s="185"/>
      <c r="BV23" s="185"/>
      <c r="BW23" s="185"/>
      <c r="BX23" s="185"/>
      <c r="BY23" s="185"/>
      <c r="BZ23" s="185"/>
      <c r="CA23" s="185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25"/>
    </row>
    <row r="24" spans="1:106" x14ac:dyDescent="0.25">
      <c r="B24" s="368"/>
      <c r="C24" s="84"/>
      <c r="D24" s="154"/>
      <c r="E24" s="99"/>
      <c r="F24" s="99"/>
      <c r="G24" s="99"/>
      <c r="H24" s="99"/>
      <c r="I24" s="99"/>
      <c r="J24" s="99"/>
      <c r="K24" s="99"/>
      <c r="L24" s="232" t="str">
        <f>B8</f>
        <v>Name #5</v>
      </c>
      <c r="M24" s="233"/>
      <c r="N24" s="181">
        <f>'Inputs Worksheet'!AN57</f>
        <v>0</v>
      </c>
      <c r="O24" s="181" t="e">
        <f>'Inputs Worksheet'!AO57</f>
        <v>#DIV/0!</v>
      </c>
      <c r="P24" s="181" t="e">
        <f>'Inputs Worksheet'!AP57</f>
        <v>#DIV/0!</v>
      </c>
      <c r="Q24" s="181" t="e">
        <f>'Inputs Worksheet'!AQ57</f>
        <v>#DIV/0!</v>
      </c>
      <c r="R24" s="181" t="e">
        <f>'Inputs Worksheet'!AR57</f>
        <v>#DIV/0!</v>
      </c>
      <c r="S24" s="181" t="e">
        <f>'Inputs Worksheet'!AS57</f>
        <v>#DIV/0!</v>
      </c>
      <c r="T24" s="181" t="e">
        <f>'Inputs Worksheet'!AT57</f>
        <v>#DIV/0!</v>
      </c>
      <c r="U24" s="181" t="e">
        <f>'Inputs Worksheet'!AU57</f>
        <v>#DIV/0!</v>
      </c>
      <c r="V24" s="181" t="e">
        <f>'Inputs Worksheet'!AV57</f>
        <v>#DIV/0!</v>
      </c>
      <c r="W24" s="181" t="e">
        <f>'Inputs Worksheet'!AW57</f>
        <v>#DIV/0!</v>
      </c>
      <c r="X24" s="181" t="e">
        <f>'Inputs Worksheet'!AX57</f>
        <v>#DIV/0!</v>
      </c>
      <c r="Y24" s="181" t="e">
        <f>'Inputs Worksheet'!AY57</f>
        <v>#DIV/0!</v>
      </c>
      <c r="Z24" s="181" t="e">
        <f>'Inputs Worksheet'!AZ57</f>
        <v>#DIV/0!</v>
      </c>
      <c r="AA24" s="181" t="e">
        <f>'Inputs Worksheet'!BA57</f>
        <v>#DIV/0!</v>
      </c>
      <c r="AB24" s="181" t="e">
        <f>'Inputs Worksheet'!BB57</f>
        <v>#DIV/0!</v>
      </c>
      <c r="AC24" s="181" t="e">
        <f>'Inputs Worksheet'!BC57</f>
        <v>#DIV/0!</v>
      </c>
      <c r="AD24" s="181" t="e">
        <f>'Inputs Worksheet'!BD57</f>
        <v>#DIV/0!</v>
      </c>
      <c r="AE24" s="181" t="e">
        <f>'Inputs Worksheet'!BE57</f>
        <v>#DIV/0!</v>
      </c>
      <c r="AF24" s="181" t="e">
        <f>'Inputs Worksheet'!BF57</f>
        <v>#DIV/0!</v>
      </c>
      <c r="AG24" s="181" t="e">
        <f>'Inputs Worksheet'!BG57</f>
        <v>#DIV/0!</v>
      </c>
      <c r="AH24" s="181" t="e">
        <f>'Inputs Worksheet'!BH57</f>
        <v>#DIV/0!</v>
      </c>
      <c r="AI24" s="181" t="e">
        <f>'Inputs Worksheet'!BI57</f>
        <v>#DIV/0!</v>
      </c>
      <c r="AJ24" s="181" t="e">
        <f>'Inputs Worksheet'!BJ57</f>
        <v>#DIV/0!</v>
      </c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185"/>
      <c r="BX24" s="185"/>
      <c r="BY24" s="185"/>
      <c r="BZ24" s="185"/>
      <c r="CA24" s="185"/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25"/>
    </row>
    <row r="25" spans="1:106" ht="15.75" thickBot="1" x14ac:dyDescent="0.3">
      <c r="B25" s="98"/>
      <c r="C25" s="98"/>
      <c r="D25" s="85"/>
      <c r="E25" s="99"/>
      <c r="F25" s="99"/>
      <c r="G25" s="99"/>
      <c r="H25" s="99"/>
      <c r="I25" s="99"/>
      <c r="J25" s="99"/>
      <c r="K25" s="99"/>
      <c r="L25" s="99"/>
      <c r="M25" s="99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125"/>
      <c r="CR25" s="125"/>
      <c r="CS25" s="125"/>
      <c r="CT25" s="125"/>
      <c r="CU25" s="125"/>
      <c r="CV25" s="125"/>
      <c r="CW25" s="125"/>
      <c r="CX25" s="125"/>
      <c r="CY25" s="125"/>
      <c r="CZ25" s="125"/>
      <c r="DA25" s="125"/>
    </row>
    <row r="26" spans="1:106" ht="15.75" thickBot="1" x14ac:dyDescent="0.3">
      <c r="B26" s="188" t="s">
        <v>46</v>
      </c>
      <c r="C26" s="187"/>
      <c r="D26" s="569">
        <f t="shared" ref="D26:E26" si="0">E26-1</f>
        <v>2020</v>
      </c>
      <c r="E26" s="569">
        <f t="shared" si="0"/>
        <v>2021</v>
      </c>
      <c r="F26" s="569">
        <f t="shared" ref="F26" si="1">G26-1</f>
        <v>2022</v>
      </c>
      <c r="G26" s="73">
        <f t="shared" ref="G26:I26" si="2">H26-1</f>
        <v>2023</v>
      </c>
      <c r="H26" s="73">
        <f t="shared" si="2"/>
        <v>2024</v>
      </c>
      <c r="I26" s="73">
        <f t="shared" si="2"/>
        <v>2025</v>
      </c>
      <c r="J26" s="73">
        <f>K26-1</f>
        <v>2026</v>
      </c>
      <c r="K26" s="73">
        <f>'Inputs Worksheet'!$A$29</f>
        <v>2027</v>
      </c>
      <c r="L26" s="73">
        <f t="shared" ref="L26:AF26" si="3">K26+1</f>
        <v>2028</v>
      </c>
      <c r="M26" s="73">
        <f t="shared" si="3"/>
        <v>2029</v>
      </c>
      <c r="N26" s="73">
        <f t="shared" si="3"/>
        <v>2030</v>
      </c>
      <c r="O26" s="73">
        <f t="shared" si="3"/>
        <v>2031</v>
      </c>
      <c r="P26" s="73">
        <f t="shared" si="3"/>
        <v>2032</v>
      </c>
      <c r="Q26" s="73">
        <f t="shared" si="3"/>
        <v>2033</v>
      </c>
      <c r="R26" s="73">
        <f t="shared" si="3"/>
        <v>2034</v>
      </c>
      <c r="S26" s="73">
        <f t="shared" si="3"/>
        <v>2035</v>
      </c>
      <c r="T26" s="73">
        <f t="shared" si="3"/>
        <v>2036</v>
      </c>
      <c r="U26" s="73">
        <f t="shared" si="3"/>
        <v>2037</v>
      </c>
      <c r="V26" s="73">
        <f t="shared" si="3"/>
        <v>2038</v>
      </c>
      <c r="W26" s="73">
        <f t="shared" si="3"/>
        <v>2039</v>
      </c>
      <c r="X26" s="73">
        <f t="shared" si="3"/>
        <v>2040</v>
      </c>
      <c r="Y26" s="73">
        <f t="shared" si="3"/>
        <v>2041</v>
      </c>
      <c r="Z26" s="73">
        <f t="shared" si="3"/>
        <v>2042</v>
      </c>
      <c r="AA26" s="73">
        <f t="shared" si="3"/>
        <v>2043</v>
      </c>
      <c r="AB26" s="73">
        <f t="shared" si="3"/>
        <v>2044</v>
      </c>
      <c r="AC26" s="73">
        <f t="shared" si="3"/>
        <v>2045</v>
      </c>
      <c r="AD26" s="73">
        <f t="shared" si="3"/>
        <v>2046</v>
      </c>
      <c r="AE26" s="73">
        <f t="shared" si="3"/>
        <v>2047</v>
      </c>
      <c r="AF26" s="73">
        <f t="shared" si="3"/>
        <v>2048</v>
      </c>
      <c r="AG26" s="17"/>
      <c r="AH26" s="17"/>
      <c r="AI26" s="17"/>
      <c r="AJ26" s="17"/>
      <c r="AK26" s="17"/>
      <c r="AL26" s="17"/>
      <c r="AM26" s="17"/>
      <c r="AN26" s="17"/>
      <c r="AO26"/>
    </row>
    <row r="27" spans="1:106" ht="15.75" thickBot="1" x14ac:dyDescent="0.3">
      <c r="A27" s="82"/>
      <c r="B27" s="83">
        <v>7.0000000000000007E-2</v>
      </c>
      <c r="C27" s="1" t="s">
        <v>0</v>
      </c>
      <c r="D27" s="570">
        <v>0</v>
      </c>
      <c r="E27" s="570">
        <v>0</v>
      </c>
      <c r="F27" s="418">
        <v>1</v>
      </c>
      <c r="G27" s="17">
        <f>F27+1</f>
        <v>2</v>
      </c>
      <c r="H27" s="17">
        <f>G27+1</f>
        <v>3</v>
      </c>
      <c r="I27" s="17">
        <f t="shared" ref="I27:AF28" si="4">H27+1</f>
        <v>4</v>
      </c>
      <c r="J27" s="17">
        <f t="shared" si="4"/>
        <v>5</v>
      </c>
      <c r="K27" s="17">
        <f t="shared" si="4"/>
        <v>6</v>
      </c>
      <c r="L27" s="17">
        <f t="shared" si="4"/>
        <v>7</v>
      </c>
      <c r="M27" s="17">
        <f t="shared" si="4"/>
        <v>8</v>
      </c>
      <c r="N27" s="17">
        <f t="shared" si="4"/>
        <v>9</v>
      </c>
      <c r="O27" s="17">
        <f t="shared" si="4"/>
        <v>10</v>
      </c>
      <c r="P27" s="17">
        <f t="shared" si="4"/>
        <v>11</v>
      </c>
      <c r="Q27" s="17">
        <f t="shared" si="4"/>
        <v>12</v>
      </c>
      <c r="R27" s="17">
        <f t="shared" si="4"/>
        <v>13</v>
      </c>
      <c r="S27" s="17">
        <f t="shared" si="4"/>
        <v>14</v>
      </c>
      <c r="T27" s="17">
        <f t="shared" si="4"/>
        <v>15</v>
      </c>
      <c r="U27" s="17">
        <f t="shared" si="4"/>
        <v>16</v>
      </c>
      <c r="V27" s="17">
        <f t="shared" si="4"/>
        <v>17</v>
      </c>
      <c r="W27" s="17">
        <f t="shared" si="4"/>
        <v>18</v>
      </c>
      <c r="X27" s="17">
        <f t="shared" si="4"/>
        <v>19</v>
      </c>
      <c r="Y27" s="17">
        <f t="shared" si="4"/>
        <v>20</v>
      </c>
      <c r="Z27" s="17">
        <f t="shared" si="4"/>
        <v>21</v>
      </c>
      <c r="AA27" s="17">
        <f t="shared" si="4"/>
        <v>22</v>
      </c>
      <c r="AB27" s="17">
        <f t="shared" si="4"/>
        <v>23</v>
      </c>
      <c r="AC27" s="17">
        <f t="shared" si="4"/>
        <v>24</v>
      </c>
      <c r="AD27" s="17">
        <f t="shared" si="4"/>
        <v>25</v>
      </c>
      <c r="AE27" s="17">
        <f t="shared" si="4"/>
        <v>26</v>
      </c>
      <c r="AF27" s="17">
        <f t="shared" si="4"/>
        <v>27</v>
      </c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106" hidden="1" x14ac:dyDescent="0.25">
      <c r="A28" s="81">
        <v>1</v>
      </c>
      <c r="B28" s="96" t="str">
        <f>B4</f>
        <v>Not Used</v>
      </c>
      <c r="C28" s="85"/>
      <c r="D28" s="575">
        <v>0</v>
      </c>
      <c r="E28" s="575">
        <v>0</v>
      </c>
      <c r="F28" s="576">
        <v>0</v>
      </c>
      <c r="G28" s="17">
        <v>0</v>
      </c>
      <c r="H28" s="17">
        <v>0</v>
      </c>
      <c r="I28" s="17">
        <v>0</v>
      </c>
      <c r="J28" s="17">
        <v>0</v>
      </c>
      <c r="K28" s="17">
        <f>0</f>
        <v>0</v>
      </c>
      <c r="L28" s="17">
        <f>K28+1</f>
        <v>1</v>
      </c>
      <c r="M28" s="17">
        <f t="shared" si="4"/>
        <v>2</v>
      </c>
      <c r="N28" s="17">
        <f t="shared" si="4"/>
        <v>3</v>
      </c>
      <c r="O28" s="17">
        <f t="shared" si="4"/>
        <v>4</v>
      </c>
      <c r="P28" s="17">
        <f t="shared" si="4"/>
        <v>5</v>
      </c>
      <c r="Q28" s="17">
        <f t="shared" si="4"/>
        <v>6</v>
      </c>
      <c r="R28" s="17">
        <f t="shared" si="4"/>
        <v>7</v>
      </c>
      <c r="S28" s="17">
        <f t="shared" si="4"/>
        <v>8</v>
      </c>
      <c r="T28" s="17">
        <f t="shared" si="4"/>
        <v>9</v>
      </c>
      <c r="U28" s="17">
        <f t="shared" si="4"/>
        <v>10</v>
      </c>
      <c r="V28" s="17">
        <f t="shared" si="4"/>
        <v>11</v>
      </c>
      <c r="W28" s="17">
        <f t="shared" si="4"/>
        <v>12</v>
      </c>
      <c r="X28" s="17">
        <f t="shared" si="4"/>
        <v>13</v>
      </c>
      <c r="Y28" s="17">
        <f t="shared" si="4"/>
        <v>14</v>
      </c>
      <c r="Z28" s="17">
        <f t="shared" si="4"/>
        <v>15</v>
      </c>
      <c r="AA28" s="17">
        <f t="shared" si="4"/>
        <v>16</v>
      </c>
      <c r="AB28" s="17">
        <f t="shared" si="4"/>
        <v>17</v>
      </c>
      <c r="AC28" s="17">
        <f t="shared" si="4"/>
        <v>18</v>
      </c>
      <c r="AD28" s="17">
        <f t="shared" si="4"/>
        <v>19</v>
      </c>
      <c r="AE28" s="17">
        <f t="shared" si="4"/>
        <v>20</v>
      </c>
      <c r="AF28" s="17">
        <f t="shared" si="4"/>
        <v>21</v>
      </c>
      <c r="AG28" s="17"/>
      <c r="AH28" s="17"/>
      <c r="AI28" s="17"/>
      <c r="AJ28" s="17"/>
      <c r="AK28" s="17"/>
      <c r="AL28" s="17"/>
      <c r="AM28" s="17"/>
      <c r="AN28" s="17"/>
      <c r="AO28" s="17"/>
    </row>
    <row r="29" spans="1:106" hidden="1" x14ac:dyDescent="0.25">
      <c r="B29" s="86" t="s">
        <v>15</v>
      </c>
      <c r="C29" s="85"/>
      <c r="D29" s="85"/>
      <c r="E29" s="85"/>
      <c r="F29" s="93"/>
      <c r="G29" s="93"/>
      <c r="H29" s="2"/>
      <c r="J29" s="159"/>
      <c r="K29" s="159"/>
      <c r="L29" s="160"/>
      <c r="M29" s="159"/>
      <c r="N29" s="159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/>
      <c r="AM29"/>
      <c r="AN29"/>
      <c r="AO29"/>
    </row>
    <row r="30" spans="1:106" hidden="1" x14ac:dyDescent="0.25">
      <c r="B30" s="87" t="s">
        <v>102</v>
      </c>
      <c r="D30" s="5" t="e">
        <f>((-#REF!)*1.0423)/((1+$B$27)^D$27)</f>
        <v>#REF!</v>
      </c>
      <c r="E30" s="5" t="e">
        <f>((-#REF!))/((1+$B$27)^E$27)</f>
        <v>#REF!</v>
      </c>
      <c r="F30" s="5" t="e">
        <f>((-#REF!)/(LOOKUP(F$26,'Inputs Worksheet'!$P$67:$P$73,'Inputs Worksheet'!$Q$67:$Q$73)/100))/((1+$B$27)^F$27)</f>
        <v>#REF!</v>
      </c>
      <c r="G30" s="5" t="e">
        <f>((-#REF!)/(LOOKUP(G$26,'Inputs Worksheet'!$P$67:$P$73,'Inputs Worksheet'!$Q$67:$Q$73)/100))/((1+$B$27)^G$27)</f>
        <v>#REF!</v>
      </c>
      <c r="H30" s="5" t="e">
        <f>((-#REF!)/(LOOKUP(H$26,'Inputs Worksheet'!$P$67:$P$73,'Inputs Worksheet'!$Q$67:$Q$73)/100))/((1+$B$27)^H$27)</f>
        <v>#REF!</v>
      </c>
      <c r="I30" s="5" t="e">
        <f>((-#REF!)/(LOOKUP(I$26,'Inputs Worksheet'!$P$67:$P$73,'Inputs Worksheet'!$Q$67:$Q$73)/100))/((1+$B$27)^I$27)</f>
        <v>#REF!</v>
      </c>
      <c r="J30" s="5" t="e">
        <f>((-#REF!)/(LOOKUP(J$26,'Inputs Worksheet'!$P$67:$P$73,'Inputs Worksheet'!$Q$67:$Q$73)/100))/((1+$B$27)^J$27)</f>
        <v>#REF!</v>
      </c>
      <c r="K30" s="5" t="e">
        <f>((-#REF!)/(LOOKUP(K$26,'Inputs Worksheet'!$P$67:$P$73,'Inputs Worksheet'!$Q$67:$Q$73)/100))/((1+$B$27)^K$27)</f>
        <v>#REF!</v>
      </c>
      <c r="L30" s="161"/>
      <c r="M30" s="161"/>
      <c r="N30" s="161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13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4"/>
      <c r="AM30" s="4"/>
      <c r="AN30" s="4"/>
      <c r="AO30" s="4"/>
    </row>
    <row r="31" spans="1:106" hidden="1" x14ac:dyDescent="0.25">
      <c r="B31" s="86" t="s">
        <v>16</v>
      </c>
      <c r="F31" s="94"/>
      <c r="G31" s="94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/>
      <c r="AM31"/>
      <c r="AN31"/>
      <c r="AO31"/>
    </row>
    <row r="32" spans="1:106" hidden="1" x14ac:dyDescent="0.25">
      <c r="B32" s="88" t="s">
        <v>68</v>
      </c>
      <c r="F32" s="94"/>
      <c r="G32" s="94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/>
      <c r="AM32"/>
      <c r="AN32"/>
      <c r="AO32"/>
    </row>
    <row r="33" spans="1:41" hidden="1" x14ac:dyDescent="0.25">
      <c r="B33" s="88" t="s">
        <v>129</v>
      </c>
      <c r="F33" s="94"/>
      <c r="G33" s="94"/>
      <c r="J33" s="13"/>
      <c r="K33" s="13" t="e">
        <f>(#REF!-#REF!)*#REF!/((1+$B$27)^K$27)</f>
        <v>#REF!</v>
      </c>
      <c r="L33" s="13"/>
      <c r="M33" s="13"/>
      <c r="N33" s="13"/>
      <c r="O33" s="13"/>
      <c r="P33" s="13"/>
      <c r="Q33" s="13"/>
      <c r="R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5"/>
      <c r="AF33" s="5"/>
      <c r="AG33" s="5"/>
      <c r="AH33" s="5"/>
      <c r="AI33" s="5"/>
      <c r="AJ33" s="5"/>
      <c r="AK33" s="5"/>
      <c r="AL33"/>
      <c r="AM33"/>
      <c r="AN33"/>
      <c r="AO33"/>
    </row>
    <row r="34" spans="1:41" hidden="1" x14ac:dyDescent="0.25">
      <c r="B34" s="88" t="s">
        <v>1</v>
      </c>
      <c r="F34" s="93"/>
      <c r="G34" s="9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8"/>
      <c r="AM34" s="8"/>
      <c r="AN34" s="8"/>
      <c r="AO34" s="8"/>
    </row>
    <row r="35" spans="1:41" hidden="1" x14ac:dyDescent="0.25">
      <c r="B35" s="153" t="s">
        <v>77</v>
      </c>
      <c r="F35" s="95"/>
      <c r="G35" s="95"/>
      <c r="I35" s="13"/>
      <c r="J35" s="13"/>
      <c r="K35" s="13" t="e">
        <f t="shared" ref="K35:AD35" si="5">N4/((1+$B$27)^K$27)</f>
        <v>#VALUE!</v>
      </c>
      <c r="L35" s="13" t="e">
        <f t="shared" si="5"/>
        <v>#VALUE!</v>
      </c>
      <c r="M35" s="13" t="e">
        <f t="shared" si="5"/>
        <v>#VALUE!</v>
      </c>
      <c r="N35" s="13" t="e">
        <f t="shared" si="5"/>
        <v>#VALUE!</v>
      </c>
      <c r="O35" s="13" t="e">
        <f t="shared" si="5"/>
        <v>#VALUE!</v>
      </c>
      <c r="P35" s="13" t="e">
        <f t="shared" si="5"/>
        <v>#VALUE!</v>
      </c>
      <c r="Q35" s="13" t="e">
        <f t="shared" si="5"/>
        <v>#VALUE!</v>
      </c>
      <c r="R35" s="13" t="e">
        <f t="shared" si="5"/>
        <v>#VALUE!</v>
      </c>
      <c r="S35" s="13" t="e">
        <f t="shared" si="5"/>
        <v>#VALUE!</v>
      </c>
      <c r="T35" s="13" t="e">
        <f t="shared" si="5"/>
        <v>#VALUE!</v>
      </c>
      <c r="U35" s="13" t="e">
        <f t="shared" si="5"/>
        <v>#VALUE!</v>
      </c>
      <c r="V35" s="13" t="e">
        <f t="shared" si="5"/>
        <v>#VALUE!</v>
      </c>
      <c r="W35" s="13" t="e">
        <f t="shared" si="5"/>
        <v>#VALUE!</v>
      </c>
      <c r="X35" s="13" t="e">
        <f t="shared" si="5"/>
        <v>#VALUE!</v>
      </c>
      <c r="Y35" s="13" t="e">
        <f t="shared" si="5"/>
        <v>#VALUE!</v>
      </c>
      <c r="Z35" s="13" t="e">
        <f t="shared" si="5"/>
        <v>#VALUE!</v>
      </c>
      <c r="AA35" s="13" t="e">
        <f t="shared" si="5"/>
        <v>#VALUE!</v>
      </c>
      <c r="AB35" s="13" t="e">
        <f t="shared" si="5"/>
        <v>#VALUE!</v>
      </c>
      <c r="AC35" s="13" t="e">
        <f t="shared" si="5"/>
        <v>#VALUE!</v>
      </c>
      <c r="AD35" s="13" t="e">
        <f t="shared" si="5"/>
        <v>#VALUE!</v>
      </c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8"/>
    </row>
    <row r="36" spans="1:41" hidden="1" x14ac:dyDescent="0.25">
      <c r="B36" s="153" t="s">
        <v>78</v>
      </c>
      <c r="F36" s="95"/>
      <c r="G36" s="95"/>
      <c r="I36" s="13"/>
      <c r="J36" s="13"/>
      <c r="K36" s="13">
        <f t="shared" ref="K36:AD36" si="6">N12/((1+$B$27)^K$27)</f>
        <v>0</v>
      </c>
      <c r="L36" s="13">
        <f t="shared" si="6"/>
        <v>0</v>
      </c>
      <c r="M36" s="13">
        <f t="shared" si="6"/>
        <v>0</v>
      </c>
      <c r="N36" s="13">
        <f t="shared" si="6"/>
        <v>0</v>
      </c>
      <c r="O36" s="13">
        <f t="shared" si="6"/>
        <v>0</v>
      </c>
      <c r="P36" s="13">
        <f t="shared" si="6"/>
        <v>0</v>
      </c>
      <c r="Q36" s="13">
        <f t="shared" si="6"/>
        <v>0</v>
      </c>
      <c r="R36" s="13">
        <f t="shared" si="6"/>
        <v>0</v>
      </c>
      <c r="S36" s="13">
        <f t="shared" si="6"/>
        <v>0</v>
      </c>
      <c r="T36" s="13">
        <f t="shared" si="6"/>
        <v>0</v>
      </c>
      <c r="U36" s="13">
        <f t="shared" si="6"/>
        <v>0</v>
      </c>
      <c r="V36" s="13">
        <f t="shared" si="6"/>
        <v>0</v>
      </c>
      <c r="W36" s="13">
        <f t="shared" si="6"/>
        <v>0</v>
      </c>
      <c r="X36" s="13">
        <f t="shared" si="6"/>
        <v>0</v>
      </c>
      <c r="Y36" s="13">
        <f t="shared" si="6"/>
        <v>0</v>
      </c>
      <c r="Z36" s="13">
        <f t="shared" si="6"/>
        <v>0</v>
      </c>
      <c r="AA36" s="13">
        <f t="shared" si="6"/>
        <v>0</v>
      </c>
      <c r="AB36" s="13">
        <f t="shared" si="6"/>
        <v>0</v>
      </c>
      <c r="AC36" s="13">
        <f t="shared" si="6"/>
        <v>0</v>
      </c>
      <c r="AD36" s="13">
        <f t="shared" si="6"/>
        <v>0</v>
      </c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8"/>
    </row>
    <row r="37" spans="1:41" hidden="1" x14ac:dyDescent="0.25">
      <c r="B37" s="337" t="s">
        <v>69</v>
      </c>
      <c r="F37" s="95"/>
      <c r="G37" s="95"/>
      <c r="I37" s="13"/>
      <c r="J37" s="13"/>
      <c r="K37" s="13" t="e">
        <f>((K35*$D$4)+(K36*$C$4))</f>
        <v>#VALUE!</v>
      </c>
      <c r="L37" s="13" t="e">
        <f t="shared" ref="L37:AD37" si="7">((L35*$D$4)+(L36*$C$4))</f>
        <v>#VALUE!</v>
      </c>
      <c r="M37" s="13" t="e">
        <f t="shared" si="7"/>
        <v>#VALUE!</v>
      </c>
      <c r="N37" s="13" t="e">
        <f t="shared" si="7"/>
        <v>#VALUE!</v>
      </c>
      <c r="O37" s="13" t="e">
        <f t="shared" si="7"/>
        <v>#VALUE!</v>
      </c>
      <c r="P37" s="13" t="e">
        <f t="shared" si="7"/>
        <v>#VALUE!</v>
      </c>
      <c r="Q37" s="13" t="e">
        <f t="shared" si="7"/>
        <v>#VALUE!</v>
      </c>
      <c r="R37" s="13" t="e">
        <f t="shared" si="7"/>
        <v>#VALUE!</v>
      </c>
      <c r="S37" s="13" t="e">
        <f t="shared" si="7"/>
        <v>#VALUE!</v>
      </c>
      <c r="T37" s="13" t="e">
        <f t="shared" si="7"/>
        <v>#VALUE!</v>
      </c>
      <c r="U37" s="13" t="e">
        <f t="shared" si="7"/>
        <v>#VALUE!</v>
      </c>
      <c r="V37" s="13" t="e">
        <f t="shared" si="7"/>
        <v>#VALUE!</v>
      </c>
      <c r="W37" s="13" t="e">
        <f t="shared" si="7"/>
        <v>#VALUE!</v>
      </c>
      <c r="X37" s="13" t="e">
        <f t="shared" si="7"/>
        <v>#VALUE!</v>
      </c>
      <c r="Y37" s="13" t="e">
        <f t="shared" si="7"/>
        <v>#VALUE!</v>
      </c>
      <c r="Z37" s="13" t="e">
        <f t="shared" si="7"/>
        <v>#VALUE!</v>
      </c>
      <c r="AA37" s="13" t="e">
        <f t="shared" si="7"/>
        <v>#VALUE!</v>
      </c>
      <c r="AB37" s="13" t="e">
        <f t="shared" si="7"/>
        <v>#VALUE!</v>
      </c>
      <c r="AC37" s="13" t="e">
        <f t="shared" si="7"/>
        <v>#VALUE!</v>
      </c>
      <c r="AD37" s="13" t="e">
        <f t="shared" si="7"/>
        <v>#VALUE!</v>
      </c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8"/>
    </row>
    <row r="38" spans="1:41" hidden="1" x14ac:dyDescent="0.25">
      <c r="B38" s="337" t="s">
        <v>161</v>
      </c>
      <c r="C38" s="338"/>
      <c r="D38" s="338"/>
      <c r="E38" s="338"/>
      <c r="F38" s="95"/>
      <c r="G38" s="95"/>
      <c r="I38" s="13"/>
      <c r="J38" s="13"/>
      <c r="K38" s="344" t="e">
        <f>'Inputs Worksheet'!$D7*'Inputs Worksheet'!$E7*365*'Inputs Worksheet'!$D$58*'Inputs Worksheet'!$I20^('Inputs Worksheet'!$A$29-'Inputs Worksheet'!$A$3)/((1+$B$27)^K$27)</f>
        <v>#VALUE!</v>
      </c>
      <c r="L38" s="344" t="e">
        <f t="shared" ref="L38:AD38" si="8">K38*$AI$38/(1+$B$27)</f>
        <v>#VALUE!</v>
      </c>
      <c r="M38" s="344" t="e">
        <f t="shared" si="8"/>
        <v>#VALUE!</v>
      </c>
      <c r="N38" s="344" t="e">
        <f t="shared" si="8"/>
        <v>#VALUE!</v>
      </c>
      <c r="O38" s="344" t="e">
        <f t="shared" si="8"/>
        <v>#VALUE!</v>
      </c>
      <c r="P38" s="344" t="e">
        <f t="shared" si="8"/>
        <v>#VALUE!</v>
      </c>
      <c r="Q38" s="344" t="e">
        <f t="shared" si="8"/>
        <v>#VALUE!</v>
      </c>
      <c r="R38" s="344" t="e">
        <f t="shared" si="8"/>
        <v>#VALUE!</v>
      </c>
      <c r="S38" s="344" t="e">
        <f t="shared" si="8"/>
        <v>#VALUE!</v>
      </c>
      <c r="T38" s="344" t="e">
        <f t="shared" si="8"/>
        <v>#VALUE!</v>
      </c>
      <c r="U38" s="344" t="e">
        <f t="shared" si="8"/>
        <v>#VALUE!</v>
      </c>
      <c r="V38" s="344" t="e">
        <f t="shared" si="8"/>
        <v>#VALUE!</v>
      </c>
      <c r="W38" s="344" t="e">
        <f t="shared" si="8"/>
        <v>#VALUE!</v>
      </c>
      <c r="X38" s="344" t="e">
        <f t="shared" si="8"/>
        <v>#VALUE!</v>
      </c>
      <c r="Y38" s="344" t="e">
        <f t="shared" si="8"/>
        <v>#VALUE!</v>
      </c>
      <c r="Z38" s="344" t="e">
        <f t="shared" si="8"/>
        <v>#VALUE!</v>
      </c>
      <c r="AA38" s="344" t="e">
        <f t="shared" si="8"/>
        <v>#VALUE!</v>
      </c>
      <c r="AB38" s="344" t="e">
        <f t="shared" si="8"/>
        <v>#VALUE!</v>
      </c>
      <c r="AC38" s="344" t="e">
        <f t="shared" si="8"/>
        <v>#VALUE!</v>
      </c>
      <c r="AD38" s="344" t="e">
        <f t="shared" si="8"/>
        <v>#VALUE!</v>
      </c>
      <c r="AE38" s="13"/>
      <c r="AG38" s="342" t="s">
        <v>121</v>
      </c>
      <c r="AH38" s="13"/>
      <c r="AI38" s="407">
        <f>'Inputs Worksheet'!I20</f>
        <v>1.0101245902987583</v>
      </c>
      <c r="AJ38" s="13"/>
      <c r="AK38" s="13"/>
      <c r="AL38" s="13"/>
      <c r="AM38" s="13"/>
      <c r="AN38" s="13"/>
      <c r="AO38" s="8"/>
    </row>
    <row r="39" spans="1:41" hidden="1" x14ac:dyDescent="0.25">
      <c r="B39" s="88" t="s">
        <v>135</v>
      </c>
      <c r="F39" s="95"/>
      <c r="G39" s="95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8"/>
    </row>
    <row r="40" spans="1:41" hidden="1" x14ac:dyDescent="0.25">
      <c r="B40" s="194" t="s">
        <v>132</v>
      </c>
      <c r="F40" s="95"/>
      <c r="G40" s="95"/>
      <c r="I40" s="13"/>
      <c r="J40" s="13"/>
      <c r="K40" s="13">
        <f t="shared" ref="K40:AD40" si="9">N20/((1+$B$27)^K$27)</f>
        <v>0</v>
      </c>
      <c r="L40" s="13" t="e">
        <f t="shared" si="9"/>
        <v>#VALUE!</v>
      </c>
      <c r="M40" s="13" t="e">
        <f t="shared" si="9"/>
        <v>#VALUE!</v>
      </c>
      <c r="N40" s="13" t="e">
        <f t="shared" si="9"/>
        <v>#VALUE!</v>
      </c>
      <c r="O40" s="13" t="e">
        <f t="shared" si="9"/>
        <v>#VALUE!</v>
      </c>
      <c r="P40" s="13" t="e">
        <f t="shared" si="9"/>
        <v>#VALUE!</v>
      </c>
      <c r="Q40" s="13" t="e">
        <f t="shared" si="9"/>
        <v>#VALUE!</v>
      </c>
      <c r="R40" s="13" t="e">
        <f t="shared" si="9"/>
        <v>#VALUE!</v>
      </c>
      <c r="S40" s="13" t="e">
        <f t="shared" si="9"/>
        <v>#VALUE!</v>
      </c>
      <c r="T40" s="13" t="e">
        <f t="shared" si="9"/>
        <v>#VALUE!</v>
      </c>
      <c r="U40" s="13" t="e">
        <f t="shared" si="9"/>
        <v>#VALUE!</v>
      </c>
      <c r="V40" s="13" t="e">
        <f t="shared" si="9"/>
        <v>#VALUE!</v>
      </c>
      <c r="W40" s="13" t="e">
        <f t="shared" si="9"/>
        <v>#VALUE!</v>
      </c>
      <c r="X40" s="13" t="e">
        <f t="shared" si="9"/>
        <v>#VALUE!</v>
      </c>
      <c r="Y40" s="13" t="e">
        <f t="shared" si="9"/>
        <v>#VALUE!</v>
      </c>
      <c r="Z40" s="13" t="e">
        <f t="shared" si="9"/>
        <v>#VALUE!</v>
      </c>
      <c r="AA40" s="13" t="e">
        <f t="shared" si="9"/>
        <v>#VALUE!</v>
      </c>
      <c r="AB40" s="13" t="e">
        <f t="shared" si="9"/>
        <v>#VALUE!</v>
      </c>
      <c r="AC40" s="13" t="e">
        <f t="shared" si="9"/>
        <v>#VALUE!</v>
      </c>
      <c r="AD40" s="13" t="e">
        <f t="shared" si="9"/>
        <v>#VALUE!</v>
      </c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8"/>
    </row>
    <row r="41" spans="1:41" ht="17.100000000000001" hidden="1" customHeight="1" x14ac:dyDescent="0.25">
      <c r="B41" s="346" t="s">
        <v>133</v>
      </c>
      <c r="F41" s="95"/>
      <c r="G41" s="95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8"/>
    </row>
    <row r="42" spans="1:41" hidden="1" x14ac:dyDescent="0.25">
      <c r="B42" s="337" t="s">
        <v>134</v>
      </c>
      <c r="F42" s="95"/>
      <c r="G42" s="95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8"/>
    </row>
    <row r="43" spans="1:41" hidden="1" x14ac:dyDescent="0.25">
      <c r="B43" s="88" t="s">
        <v>2</v>
      </c>
      <c r="F43" s="93"/>
      <c r="G43" s="9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8"/>
      <c r="AM43" s="8"/>
      <c r="AN43" s="8"/>
      <c r="AO43" s="8"/>
    </row>
    <row r="44" spans="1:41" hidden="1" x14ac:dyDescent="0.25">
      <c r="B44" s="153" t="s">
        <v>162</v>
      </c>
      <c r="F44" s="9"/>
      <c r="G44" s="9"/>
      <c r="I44" s="13"/>
      <c r="J44" s="13"/>
      <c r="K44" s="13" t="e">
        <f t="shared" ref="K44:AD44" si="10">(CE4+CE12)/((1+$B$27)^K$27)</f>
        <v>#VALUE!</v>
      </c>
      <c r="L44" s="13" t="e">
        <f t="shared" si="10"/>
        <v>#VALUE!</v>
      </c>
      <c r="M44" s="13" t="e">
        <f t="shared" si="10"/>
        <v>#VALUE!</v>
      </c>
      <c r="N44" s="13" t="e">
        <f t="shared" si="10"/>
        <v>#VALUE!</v>
      </c>
      <c r="O44" s="13" t="e">
        <f t="shared" si="10"/>
        <v>#VALUE!</v>
      </c>
      <c r="P44" s="13" t="e">
        <f t="shared" si="10"/>
        <v>#VALUE!</v>
      </c>
      <c r="Q44" s="13" t="e">
        <f t="shared" si="10"/>
        <v>#VALUE!</v>
      </c>
      <c r="R44" s="13" t="e">
        <f t="shared" si="10"/>
        <v>#VALUE!</v>
      </c>
      <c r="S44" s="13" t="e">
        <f t="shared" si="10"/>
        <v>#VALUE!</v>
      </c>
      <c r="T44" s="13" t="e">
        <f t="shared" si="10"/>
        <v>#VALUE!</v>
      </c>
      <c r="U44" s="13" t="e">
        <f t="shared" si="10"/>
        <v>#VALUE!</v>
      </c>
      <c r="V44" s="13" t="e">
        <f t="shared" si="10"/>
        <v>#VALUE!</v>
      </c>
      <c r="W44" s="13" t="e">
        <f t="shared" si="10"/>
        <v>#VALUE!</v>
      </c>
      <c r="X44" s="13" t="e">
        <f t="shared" si="10"/>
        <v>#VALUE!</v>
      </c>
      <c r="Y44" s="13" t="e">
        <f t="shared" si="10"/>
        <v>#VALUE!</v>
      </c>
      <c r="Z44" s="13" t="e">
        <f t="shared" si="10"/>
        <v>#VALUE!</v>
      </c>
      <c r="AA44" s="13" t="e">
        <f t="shared" si="10"/>
        <v>#VALUE!</v>
      </c>
      <c r="AB44" s="13" t="e">
        <f t="shared" si="10"/>
        <v>#VALUE!</v>
      </c>
      <c r="AC44" s="13" t="e">
        <f t="shared" si="10"/>
        <v>#VALUE!</v>
      </c>
      <c r="AD44" s="13" t="e">
        <f t="shared" si="10"/>
        <v>#VALUE!</v>
      </c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8"/>
    </row>
    <row r="45" spans="1:41" hidden="1" x14ac:dyDescent="0.25">
      <c r="B45" s="153" t="s">
        <v>351</v>
      </c>
      <c r="C45" s="125"/>
      <c r="D45" s="125"/>
      <c r="E45" s="125"/>
      <c r="F45" s="9"/>
      <c r="G45" s="9"/>
      <c r="I45" s="13"/>
      <c r="J45" s="13"/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8"/>
    </row>
    <row r="46" spans="1:41" hidden="1" x14ac:dyDescent="0.25">
      <c r="B46" s="153" t="s">
        <v>164</v>
      </c>
      <c r="C46" s="125"/>
      <c r="D46" s="125"/>
      <c r="E46" s="125"/>
      <c r="F46" s="9"/>
      <c r="G46" s="9"/>
      <c r="I46" s="13"/>
      <c r="J46" s="13"/>
      <c r="K46" s="13">
        <f>('Inputs Worksheet'!DE55+'Inputs Worksheet'!DE65)/((1+'7% Discounting'!$B$27)^'7% Discounting'!K$27)</f>
        <v>0</v>
      </c>
      <c r="L46" s="13" t="e">
        <f>('Inputs Worksheet'!DF55+'Inputs Worksheet'!DF65)/((1+'7% Discounting'!$B$27)^'7% Discounting'!L$27)</f>
        <v>#VALUE!</v>
      </c>
      <c r="M46" s="13" t="e">
        <f>('Inputs Worksheet'!DG55+'Inputs Worksheet'!DG65)/((1+'7% Discounting'!$B$27)^'7% Discounting'!M$27)</f>
        <v>#VALUE!</v>
      </c>
      <c r="N46" s="13" t="e">
        <f>('Inputs Worksheet'!DH55+'Inputs Worksheet'!DH65)/((1+'7% Discounting'!$B$27)^'7% Discounting'!N$27)</f>
        <v>#VALUE!</v>
      </c>
      <c r="O46" s="13" t="e">
        <f>('Inputs Worksheet'!DI55+'Inputs Worksheet'!DI65)/((1+'7% Discounting'!$B$27)^'7% Discounting'!O$27)</f>
        <v>#VALUE!</v>
      </c>
      <c r="P46" s="13" t="e">
        <f>('Inputs Worksheet'!DJ55+'Inputs Worksheet'!DJ65)/((1+'7% Discounting'!$B$27)^'7% Discounting'!P$27)</f>
        <v>#VALUE!</v>
      </c>
      <c r="Q46" s="13" t="e">
        <f>('Inputs Worksheet'!DK55+'Inputs Worksheet'!DK65)/((1+'7% Discounting'!$B$27)^'7% Discounting'!Q$27)</f>
        <v>#VALUE!</v>
      </c>
      <c r="R46" s="13" t="e">
        <f>('Inputs Worksheet'!DL55+'Inputs Worksheet'!DL65)/((1+'7% Discounting'!$B$27)^'7% Discounting'!R$27)</f>
        <v>#VALUE!</v>
      </c>
      <c r="S46" s="13" t="e">
        <f>('Inputs Worksheet'!DM55+'Inputs Worksheet'!DM65)/((1+'7% Discounting'!$B$27)^'7% Discounting'!S$27)</f>
        <v>#VALUE!</v>
      </c>
      <c r="T46" s="13" t="e">
        <f>('Inputs Worksheet'!DN55+'Inputs Worksheet'!DN65)/((1+'7% Discounting'!$B$27)^'7% Discounting'!T$27)</f>
        <v>#VALUE!</v>
      </c>
      <c r="U46" s="13" t="e">
        <f>('Inputs Worksheet'!DO55+'Inputs Worksheet'!DO65)/((1+'7% Discounting'!$B$27)^'7% Discounting'!U$27)</f>
        <v>#VALUE!</v>
      </c>
      <c r="V46" s="13" t="e">
        <f>('Inputs Worksheet'!DP55+'Inputs Worksheet'!DP65)/((1+'7% Discounting'!$B$27)^'7% Discounting'!V$27)</f>
        <v>#VALUE!</v>
      </c>
      <c r="W46" s="13" t="e">
        <f>('Inputs Worksheet'!DQ55+'Inputs Worksheet'!DQ65)/((1+'7% Discounting'!$B$27)^'7% Discounting'!W$27)</f>
        <v>#VALUE!</v>
      </c>
      <c r="X46" s="13" t="e">
        <f>('Inputs Worksheet'!DR55+'Inputs Worksheet'!DR65)/((1+'7% Discounting'!$B$27)^'7% Discounting'!X$27)</f>
        <v>#VALUE!</v>
      </c>
      <c r="Y46" s="13" t="e">
        <f>('Inputs Worksheet'!DS55+'Inputs Worksheet'!DS65)/((1+'7% Discounting'!$B$27)^'7% Discounting'!Y$27)</f>
        <v>#VALUE!</v>
      </c>
      <c r="Z46" s="13" t="e">
        <f>('Inputs Worksheet'!DT55+'Inputs Worksheet'!DT65)/((1+'7% Discounting'!$B$27)^'7% Discounting'!Z$27)</f>
        <v>#VALUE!</v>
      </c>
      <c r="AA46" s="13" t="e">
        <f>('Inputs Worksheet'!DU55+'Inputs Worksheet'!DU65)/((1+'7% Discounting'!$B$27)^'7% Discounting'!AA$27)</f>
        <v>#VALUE!</v>
      </c>
      <c r="AB46" s="13" t="e">
        <f>('Inputs Worksheet'!DV55+'Inputs Worksheet'!DV65)/((1+'7% Discounting'!$B$27)^'7% Discounting'!AB$27)</f>
        <v>#VALUE!</v>
      </c>
      <c r="AC46" s="13" t="e">
        <f>('Inputs Worksheet'!DW55+'Inputs Worksheet'!DW65)/((1+'7% Discounting'!$B$27)^'7% Discounting'!AC$27)</f>
        <v>#VALUE!</v>
      </c>
      <c r="AD46" s="13" t="e">
        <f>('Inputs Worksheet'!DX55+'Inputs Worksheet'!DX65)/((1+'7% Discounting'!$B$27)^'7% Discounting'!AD$27)</f>
        <v>#VALUE!</v>
      </c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8"/>
    </row>
    <row r="47" spans="1:41" hidden="1" x14ac:dyDescent="0.25">
      <c r="B47" s="153" t="s">
        <v>165</v>
      </c>
      <c r="C47" s="125"/>
      <c r="D47" s="125"/>
      <c r="E47" s="125"/>
      <c r="F47" s="9"/>
      <c r="G47" s="9"/>
      <c r="I47" s="13"/>
      <c r="J47" s="13"/>
      <c r="K47" s="13">
        <f>('Inputs Worksheet'!CH55+'Inputs Worksheet'!CH65)/((1+'7% Discounting'!$B$27)^'7% Discounting'!K$27)</f>
        <v>0</v>
      </c>
      <c r="L47" s="13" t="e">
        <f>('Inputs Worksheet'!CI55+'Inputs Worksheet'!CI65)/((1+'7% Discounting'!$B$27)^'7% Discounting'!L$27)</f>
        <v>#VALUE!</v>
      </c>
      <c r="M47" s="13" t="e">
        <f>('Inputs Worksheet'!CJ55+'Inputs Worksheet'!CJ65)/((1+'7% Discounting'!$B$27)^'7% Discounting'!M$27)</f>
        <v>#VALUE!</v>
      </c>
      <c r="N47" s="13" t="e">
        <f>('Inputs Worksheet'!CK55+'Inputs Worksheet'!CK65)/((1+'7% Discounting'!$B$27)^'7% Discounting'!N$27)</f>
        <v>#VALUE!</v>
      </c>
      <c r="O47" s="13" t="e">
        <f>('Inputs Worksheet'!CL55+'Inputs Worksheet'!CL65)/((1+'7% Discounting'!$B$27)^'7% Discounting'!O$27)</f>
        <v>#VALUE!</v>
      </c>
      <c r="P47" s="13" t="e">
        <f>('Inputs Worksheet'!CM55+'Inputs Worksheet'!CM65)/((1+'7% Discounting'!$B$27)^'7% Discounting'!P$27)</f>
        <v>#VALUE!</v>
      </c>
      <c r="Q47" s="13" t="e">
        <f>('Inputs Worksheet'!CN55+'Inputs Worksheet'!CN65)/((1+'7% Discounting'!$B$27)^'7% Discounting'!Q$27)</f>
        <v>#VALUE!</v>
      </c>
      <c r="R47" s="13" t="e">
        <f>('Inputs Worksheet'!CO55+'Inputs Worksheet'!CO65)/((1+'7% Discounting'!$B$27)^'7% Discounting'!R$27)</f>
        <v>#VALUE!</v>
      </c>
      <c r="S47" s="13" t="e">
        <f>('Inputs Worksheet'!CP55+'Inputs Worksheet'!CP65)/((1+'7% Discounting'!$B$27)^'7% Discounting'!S$27)</f>
        <v>#VALUE!</v>
      </c>
      <c r="T47" s="13" t="e">
        <f>('Inputs Worksheet'!CQ55+'Inputs Worksheet'!CQ65)/((1+'7% Discounting'!$B$27)^'7% Discounting'!T$27)</f>
        <v>#VALUE!</v>
      </c>
      <c r="U47" s="13" t="e">
        <f>('Inputs Worksheet'!CR55+'Inputs Worksheet'!CR65)/((1+'7% Discounting'!$B$27)^'7% Discounting'!U$27)</f>
        <v>#VALUE!</v>
      </c>
      <c r="V47" s="13" t="e">
        <f>('Inputs Worksheet'!CS55+'Inputs Worksheet'!CS65)/((1+'7% Discounting'!$B$27)^'7% Discounting'!V$27)</f>
        <v>#VALUE!</v>
      </c>
      <c r="W47" s="13" t="e">
        <f>('Inputs Worksheet'!CT55+'Inputs Worksheet'!CT65)/((1+'7% Discounting'!$B$27)^'7% Discounting'!W$27)</f>
        <v>#VALUE!</v>
      </c>
      <c r="X47" s="13" t="e">
        <f>('Inputs Worksheet'!CU55+'Inputs Worksheet'!CU65)/((1+'7% Discounting'!$B$27)^'7% Discounting'!X$27)</f>
        <v>#VALUE!</v>
      </c>
      <c r="Y47" s="13" t="e">
        <f>('Inputs Worksheet'!CV55+'Inputs Worksheet'!CV65)/((1+'7% Discounting'!$B$27)^'7% Discounting'!Y$27)</f>
        <v>#VALUE!</v>
      </c>
      <c r="Z47" s="13" t="e">
        <f>('Inputs Worksheet'!CW55+'Inputs Worksheet'!CW65)/((1+'7% Discounting'!$B$27)^'7% Discounting'!Z$27)</f>
        <v>#VALUE!</v>
      </c>
      <c r="AA47" s="13" t="e">
        <f>('Inputs Worksheet'!CX55+'Inputs Worksheet'!CX65)/((1+'7% Discounting'!$B$27)^'7% Discounting'!AA$27)</f>
        <v>#VALUE!</v>
      </c>
      <c r="AB47" s="13" t="e">
        <f>('Inputs Worksheet'!CY55+'Inputs Worksheet'!CY65)/((1+'7% Discounting'!$B$27)^'7% Discounting'!AB$27)</f>
        <v>#VALUE!</v>
      </c>
      <c r="AC47" s="13" t="e">
        <f>('Inputs Worksheet'!CZ55+'Inputs Worksheet'!CZ65)/((1+'7% Discounting'!$B$27)^'7% Discounting'!AC$27)</f>
        <v>#VALUE!</v>
      </c>
      <c r="AD47" s="13" t="e">
        <f>('Inputs Worksheet'!DA55+'Inputs Worksheet'!DA65)/((1+'7% Discounting'!$B$27)^'7% Discounting'!AD$27)</f>
        <v>#VALUE!</v>
      </c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8"/>
    </row>
    <row r="48" spans="1:41" s="125" customFormat="1" hidden="1" x14ac:dyDescent="0.25">
      <c r="A48" s="123"/>
      <c r="B48" s="153" t="s">
        <v>166</v>
      </c>
      <c r="C48" s="20"/>
      <c r="D48" s="20"/>
      <c r="E48" s="20"/>
      <c r="F48" s="124"/>
      <c r="G48" s="124"/>
      <c r="I48" s="13"/>
      <c r="J48" s="13"/>
      <c r="K48" s="13">
        <f t="shared" ref="K48:AD48" si="11">(AK4+AK12)/((1+$B$20)^K$27)</f>
        <v>0</v>
      </c>
      <c r="L48" s="13" t="e">
        <f t="shared" si="11"/>
        <v>#VALUE!</v>
      </c>
      <c r="M48" s="13" t="e">
        <f t="shared" si="11"/>
        <v>#VALUE!</v>
      </c>
      <c r="N48" s="13" t="e">
        <f t="shared" si="11"/>
        <v>#VALUE!</v>
      </c>
      <c r="O48" s="13" t="e">
        <f t="shared" si="11"/>
        <v>#VALUE!</v>
      </c>
      <c r="P48" s="13" t="e">
        <f t="shared" si="11"/>
        <v>#VALUE!</v>
      </c>
      <c r="Q48" s="13" t="e">
        <f t="shared" si="11"/>
        <v>#VALUE!</v>
      </c>
      <c r="R48" s="13" t="e">
        <f t="shared" si="11"/>
        <v>#VALUE!</v>
      </c>
      <c r="S48" s="13" t="e">
        <f t="shared" si="11"/>
        <v>#VALUE!</v>
      </c>
      <c r="T48" s="13" t="e">
        <f t="shared" si="11"/>
        <v>#VALUE!</v>
      </c>
      <c r="U48" s="13" t="e">
        <f t="shared" si="11"/>
        <v>#VALUE!</v>
      </c>
      <c r="V48" s="13" t="e">
        <f t="shared" si="11"/>
        <v>#VALUE!</v>
      </c>
      <c r="W48" s="13" t="e">
        <f t="shared" si="11"/>
        <v>#VALUE!</v>
      </c>
      <c r="X48" s="13" t="e">
        <f t="shared" si="11"/>
        <v>#VALUE!</v>
      </c>
      <c r="Y48" s="13" t="e">
        <f t="shared" si="11"/>
        <v>#VALUE!</v>
      </c>
      <c r="Z48" s="13" t="e">
        <f t="shared" si="11"/>
        <v>#VALUE!</v>
      </c>
      <c r="AA48" s="13" t="e">
        <f t="shared" si="11"/>
        <v>#VALUE!</v>
      </c>
      <c r="AB48" s="13" t="e">
        <f t="shared" si="11"/>
        <v>#VALUE!</v>
      </c>
      <c r="AC48" s="13" t="e">
        <f t="shared" si="11"/>
        <v>#VALUE!</v>
      </c>
      <c r="AD48" s="13" t="e">
        <f t="shared" si="11"/>
        <v>#VALUE!</v>
      </c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8"/>
    </row>
    <row r="49" spans="1:41" s="125" customFormat="1" hidden="1" x14ac:dyDescent="0.25">
      <c r="A49" s="123"/>
      <c r="B49" s="153" t="s">
        <v>202</v>
      </c>
      <c r="C49" s="20"/>
      <c r="D49" s="20"/>
      <c r="E49" s="20"/>
      <c r="F49" s="124"/>
      <c r="G49" s="124"/>
      <c r="H49" s="562"/>
      <c r="I49" s="13"/>
      <c r="J49" s="13"/>
      <c r="K49" s="13" t="e">
        <f>-('Inputs Worksheet'!$N$47*#REF!/2)/((1+$B$27)^K$27)-('Inputs Worksheet'!$C$7*'Inputs Worksheet'!$E$7*('Inputs Worksheet'!$E$20^('Inputs Worksheet'!$A$29-'Inputs Worksheet'!$A$3+K$28))*365*'Inputs Worksheet'!$O$57*'Inputs Worksheet'!$N$43/((1+$B$27)^K$27))</f>
        <v>#REF!</v>
      </c>
      <c r="L49" s="13" t="e">
        <f>-('Inputs Worksheet'!$N$47*#REF!/2)/((1+$B$27)^L$27)-('Inputs Worksheet'!$C$7*'Inputs Worksheet'!$E$7*('Inputs Worksheet'!$E$20^('Inputs Worksheet'!$A$29-'Inputs Worksheet'!$A$3+L$28))*365*'Inputs Worksheet'!$O$57*'Inputs Worksheet'!$N$43/((1+$B$27)^L$27))</f>
        <v>#REF!</v>
      </c>
      <c r="M49" s="13" t="e">
        <f>-('Inputs Worksheet'!$N$47*#REF!/2)/((1+$B$27)^M$27)-('Inputs Worksheet'!$C$7*'Inputs Worksheet'!$E$7*('Inputs Worksheet'!$E$20^('Inputs Worksheet'!$A$29-'Inputs Worksheet'!$A$3+M$28))*365*'Inputs Worksheet'!$O$57*'Inputs Worksheet'!$N$43/((1+$B$27)^M$27))</f>
        <v>#REF!</v>
      </c>
      <c r="N49" s="13" t="e">
        <f>-('Inputs Worksheet'!$N$47*#REF!/2)/((1+$B$27)^N$27)-('Inputs Worksheet'!$C$7*'Inputs Worksheet'!$E$7*('Inputs Worksheet'!$E$20^('Inputs Worksheet'!$A$29-'Inputs Worksheet'!$A$3+N$28))*365*'Inputs Worksheet'!$O$57*'Inputs Worksheet'!$N$43/((1+$B$27)^N$27))</f>
        <v>#REF!</v>
      </c>
      <c r="O49" s="13" t="e">
        <f>-('Inputs Worksheet'!$N$47*#REF!/2)/((1+$B$27)^O$27)-('Inputs Worksheet'!$C$7*'Inputs Worksheet'!$E$7*('Inputs Worksheet'!$E$20^('Inputs Worksheet'!$A$29-'Inputs Worksheet'!$A$3+O$28))*365*'Inputs Worksheet'!$O$57*'Inputs Worksheet'!$N$43/((1+$B$27)^O$27))</f>
        <v>#REF!</v>
      </c>
      <c r="P49" s="13" t="e">
        <f>-('Inputs Worksheet'!$N$47*#REF!/2)/((1+$B$27)^P$27)-('Inputs Worksheet'!$C$7*'Inputs Worksheet'!$E$7*('Inputs Worksheet'!$E$20^('Inputs Worksheet'!$A$29-'Inputs Worksheet'!$A$3+P$28))*365*'Inputs Worksheet'!$O$57*'Inputs Worksheet'!$N$43/((1+$B$27)^P$27))</f>
        <v>#REF!</v>
      </c>
      <c r="Q49" s="13" t="e">
        <f>-('Inputs Worksheet'!$N$47*#REF!/2)/((1+$B$27)^Q$27)-('Inputs Worksheet'!$C$7*'Inputs Worksheet'!$E$7*('Inputs Worksheet'!$E$20^('Inputs Worksheet'!$A$29-'Inputs Worksheet'!$A$3+Q$28))*365*'Inputs Worksheet'!$O$57*'Inputs Worksheet'!$N$43/((1+$B$27)^Q$27))</f>
        <v>#REF!</v>
      </c>
      <c r="R49" s="13" t="e">
        <f>-('Inputs Worksheet'!$N$47*#REF!/2)/((1+$B$27)^R$27)-('Inputs Worksheet'!$C$7*'Inputs Worksheet'!$E$7*('Inputs Worksheet'!$E$20^('Inputs Worksheet'!$A$29-'Inputs Worksheet'!$A$3+R$28))*365*'Inputs Worksheet'!$O$57*'Inputs Worksheet'!$N$43/((1+$B$27)^R$27))</f>
        <v>#REF!</v>
      </c>
      <c r="S49" s="13" t="e">
        <f>-('Inputs Worksheet'!$N$47*#REF!/2)/((1+$B$27)^S$27)-('Inputs Worksheet'!$C$7*'Inputs Worksheet'!$E$7*('Inputs Worksheet'!$E$20^('Inputs Worksheet'!$A$29-'Inputs Worksheet'!$A$3+S$28))*365*'Inputs Worksheet'!$O$57*'Inputs Worksheet'!$N$43/((1+$B$27)^S$27))</f>
        <v>#REF!</v>
      </c>
      <c r="T49" s="13" t="e">
        <f>-('Inputs Worksheet'!$N$47*#REF!/2)/((1+$B$27)^T$27)-('Inputs Worksheet'!$C$7*'Inputs Worksheet'!$E$7*('Inputs Worksheet'!$E$20^('Inputs Worksheet'!$A$29-'Inputs Worksheet'!$A$3+T$28))*365*'Inputs Worksheet'!$O$57*'Inputs Worksheet'!$N$43/((1+$B$27)^T$27))</f>
        <v>#REF!</v>
      </c>
      <c r="U49" s="13" t="e">
        <f>-('Inputs Worksheet'!$N$47*#REF!/2)/((1+$B$27)^U$27)-('Inputs Worksheet'!$C$7*'Inputs Worksheet'!$E$7*('Inputs Worksheet'!$E$20^('Inputs Worksheet'!$A$29-'Inputs Worksheet'!$A$3+U$28))*365*'Inputs Worksheet'!$O$57*'Inputs Worksheet'!$N$43/((1+$B$27)^U$27))</f>
        <v>#REF!</v>
      </c>
      <c r="V49" s="13" t="e">
        <f>-('Inputs Worksheet'!$N$47*#REF!/2)/((1+$B$27)^V$27)-('Inputs Worksheet'!$C$7*'Inputs Worksheet'!$E$7*('Inputs Worksheet'!$E$20^('Inputs Worksheet'!$A$29-'Inputs Worksheet'!$A$3+V$28))*365*'Inputs Worksheet'!$O$57*'Inputs Worksheet'!$N$43/((1+$B$27)^V$27))</f>
        <v>#REF!</v>
      </c>
      <c r="W49" s="13" t="e">
        <f>-('Inputs Worksheet'!$N$47*#REF!/2)/((1+$B$27)^W$27)-('Inputs Worksheet'!$C$7*'Inputs Worksheet'!$E$7*('Inputs Worksheet'!$E$20^('Inputs Worksheet'!$A$29-'Inputs Worksheet'!$A$3+W$28))*365*'Inputs Worksheet'!$O$57*'Inputs Worksheet'!$N$43/((1+$B$27)^W$27))</f>
        <v>#REF!</v>
      </c>
      <c r="X49" s="13" t="e">
        <f>-('Inputs Worksheet'!$N$47*#REF!/2)/((1+$B$27)^X$27)-('Inputs Worksheet'!$C$7*'Inputs Worksheet'!$E$7*('Inputs Worksheet'!$E$20^('Inputs Worksheet'!$A$29-'Inputs Worksheet'!$A$3+X$28))*365*'Inputs Worksheet'!$O$57*'Inputs Worksheet'!$N$43/((1+$B$27)^X$27))</f>
        <v>#REF!</v>
      </c>
      <c r="Y49" s="13" t="e">
        <f>-('Inputs Worksheet'!$N$47*#REF!/2)/((1+$B$27)^Y$27)-('Inputs Worksheet'!$C$7*'Inputs Worksheet'!$E$7*('Inputs Worksheet'!$E$20^('Inputs Worksheet'!$A$29-'Inputs Worksheet'!$A$3+Y$28))*365*'Inputs Worksheet'!$O$57*'Inputs Worksheet'!$N$43/((1+$B$27)^Y$27))</f>
        <v>#REF!</v>
      </c>
      <c r="Z49" s="13" t="e">
        <f>-('Inputs Worksheet'!$N$47*#REF!/2)/((1+$B$27)^Z$27)-('Inputs Worksheet'!$C$7*'Inputs Worksheet'!$E$7*('Inputs Worksheet'!$E$20^('Inputs Worksheet'!$A$29-'Inputs Worksheet'!$A$3+Z$28))*365*'Inputs Worksheet'!$O$57*'Inputs Worksheet'!$N$43/((1+$B$27)^Z$27))</f>
        <v>#REF!</v>
      </c>
      <c r="AA49" s="13" t="e">
        <f>-('Inputs Worksheet'!$N$47*#REF!/2)/((1+$B$27)^AA$27)-('Inputs Worksheet'!$C$7*'Inputs Worksheet'!$E$7*('Inputs Worksheet'!$E$20^('Inputs Worksheet'!$A$29-'Inputs Worksheet'!$A$3+AA$28))*365*'Inputs Worksheet'!$O$57*'Inputs Worksheet'!$N$43/((1+$B$27)^AA$27))</f>
        <v>#REF!</v>
      </c>
      <c r="AB49" s="13" t="e">
        <f>-('Inputs Worksheet'!$N$47*#REF!/2)/((1+$B$27)^AB$27)-('Inputs Worksheet'!$C$7*'Inputs Worksheet'!$E$7*('Inputs Worksheet'!$E$20^('Inputs Worksheet'!$A$29-'Inputs Worksheet'!$A$3+AB$28))*365*'Inputs Worksheet'!$O$57*'Inputs Worksheet'!$N$43/((1+$B$27)^AB$27))</f>
        <v>#REF!</v>
      </c>
      <c r="AC49" s="13" t="e">
        <f>-('Inputs Worksheet'!$N$47*#REF!/2)/((1+$B$27)^AC$27)-('Inputs Worksheet'!$C$7*'Inputs Worksheet'!$E$7*('Inputs Worksheet'!$E$20^('Inputs Worksheet'!$A$29-'Inputs Worksheet'!$A$3+AC$28))*365*'Inputs Worksheet'!$O$57*'Inputs Worksheet'!$N$43/((1+$B$27)^AC$27))</f>
        <v>#REF!</v>
      </c>
      <c r="AD49" s="13" t="e">
        <f>-('Inputs Worksheet'!$N$47*#REF!/2)/((1+$B$27)^AD$27)-('Inputs Worksheet'!$C$7*'Inputs Worksheet'!$E$7*('Inputs Worksheet'!$E$20^('Inputs Worksheet'!$A$29-'Inputs Worksheet'!$A$3+AD$28))*365*'Inputs Worksheet'!$O$57*'Inputs Worksheet'!$N$43/((1+$B$27)^AD$27))</f>
        <v>#REF!</v>
      </c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8"/>
    </row>
    <row r="50" spans="1:41" hidden="1" x14ac:dyDescent="0.25">
      <c r="B50" s="88" t="s">
        <v>3</v>
      </c>
      <c r="F50" s="2"/>
      <c r="G50" s="2"/>
      <c r="I50" s="5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3"/>
      <c r="AF50" s="13"/>
      <c r="AG50" s="13"/>
      <c r="AH50" s="13"/>
      <c r="AI50" s="13"/>
      <c r="AJ50" s="13"/>
      <c r="AK50" s="13"/>
      <c r="AL50" s="8"/>
      <c r="AM50" s="8"/>
      <c r="AN50" s="8"/>
      <c r="AO50"/>
    </row>
    <row r="51" spans="1:41" hidden="1" x14ac:dyDescent="0.25">
      <c r="B51" s="462" t="s">
        <v>246</v>
      </c>
      <c r="G51" s="2"/>
      <c r="H51" s="563"/>
      <c r="I51"/>
      <c r="J51" s="10"/>
      <c r="K51" s="263">
        <f>((($E$9*$E4+$F$9*$F4+$G$9*$G4+$H$9*$H4+$I$9*$I4))+(($J$9*$J4)))*'Inputs Worksheet'!$I$20^('Inputs Worksheet'!$A$29-'Inputs Worksheet'!$A$3+K$28)/((1+$B$27)^K$27)</f>
        <v>0</v>
      </c>
      <c r="L51" s="263">
        <f>((($E$9*$E4+$F$9*$F4+$G$9*$G4+$H$9*$H4+$I$9*$I4))+(($J$9*$J4)))*'Inputs Worksheet'!$I$20^('Inputs Worksheet'!$A$29-'Inputs Worksheet'!$A$3+L$28)/((1+$B$27)^L$27)</f>
        <v>0</v>
      </c>
      <c r="M51" s="263">
        <f>((($E$9*$E4+$F$9*$F4+$G$9*$G4+$H$9*$H4+$I$9*$I4))+(($J$9*$J4)))*'Inputs Worksheet'!$I$20^('Inputs Worksheet'!$A$29-'Inputs Worksheet'!$A$3+M$28)/((1+$B$27)^M$27)</f>
        <v>0</v>
      </c>
      <c r="N51" s="263">
        <f>((($E$9*$E4+$F$9*$F4+$G$9*$G4+$H$9*$H4+$I$9*$I4))+(($J$9*$J4)))*'Inputs Worksheet'!$I$20^('Inputs Worksheet'!$A$29-'Inputs Worksheet'!$A$3+N$28)/((1+$B$27)^N$27)</f>
        <v>0</v>
      </c>
      <c r="O51" s="263">
        <f>((($E$9*$E4+$F$9*$F4+$G$9*$G4+$H$9*$H4+$I$9*$I4))+(($J$9*$J4)))*'Inputs Worksheet'!$I$20^('Inputs Worksheet'!$A$29-'Inputs Worksheet'!$A$3+O$28)/((1+$B$27)^O$27)</f>
        <v>0</v>
      </c>
      <c r="P51" s="263">
        <f>((($E$9*$E4+$F$9*$F4+$G$9*$G4+$H$9*$H4+$I$9*$I4))+(($J$9*$J4)))*'Inputs Worksheet'!$I$20^('Inputs Worksheet'!$A$29-'Inputs Worksheet'!$A$3+P$28)/((1+$B$27)^P$27)</f>
        <v>0</v>
      </c>
      <c r="Q51" s="263">
        <f>((($E$9*$E4+$F$9*$F4+$G$9*$G4+$H$9*$H4+$I$9*$I4))+(($J$9*$J4)))*'Inputs Worksheet'!$I$20^('Inputs Worksheet'!$A$29-'Inputs Worksheet'!$A$3+Q$28)/((1+$B$27)^Q$27)</f>
        <v>0</v>
      </c>
      <c r="R51" s="263">
        <f>((($E$9*$E4+$F$9*$F4+$G$9*$G4+$H$9*$H4+$I$9*$I4))+(($J$9*$J4)))*'Inputs Worksheet'!$I$20^('Inputs Worksheet'!$A$29-'Inputs Worksheet'!$A$3+R$28)/((1+$B$27)^R$27)</f>
        <v>0</v>
      </c>
      <c r="S51" s="263">
        <f>((($E$9*$E4+$F$9*$F4+$G$9*$G4+$H$9*$H4+$I$9*$I4))+(($J$9*$J4)))*'Inputs Worksheet'!$I$20^('Inputs Worksheet'!$A$29-'Inputs Worksheet'!$A$3+S$28)/((1+$B$27)^S$27)</f>
        <v>0</v>
      </c>
      <c r="T51" s="263">
        <f>((($E$9*$E4+$F$9*$F4+$G$9*$G4+$H$9*$H4+$I$9*$I4))+(($J$9*$J4)))*'Inputs Worksheet'!$I$20^('Inputs Worksheet'!$A$29-'Inputs Worksheet'!$A$3+T$28)/((1+$B$27)^T$27)</f>
        <v>0</v>
      </c>
      <c r="U51" s="263">
        <f>((($E$9*$E4+$F$9*$F4+$G$9*$G4+$H$9*$H4+$I$9*$I4))+(($J$9*$J4)))*'Inputs Worksheet'!$I$20^('Inputs Worksheet'!$A$29-'Inputs Worksheet'!$A$3+U$28)/((1+$B$27)^U$27)</f>
        <v>0</v>
      </c>
      <c r="V51" s="263">
        <f>((($E$9*$E4+$F$9*$F4+$G$9*$G4+$H$9*$H4+$I$9*$I4))+(($J$9*$J4)))*'Inputs Worksheet'!$I$20^('Inputs Worksheet'!$A$29-'Inputs Worksheet'!$A$3+V$28)/((1+$B$27)^V$27)</f>
        <v>0</v>
      </c>
      <c r="W51" s="263">
        <f>((($E$9*$E4+$F$9*$F4+$G$9*$G4+$H$9*$H4+$I$9*$I4))+(($J$9*$J4)))*'Inputs Worksheet'!$I$20^('Inputs Worksheet'!$A$29-'Inputs Worksheet'!$A$3+W$28)/((1+$B$27)^W$27)</f>
        <v>0</v>
      </c>
      <c r="X51" s="263">
        <f>((($E$9*$E4+$F$9*$F4+$G$9*$G4+$H$9*$H4+$I$9*$I4))+(($J$9*$J4)))*'Inputs Worksheet'!$I$20^('Inputs Worksheet'!$A$29-'Inputs Worksheet'!$A$3+X$28)/((1+$B$27)^X$27)</f>
        <v>0</v>
      </c>
      <c r="Y51" s="263">
        <f>((($E$9*$E4+$F$9*$F4+$G$9*$G4+$H$9*$H4+$I$9*$I4))+(($J$9*$J4)))*'Inputs Worksheet'!$I$20^('Inputs Worksheet'!$A$29-'Inputs Worksheet'!$A$3+Y$28)/((1+$B$27)^Y$27)</f>
        <v>0</v>
      </c>
      <c r="Z51" s="263">
        <f>((($E$9*$E4+$F$9*$F4+$G$9*$G4+$H$9*$H4+$I$9*$I4))+(($J$9*$J4)))*'Inputs Worksheet'!$I$20^('Inputs Worksheet'!$A$29-'Inputs Worksheet'!$A$3+Z$28)/((1+$B$27)^Z$27)</f>
        <v>0</v>
      </c>
      <c r="AA51" s="263">
        <f>((($E$9*$E4+$F$9*$F4+$G$9*$G4+$H$9*$H4+$I$9*$I4))+(($J$9*$J4)))*'Inputs Worksheet'!$I$20^('Inputs Worksheet'!$A$29-'Inputs Worksheet'!$A$3+AA$28)/((1+$B$27)^AA$27)</f>
        <v>0</v>
      </c>
      <c r="AB51" s="263">
        <f>((($E$9*$E4+$F$9*$F4+$G$9*$G4+$H$9*$H4+$I$9*$I4))+(($J$9*$J4)))*'Inputs Worksheet'!$I$20^('Inputs Worksheet'!$A$29-'Inputs Worksheet'!$A$3+AB$28)/((1+$B$27)^AB$27)</f>
        <v>0</v>
      </c>
      <c r="AC51" s="263">
        <f>((($E$9*$E4+$F$9*$F4+$G$9*$G4+$H$9*$H4+$I$9*$I4))+(($J$9*$J4)))*'Inputs Worksheet'!$I$20^('Inputs Worksheet'!$A$29-'Inputs Worksheet'!$A$3+AC$28)/((1+$B$27)^AC$27)</f>
        <v>0</v>
      </c>
      <c r="AD51" s="263">
        <f>((($E$9*$E4+$F$9*$F4+$G$9*$G4+$H$9*$H4+$I$9*$I4))+(($J$9*$J4)))*'Inputs Worksheet'!$I$20^('Inputs Worksheet'!$A$29-'Inputs Worksheet'!$A$3+AD$28)/((1+$B$27)^AD$27)</f>
        <v>0</v>
      </c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8"/>
    </row>
    <row r="52" spans="1:41" ht="18" hidden="1" customHeight="1" x14ac:dyDescent="0.35">
      <c r="B52" s="88" t="s">
        <v>13</v>
      </c>
      <c r="F52" s="242"/>
      <c r="G52" s="243"/>
      <c r="H52" s="238"/>
      <c r="I52" s="239"/>
      <c r="J52" s="240"/>
      <c r="K52" s="10"/>
      <c r="L52" s="10"/>
      <c r="M52" s="10"/>
      <c r="N52" s="10"/>
      <c r="O52" s="240"/>
      <c r="P52" s="240"/>
      <c r="Q52" s="240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/>
      <c r="AM52"/>
      <c r="AN52"/>
      <c r="AO52"/>
    </row>
    <row r="53" spans="1:41" ht="18" hidden="1" customHeight="1" x14ac:dyDescent="0.35">
      <c r="B53" s="88" t="s">
        <v>169</v>
      </c>
      <c r="F53" s="242"/>
      <c r="G53" s="243"/>
      <c r="H53" s="238"/>
      <c r="I53" s="239"/>
      <c r="J53" s="240"/>
      <c r="K53" s="10"/>
      <c r="L53" s="10"/>
      <c r="M53" s="10"/>
      <c r="N53" s="10"/>
      <c r="O53" s="239"/>
      <c r="P53" s="239"/>
      <c r="Q53" s="239"/>
      <c r="R53" s="5"/>
      <c r="S53" s="5"/>
      <c r="T53" s="5"/>
      <c r="V53" s="5"/>
      <c r="W53" s="5"/>
      <c r="X53" s="5"/>
      <c r="Y53" s="5"/>
      <c r="Z53" s="5"/>
      <c r="AA53" s="5"/>
      <c r="AB53" s="5"/>
      <c r="AC53" s="5"/>
      <c r="AD53" s="13" t="e">
        <f>#REF!/((1+$B$27)^AD$27)</f>
        <v>#REF!</v>
      </c>
      <c r="AE53" s="5"/>
      <c r="AF53" s="5"/>
      <c r="AG53" s="5"/>
      <c r="AH53" s="5"/>
      <c r="AI53" s="5"/>
      <c r="AJ53" s="5"/>
      <c r="AK53" s="5"/>
      <c r="AL53"/>
      <c r="AM53"/>
      <c r="AN53" s="11"/>
      <c r="AO53"/>
    </row>
    <row r="54" spans="1:41" ht="20.100000000000001" hidden="1" customHeight="1" x14ac:dyDescent="0.35">
      <c r="B54" s="86" t="s">
        <v>88</v>
      </c>
      <c r="F54" s="242"/>
      <c r="G54" s="243"/>
      <c r="H54" s="238"/>
      <c r="I54" s="239"/>
      <c r="J54" s="239"/>
      <c r="K54" s="241"/>
      <c r="L54" s="10"/>
      <c r="M54" s="10"/>
      <c r="N54" s="10"/>
      <c r="O54" s="239"/>
      <c r="P54" s="239"/>
      <c r="Q54" s="239"/>
      <c r="R54" s="5"/>
      <c r="S54" s="5"/>
      <c r="T54" s="5"/>
      <c r="V54" s="5"/>
      <c r="W54" s="5"/>
      <c r="X54" s="5"/>
      <c r="Y54" s="5"/>
      <c r="Z54" s="5"/>
      <c r="AA54" s="5"/>
      <c r="AB54" s="5"/>
      <c r="AC54" s="5"/>
      <c r="AD54" s="13"/>
      <c r="AE54" s="5"/>
      <c r="AF54" s="5"/>
      <c r="AG54" s="5"/>
      <c r="AH54" s="5"/>
      <c r="AI54" s="5"/>
      <c r="AJ54" s="5"/>
      <c r="AK54" s="5"/>
      <c r="AL54"/>
      <c r="AM54"/>
      <c r="AN54" s="11"/>
      <c r="AO54"/>
    </row>
    <row r="55" spans="1:41" ht="20.100000000000001" hidden="1" customHeight="1" x14ac:dyDescent="0.35">
      <c r="B55" s="380" t="s">
        <v>86</v>
      </c>
      <c r="F55" s="234"/>
      <c r="G55" s="236"/>
      <c r="H55" s="244"/>
      <c r="I55" s="239"/>
      <c r="J55" s="239"/>
      <c r="K55" s="343" t="e">
        <f>-#REF!*'Inputs Worksheet'!$N$41/((1+$B$27)^K27)</f>
        <v>#REF!</v>
      </c>
      <c r="L55" s="343" t="e">
        <f>-#REF!*'Inputs Worksheet'!$N$41/((1+$B$27)^L27)</f>
        <v>#REF!</v>
      </c>
      <c r="M55" s="343" t="e">
        <f>-#REF!*'Inputs Worksheet'!$N$41/((1+$B$27)^M27)</f>
        <v>#REF!</v>
      </c>
      <c r="N55" s="343" t="e">
        <f>-#REF!*'Inputs Worksheet'!$N$41/((1+$B$27)^N27)</f>
        <v>#REF!</v>
      </c>
      <c r="O55" s="343" t="e">
        <f>-#REF!*'Inputs Worksheet'!$N$41/((1+$B$27)^O27)</f>
        <v>#REF!</v>
      </c>
      <c r="P55" s="343" t="e">
        <f>-#REF!*'Inputs Worksheet'!$N$41/((1+$B$27)^P27)</f>
        <v>#REF!</v>
      </c>
      <c r="Q55" s="343" t="e">
        <f>-#REF!*'Inputs Worksheet'!$N$41/((1+$B$27)^Q27)</f>
        <v>#REF!</v>
      </c>
      <c r="R55" s="343" t="e">
        <f>-#REF!*'Inputs Worksheet'!$N$41/((1+$B$27)^R27)</f>
        <v>#REF!</v>
      </c>
      <c r="S55" s="343" t="e">
        <f>-#REF!*'Inputs Worksheet'!$N$41/((1+$B$27)^S27)</f>
        <v>#REF!</v>
      </c>
      <c r="T55" s="343" t="e">
        <f>-#REF!*'Inputs Worksheet'!$N$41/((1+$B$27)^T27)</f>
        <v>#REF!</v>
      </c>
      <c r="U55" s="343" t="e">
        <f>-#REF!*'Inputs Worksheet'!$N$41/((1+$B$27)^U27)</f>
        <v>#REF!</v>
      </c>
      <c r="V55" s="343" t="e">
        <f>-#REF!*'Inputs Worksheet'!$N$41/((1+$B$27)^V27)</f>
        <v>#REF!</v>
      </c>
      <c r="W55" s="343" t="e">
        <f>-#REF!*'Inputs Worksheet'!$N$41/((1+$B$27)^W27)</f>
        <v>#REF!</v>
      </c>
      <c r="X55" s="343" t="e">
        <f>-#REF!*'Inputs Worksheet'!$N$41/((1+$B$27)^X27)</f>
        <v>#REF!</v>
      </c>
      <c r="Y55" s="343" t="e">
        <f>-#REF!*'Inputs Worksheet'!$N$41/((1+$B$27)^Y27)</f>
        <v>#REF!</v>
      </c>
      <c r="Z55" s="343" t="e">
        <f>-#REF!*'Inputs Worksheet'!$N$41/((1+$B$27)^Z27)</f>
        <v>#REF!</v>
      </c>
      <c r="AA55" s="343" t="e">
        <f>-#REF!*'Inputs Worksheet'!$N$41/((1+$B$27)^AA27)</f>
        <v>#REF!</v>
      </c>
      <c r="AB55" s="343" t="e">
        <f>-#REF!*'Inputs Worksheet'!$N$41/((1+$B$27)^AB27)</f>
        <v>#REF!</v>
      </c>
      <c r="AC55" s="343" t="e">
        <f>-#REF!*'Inputs Worksheet'!$N$41/((1+$B$27)^AC27)</f>
        <v>#REF!</v>
      </c>
      <c r="AD55" s="343" t="e">
        <f>-#REF!*'Inputs Worksheet'!$N$41/((1+$B$27)^AD27)</f>
        <v>#REF!</v>
      </c>
      <c r="AE55" s="343"/>
      <c r="AF55" s="5"/>
      <c r="AG55" s="5"/>
      <c r="AH55" s="5"/>
      <c r="AI55" s="5"/>
      <c r="AJ55" s="5"/>
      <c r="AK55" s="5"/>
      <c r="AL55"/>
      <c r="AM55"/>
      <c r="AN55"/>
      <c r="AO55"/>
    </row>
    <row r="56" spans="1:41" ht="23.25" hidden="1" x14ac:dyDescent="0.35">
      <c r="B56" s="380" t="s">
        <v>167</v>
      </c>
      <c r="G56" s="236"/>
      <c r="H56" s="235"/>
      <c r="I56" s="237"/>
      <c r="J56" s="237"/>
      <c r="K56" s="236"/>
      <c r="L56" s="10"/>
      <c r="M56" s="10"/>
      <c r="N56" s="10"/>
      <c r="O56" s="237"/>
      <c r="P56" s="237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/>
      <c r="AM56"/>
      <c r="AN56"/>
      <c r="AO56"/>
    </row>
    <row r="57" spans="1:41" ht="23.25" x14ac:dyDescent="0.35">
      <c r="B57" s="14"/>
      <c r="G57" s="236"/>
      <c r="H57" s="235"/>
      <c r="I57" s="237"/>
      <c r="J57" s="237"/>
      <c r="K57" s="236"/>
      <c r="L57" s="10"/>
      <c r="M57" s="10"/>
      <c r="N57" s="10"/>
      <c r="O57" s="237"/>
      <c r="P57" s="237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/>
      <c r="AM57"/>
      <c r="AN57"/>
      <c r="AO57"/>
    </row>
    <row r="58" spans="1:41" x14ac:dyDescent="0.25">
      <c r="A58" s="81">
        <v>2</v>
      </c>
      <c r="B58" s="30" t="str">
        <f>B5</f>
        <v>I-205 Corridor Widening: Stafford Road to OR43</v>
      </c>
      <c r="F58" s="84"/>
      <c r="G58" s="84"/>
      <c r="I58" s="17"/>
      <c r="J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</row>
    <row r="59" spans="1:41" x14ac:dyDescent="0.25">
      <c r="B59" s="90" t="s">
        <v>15</v>
      </c>
      <c r="F59" s="85"/>
      <c r="G59" s="85"/>
      <c r="H59" s="2"/>
      <c r="I59" s="17"/>
      <c r="J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/>
      <c r="AM59"/>
      <c r="AN59"/>
      <c r="AO59"/>
    </row>
    <row r="60" spans="1:41" x14ac:dyDescent="0.25">
      <c r="B60" s="153" t="s">
        <v>102</v>
      </c>
      <c r="D60" s="5">
        <f>((-Cost_4!C42)/((1+$B$27)^D$27))</f>
        <v>-6813151.25</v>
      </c>
      <c r="E60" s="5">
        <f>((-Cost_4!D42))/((1+$B$27)^E$27)</f>
        <v>-2400000</v>
      </c>
      <c r="F60" s="5">
        <f>((-Cost_4!E42)/(LOOKUP(F$26,'Inputs Worksheet'!$P$67:$P$73,'Inputs Worksheet'!$Q$67:$Q$73)/100))/((1+$B$27)^F$27)</f>
        <v>-6901620.4122596188</v>
      </c>
      <c r="G60" s="5">
        <f>((-Cost_4!F42)/(LOOKUP(G$26,'Inputs Worksheet'!$P$67:$P$73,'Inputs Worksheet'!$Q$67:$Q$73)/100))/((1+$B$27)^G$27)</f>
        <v>-1455358.1663617762</v>
      </c>
      <c r="H60" s="5">
        <f>((-Cost_4!G42)/(LOOKUP(H$26,'Inputs Worksheet'!$P$67:$P$73,'Inputs Worksheet'!$Q$67:$Q$73)/100))/((1+$B$27)^H$27)</f>
        <v>-97704674.308111995</v>
      </c>
      <c r="I60" s="5">
        <f>((-Cost_4!H42)/(LOOKUP(I$26,'Inputs Worksheet'!$P$67:$P$73,'Inputs Worksheet'!$Q$67:$Q$73)/100))/((1+$B$27)^I$27)</f>
        <v>-45199169.611360461</v>
      </c>
      <c r="J60" s="5">
        <f>((-Cost_4!I42)/(LOOKUP(J$26,'Inputs Worksheet'!$P$67:$P$74,'Inputs Worksheet'!$Q$67:$Q$74)/100))/((1+$B$27)^J$27)</f>
        <v>-56532212.047531217</v>
      </c>
      <c r="K60" s="5">
        <f>((-Cost_4!J42)/(LOOKUP(K$26,'Inputs Worksheet'!$P$67:$P$75,'Inputs Worksheet'!$Q$67:$Q$75)/100))/((1+$B$27)^K$27)</f>
        <v>-7736383.9660187326</v>
      </c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13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4"/>
      <c r="AM60" s="4"/>
      <c r="AN60" s="4"/>
      <c r="AO60" s="4"/>
    </row>
    <row r="61" spans="1:41" s="125" customFormat="1" x14ac:dyDescent="0.25">
      <c r="A61" s="123"/>
      <c r="B61" s="90" t="s">
        <v>16</v>
      </c>
      <c r="F61" s="85"/>
      <c r="G61" s="85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8"/>
      <c r="AM61" s="8"/>
      <c r="AN61" s="8"/>
      <c r="AO61" s="8"/>
    </row>
    <row r="62" spans="1:41" s="125" customFormat="1" x14ac:dyDescent="0.25">
      <c r="A62" s="123"/>
      <c r="B62" s="88" t="s">
        <v>68</v>
      </c>
      <c r="F62" s="85"/>
      <c r="G62" s="85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8"/>
      <c r="AM62" s="8"/>
      <c r="AN62" s="8"/>
      <c r="AO62" s="8"/>
    </row>
    <row r="63" spans="1:41" s="125" customFormat="1" x14ac:dyDescent="0.25">
      <c r="A63" s="123"/>
      <c r="B63" s="88" t="s">
        <v>129</v>
      </c>
      <c r="F63" s="85"/>
      <c r="G63" s="85"/>
      <c r="K63" s="13">
        <f>(Cost_4!$E$3-Cost_4!$D$3)*Cost_4!$C$3/((1+$B$27)^K$27)</f>
        <v>6067045.9478493463</v>
      </c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8"/>
      <c r="AM63" s="8"/>
      <c r="AN63" s="8"/>
      <c r="AO63" s="8"/>
    </row>
    <row r="64" spans="1:41" s="125" customFormat="1" x14ac:dyDescent="0.25">
      <c r="A64" s="123"/>
      <c r="B64" s="153" t="s">
        <v>1</v>
      </c>
      <c r="F64" s="14"/>
      <c r="G64" s="14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8"/>
      <c r="AM64" s="8"/>
      <c r="AN64" s="8"/>
      <c r="AO64" s="8"/>
    </row>
    <row r="65" spans="1:41" s="125" customFormat="1" x14ac:dyDescent="0.25">
      <c r="A65" s="123"/>
      <c r="B65" s="153" t="s">
        <v>77</v>
      </c>
      <c r="F65" s="12"/>
      <c r="G65" s="12"/>
      <c r="I65" s="13"/>
      <c r="J65" s="13"/>
      <c r="K65" s="13">
        <f>('VHD Savings'!F38+'VHD Savings'!F51)/((1+$B$27)^K$27)</f>
        <v>15218939.650836568</v>
      </c>
      <c r="L65" s="13">
        <f>('VHD Savings'!G38+'VHD Savings'!G51)/((1+$B$27)^L$27)</f>
        <v>14509632.408306638</v>
      </c>
      <c r="M65" s="13">
        <f>('VHD Savings'!H38+'VHD Savings'!H51)/((1+$B$27)^M$27)</f>
        <v>13687921.395724677</v>
      </c>
      <c r="N65" s="13">
        <f>('VHD Savings'!I38+'VHD Savings'!I51)/((1+$B$27)^N$27)</f>
        <v>12912868.597945515</v>
      </c>
      <c r="O65" s="13">
        <f>('VHD Savings'!J38+'VHD Savings'!J51)/((1+$B$27)^O$27)</f>
        <v>12181817.317939108</v>
      </c>
      <c r="P65" s="13">
        <f>('VHD Savings'!K38+'VHD Savings'!K51)/((1+$B$27)^P$27)</f>
        <v>11492262.571793014</v>
      </c>
      <c r="Q65" s="13">
        <f>('VHD Savings'!L38+'VHD Savings'!L51)/((1+$B$27)^Q$27)</f>
        <v>10841842.398357918</v>
      </c>
      <c r="R65" s="13">
        <f>('VHD Savings'!M38+'VHD Savings'!M51)/((1+$B$27)^R$27)</f>
        <v>10228329.668300474</v>
      </c>
      <c r="S65" s="13">
        <f>('VHD Savings'!N38+'VHD Savings'!N51)/((1+$B$27)^S$27)</f>
        <v>9649624.3637664206</v>
      </c>
      <c r="T65" s="13">
        <f>('VHD Savings'!O38+'VHD Savings'!O51)/((1+$B$27)^T$27)</f>
        <v>9103746.3015232366</v>
      </c>
      <c r="U65" s="13">
        <f>('VHD Savings'!P38+'VHD Savings'!P51)/((1+$B$27)^U$27)</f>
        <v>8588828.2740214672</v>
      </c>
      <c r="V65" s="13">
        <f>('VHD Savings'!Q38+'VHD Savings'!Q51)/((1+$B$27)^V$27)</f>
        <v>8103109.5842921594</v>
      </c>
      <c r="W65" s="13">
        <f>('VHD Savings'!R38+'VHD Savings'!R51)/((1+$B$27)^W$27)</f>
        <v>7644929.9519906715</v>
      </c>
      <c r="X65" s="13">
        <f>('VHD Savings'!S38+'VHD Savings'!S51)/((1+$B$27)^X$27)</f>
        <v>7212723.7692088643</v>
      </c>
      <c r="Y65" s="13">
        <f>('VHD Savings'!T38+'VHD Savings'!T51)/((1+$B$27)^Y$27)</f>
        <v>6805014.6859133886</v>
      </c>
      <c r="Z65" s="13">
        <f>('VHD Savings'!U38+'VHD Savings'!U51)/((1+$B$27)^Z$27)</f>
        <v>6420410.506031855</v>
      </c>
      <c r="AA65" s="13">
        <f>('VHD Savings'!V38+'VHD Savings'!V51)/((1+$B$27)^AA$27)</f>
        <v>6057598.3763051163</v>
      </c>
      <c r="AB65" s="13">
        <f>('VHD Savings'!W38+'VHD Savings'!W51)/((1+$B$27)^AB$27)</f>
        <v>5715340.251056809</v>
      </c>
      <c r="AC65" s="13">
        <f>('VHD Savings'!X38+'VHD Savings'!X51)/((1+$B$27)^AC$27)</f>
        <v>5392468.6170043545</v>
      </c>
      <c r="AD65" s="13">
        <f>('VHD Savings'!Y38+'VHD Savings'!Y51)/((1+$B$27)^AD$27)</f>
        <v>5087882.4631522354</v>
      </c>
      <c r="AG65" s="13"/>
      <c r="AH65" s="13"/>
      <c r="AI65" s="13"/>
      <c r="AJ65" s="13"/>
      <c r="AK65" s="13"/>
      <c r="AL65" s="13"/>
      <c r="AM65" s="13"/>
      <c r="AN65" s="13"/>
      <c r="AO65" s="8"/>
    </row>
    <row r="66" spans="1:41" s="125" customFormat="1" x14ac:dyDescent="0.25">
      <c r="A66" s="123"/>
      <c r="B66" s="153" t="s">
        <v>78</v>
      </c>
      <c r="F66" s="12"/>
      <c r="G66" s="12"/>
      <c r="I66" s="13"/>
      <c r="J66" s="13"/>
      <c r="K66" s="13">
        <f t="shared" ref="K66:AD66" si="12">N13/((1+$B$27)^K$27)</f>
        <v>289190.78071310726</v>
      </c>
      <c r="L66" s="13">
        <f t="shared" si="12"/>
        <v>273008.14849159395</v>
      </c>
      <c r="M66" s="13">
        <f t="shared" si="12"/>
        <v>257731.06929279809</v>
      </c>
      <c r="N66" s="13">
        <f t="shared" si="12"/>
        <v>243308.86988471824</v>
      </c>
      <c r="O66" s="13">
        <f t="shared" si="12"/>
        <v>229693.71262463077</v>
      </c>
      <c r="P66" s="13">
        <f t="shared" si="12"/>
        <v>216840.43678425782</v>
      </c>
      <c r="Q66" s="13">
        <f t="shared" si="12"/>
        <v>204706.40875411429</v>
      </c>
      <c r="R66" s="13">
        <f t="shared" si="12"/>
        <v>193251.38063016807</v>
      </c>
      <c r="S66" s="13">
        <f t="shared" si="12"/>
        <v>182437.35671375509</v>
      </c>
      <c r="T66" s="13">
        <f t="shared" si="12"/>
        <v>172228.46748193481</v>
      </c>
      <c r="U66" s="13">
        <f t="shared" si="12"/>
        <v>162590.85061025462</v>
      </c>
      <c r="V66" s="13">
        <f t="shared" si="12"/>
        <v>153492.53865328044</v>
      </c>
      <c r="W66" s="13">
        <f t="shared" si="12"/>
        <v>144903.35301033763</v>
      </c>
      <c r="X66" s="13">
        <f t="shared" si="12"/>
        <v>136794.80382475106</v>
      </c>
      <c r="Y66" s="13">
        <f t="shared" si="12"/>
        <v>129139.99548455671</v>
      </c>
      <c r="Z66" s="13">
        <f t="shared" si="12"/>
        <v>121913.53741123489</v>
      </c>
      <c r="AA66" s="13">
        <f t="shared" si="12"/>
        <v>115091.45984055701</v>
      </c>
      <c r="AB66" s="13">
        <f t="shared" si="12"/>
        <v>108651.13431619499</v>
      </c>
      <c r="AC66" s="13">
        <f t="shared" si="12"/>
        <v>102571.19863237554</v>
      </c>
      <c r="AD66" s="13">
        <f t="shared" si="12"/>
        <v>96831.485976617667</v>
      </c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8"/>
    </row>
    <row r="67" spans="1:41" s="125" customFormat="1" x14ac:dyDescent="0.25">
      <c r="A67" s="123"/>
      <c r="B67" s="153" t="s">
        <v>69</v>
      </c>
      <c r="F67" s="12"/>
      <c r="G67" s="12"/>
      <c r="I67" s="13"/>
      <c r="J67" s="13"/>
      <c r="K67" s="13">
        <f t="shared" ref="K67:L67" si="13">((K65*$D$5)+(K66*$C$5))</f>
        <v>15508130.431549676</v>
      </c>
      <c r="L67" s="13">
        <f t="shared" si="13"/>
        <v>14782640.556798231</v>
      </c>
      <c r="M67" s="13">
        <f>((M65*$D$5)+(M66*$C$5))</f>
        <v>13945652.465017475</v>
      </c>
      <c r="N67" s="13">
        <f t="shared" ref="N67" si="14">((N65*$D$5)+(N66*$C$5))</f>
        <v>13156177.467830233</v>
      </c>
      <c r="O67" s="13">
        <f t="shared" ref="O67:P67" si="15">((O65*$D$5)+(O66*$C$5))</f>
        <v>12411511.030563738</v>
      </c>
      <c r="P67" s="13">
        <f t="shared" si="15"/>
        <v>11709103.008577272</v>
      </c>
      <c r="Q67" s="13">
        <f t="shared" ref="Q67" si="16">((Q65*$D$5)+(Q66*$C$5))</f>
        <v>11046548.807112033</v>
      </c>
      <c r="R67" s="13">
        <f t="shared" ref="R67:S67" si="17">((R65*$D$5)+(R66*$C$5))</f>
        <v>10421581.048930641</v>
      </c>
      <c r="S67" s="13">
        <f t="shared" si="17"/>
        <v>9832061.7204801757</v>
      </c>
      <c r="T67" s="13">
        <f t="shared" ref="T67" si="18">((T65*$D$5)+(T66*$C$5))</f>
        <v>9275974.769005172</v>
      </c>
      <c r="U67" s="13">
        <f t="shared" ref="U67:V67" si="19">((U65*$D$5)+(U66*$C$5))</f>
        <v>8751419.1246317215</v>
      </c>
      <c r="V67" s="13">
        <f t="shared" si="19"/>
        <v>8256602.12294544</v>
      </c>
      <c r="W67" s="13">
        <f t="shared" ref="W67" si="20">((W65*$D$5)+(W66*$C$5))</f>
        <v>7789833.3050010093</v>
      </c>
      <c r="X67" s="13">
        <f t="shared" ref="X67:Y67" si="21">((X65*$D$5)+(X66*$C$5))</f>
        <v>7349518.573033615</v>
      </c>
      <c r="Y67" s="13">
        <f t="shared" si="21"/>
        <v>6934154.6813979456</v>
      </c>
      <c r="Z67" s="13">
        <f t="shared" ref="Z67" si="22">((Z65*$D$5)+(Z66*$C$5))</f>
        <v>6542324.0434430903</v>
      </c>
      <c r="AA67" s="13">
        <f t="shared" ref="AA67:AB67" si="23">((AA65*$D$5)+(AA66*$C$5))</f>
        <v>6172689.8361456729</v>
      </c>
      <c r="AB67" s="13">
        <f t="shared" si="23"/>
        <v>5823991.3853730038</v>
      </c>
      <c r="AC67" s="13">
        <f t="shared" ref="AC67" si="24">((AC65*$D$5)+(AC66*$C$5))</f>
        <v>5495039.8156367298</v>
      </c>
      <c r="AD67" s="13">
        <f t="shared" ref="AD67" si="25">((AD65*$D$5)+(AD66*$C$5))</f>
        <v>5184713.9491288532</v>
      </c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8"/>
    </row>
    <row r="68" spans="1:41" s="125" customFormat="1" x14ac:dyDescent="0.25">
      <c r="A68" s="123"/>
      <c r="B68" s="337" t="s">
        <v>161</v>
      </c>
      <c r="F68" s="12"/>
      <c r="G68" s="12"/>
      <c r="I68" s="13"/>
      <c r="J68" s="344"/>
      <c r="K68" s="344">
        <f>'Inputs Worksheet'!$D8*'Inputs Worksheet'!$E8*365*'Inputs Worksheet'!$D$58*'Inputs Worksheet'!$I21^('Inputs Worksheet'!$A$29-'Inputs Worksheet'!$A$3)/((1+$B$27)^K$27)</f>
        <v>0</v>
      </c>
      <c r="L68" s="344">
        <f t="shared" ref="L68:AD68" si="26">K68*$AI$68/(1+$B$27)</f>
        <v>0</v>
      </c>
      <c r="M68" s="344">
        <f t="shared" si="26"/>
        <v>0</v>
      </c>
      <c r="N68" s="344">
        <f t="shared" si="26"/>
        <v>0</v>
      </c>
      <c r="O68" s="344">
        <f t="shared" si="26"/>
        <v>0</v>
      </c>
      <c r="P68" s="344">
        <f t="shared" si="26"/>
        <v>0</v>
      </c>
      <c r="Q68" s="344">
        <f t="shared" si="26"/>
        <v>0</v>
      </c>
      <c r="R68" s="344">
        <f t="shared" si="26"/>
        <v>0</v>
      </c>
      <c r="S68" s="344">
        <f t="shared" si="26"/>
        <v>0</v>
      </c>
      <c r="T68" s="344">
        <f t="shared" si="26"/>
        <v>0</v>
      </c>
      <c r="U68" s="344">
        <f t="shared" si="26"/>
        <v>0</v>
      </c>
      <c r="V68" s="344">
        <f t="shared" si="26"/>
        <v>0</v>
      </c>
      <c r="W68" s="344">
        <f t="shared" si="26"/>
        <v>0</v>
      </c>
      <c r="X68" s="344">
        <f t="shared" si="26"/>
        <v>0</v>
      </c>
      <c r="Y68" s="344">
        <f t="shared" si="26"/>
        <v>0</v>
      </c>
      <c r="Z68" s="344">
        <f t="shared" si="26"/>
        <v>0</v>
      </c>
      <c r="AA68" s="344">
        <f t="shared" si="26"/>
        <v>0</v>
      </c>
      <c r="AB68" s="344">
        <f t="shared" si="26"/>
        <v>0</v>
      </c>
      <c r="AC68" s="344">
        <f t="shared" si="26"/>
        <v>0</v>
      </c>
      <c r="AD68" s="344">
        <f t="shared" si="26"/>
        <v>0</v>
      </c>
      <c r="AE68" s="13"/>
      <c r="AG68" s="342" t="s">
        <v>121</v>
      </c>
      <c r="AH68" s="13"/>
      <c r="AI68" s="407">
        <f>'Inputs Worksheet'!I21</f>
        <v>1.0101245902987583</v>
      </c>
      <c r="AJ68" s="13"/>
      <c r="AK68" s="13"/>
      <c r="AL68" s="13"/>
      <c r="AM68" s="13"/>
      <c r="AN68" s="13"/>
      <c r="AO68" s="8"/>
    </row>
    <row r="69" spans="1:41" s="125" customFormat="1" x14ac:dyDescent="0.25">
      <c r="A69" s="123"/>
      <c r="B69" s="88" t="s">
        <v>135</v>
      </c>
      <c r="F69" s="12"/>
      <c r="G69" s="12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8"/>
    </row>
    <row r="70" spans="1:41" s="125" customFormat="1" x14ac:dyDescent="0.25">
      <c r="A70" s="123"/>
      <c r="B70" s="194" t="s">
        <v>132</v>
      </c>
      <c r="F70" s="12"/>
      <c r="G70" s="12"/>
      <c r="I70" s="13"/>
      <c r="J70" s="13"/>
      <c r="K70" s="13">
        <f t="shared" ref="K70:AD70" si="27">N21/((1+$B$27)^K$27)</f>
        <v>799469.85234754952</v>
      </c>
      <c r="L70" s="13">
        <f t="shared" si="27"/>
        <v>764995.28369712271</v>
      </c>
      <c r="M70" s="13">
        <f>P21/((1+$B$27)^M$27)</f>
        <v>721889.49194533203</v>
      </c>
      <c r="N70" s="13">
        <f t="shared" si="27"/>
        <v>681218.09971106413</v>
      </c>
      <c r="O70" s="13">
        <f t="shared" si="27"/>
        <v>642843.30166328663</v>
      </c>
      <c r="P70" s="13">
        <f t="shared" si="27"/>
        <v>606635.11231090943</v>
      </c>
      <c r="Q70" s="13">
        <f t="shared" si="27"/>
        <v>572470.92113773536</v>
      </c>
      <c r="R70" s="13">
        <f t="shared" si="27"/>
        <v>540235.07311201305</v>
      </c>
      <c r="S70" s="13">
        <f t="shared" si="27"/>
        <v>509818.47311931232</v>
      </c>
      <c r="T70" s="13">
        <f t="shared" si="27"/>
        <v>481118.21295066469</v>
      </c>
      <c r="U70" s="13">
        <f t="shared" si="27"/>
        <v>454037.21955637797</v>
      </c>
      <c r="V70" s="13">
        <f t="shared" si="27"/>
        <v>428483.9233498667</v>
      </c>
      <c r="W70" s="13">
        <f t="shared" si="27"/>
        <v>404371.9454155328</v>
      </c>
      <c r="X70" s="13">
        <f t="shared" si="27"/>
        <v>381619.80254040938</v>
      </c>
      <c r="Y70" s="13">
        <f t="shared" si="27"/>
        <v>360150.62905118841</v>
      </c>
      <c r="Z70" s="13">
        <f t="shared" si="27"/>
        <v>339891.91449660272</v>
      </c>
      <c r="AA70" s="13">
        <f t="shared" si="27"/>
        <v>320775.25627012772</v>
      </c>
      <c r="AB70" s="13">
        <f t="shared" si="27"/>
        <v>302736.1263198019</v>
      </c>
      <c r="AC70" s="13">
        <f t="shared" si="27"/>
        <v>285713.65114082798</v>
      </c>
      <c r="AD70" s="13">
        <f t="shared" si="27"/>
        <v>269650.40429266769</v>
      </c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8"/>
    </row>
    <row r="71" spans="1:41" s="125" customFormat="1" x14ac:dyDescent="0.25">
      <c r="A71" s="123"/>
      <c r="B71" s="346" t="s">
        <v>133</v>
      </c>
      <c r="F71" s="12"/>
      <c r="G71" s="12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8"/>
    </row>
    <row r="72" spans="1:41" s="125" customFormat="1" x14ac:dyDescent="0.25">
      <c r="A72" s="123"/>
      <c r="B72" s="337" t="s">
        <v>134</v>
      </c>
      <c r="F72" s="12"/>
      <c r="G72" s="12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8"/>
    </row>
    <row r="73" spans="1:41" s="125" customFormat="1" x14ac:dyDescent="0.25">
      <c r="A73" s="123"/>
      <c r="B73" s="153" t="s">
        <v>2</v>
      </c>
      <c r="F73" s="14"/>
      <c r="G73" s="14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8"/>
      <c r="AM73" s="8"/>
      <c r="AN73" s="8"/>
      <c r="AO73" s="8"/>
    </row>
    <row r="74" spans="1:41" s="125" customFormat="1" x14ac:dyDescent="0.25">
      <c r="A74" s="123"/>
      <c r="B74" s="153" t="s">
        <v>168</v>
      </c>
      <c r="F74" s="9"/>
      <c r="G74" s="9"/>
      <c r="I74" s="13"/>
      <c r="J74" s="13"/>
      <c r="K74" s="13">
        <f t="shared" ref="K74:AD74" si="28">(CE5+CE13)/((1+$B$27)^K$27)</f>
        <v>78352.462543880683</v>
      </c>
      <c r="L74" s="13">
        <f t="shared" si="28"/>
        <v>76728.694442674809</v>
      </c>
      <c r="M74" s="13">
        <f t="shared" si="28"/>
        <v>75397.899388400765</v>
      </c>
      <c r="N74" s="13">
        <f t="shared" si="28"/>
        <v>73095.524205861162</v>
      </c>
      <c r="O74" s="13">
        <f t="shared" si="28"/>
        <v>70843.243088111078</v>
      </c>
      <c r="P74" s="13">
        <f t="shared" si="28"/>
        <v>69022.801642150705</v>
      </c>
      <c r="Q74" s="13">
        <f t="shared" si="28"/>
        <v>65763.756451744761</v>
      </c>
      <c r="R74" s="13">
        <f t="shared" si="28"/>
        <v>62659.338922367606</v>
      </c>
      <c r="S74" s="13">
        <f t="shared" si="28"/>
        <v>59702.174753765132</v>
      </c>
      <c r="T74" s="13">
        <f t="shared" si="28"/>
        <v>56885.243259865849</v>
      </c>
      <c r="U74" s="13">
        <f t="shared" si="28"/>
        <v>54201.860313851874</v>
      </c>
      <c r="V74" s="13">
        <f t="shared" si="28"/>
        <v>51645.662120813846</v>
      </c>
      <c r="W74" s="13">
        <f t="shared" si="28"/>
        <v>49210.58977757542</v>
      </c>
      <c r="X74" s="13">
        <f t="shared" si="28"/>
        <v>46890.874581259486</v>
      </c>
      <c r="Y74" s="13">
        <f t="shared" si="28"/>
        <v>44681.024050056716</v>
      </c>
      <c r="Z74" s="13">
        <f t="shared" si="28"/>
        <v>42575.80862145163</v>
      </c>
      <c r="AA74" s="13">
        <f t="shared" si="28"/>
        <v>40570.248994868416</v>
      </c>
      <c r="AB74" s="13">
        <f t="shared" si="28"/>
        <v>38659.604087319458</v>
      </c>
      <c r="AC74" s="13">
        <f t="shared" si="28"/>
        <v>36839.359572182075</v>
      </c>
      <c r="AD74" s="13">
        <f t="shared" si="28"/>
        <v>35105.216972693859</v>
      </c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8"/>
    </row>
    <row r="75" spans="1:41" s="125" customFormat="1" x14ac:dyDescent="0.25">
      <c r="A75" s="123"/>
      <c r="B75" s="153" t="s">
        <v>351</v>
      </c>
      <c r="F75" s="9"/>
      <c r="G75" s="9"/>
      <c r="I75" s="13"/>
      <c r="J75" s="13"/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8"/>
    </row>
    <row r="76" spans="1:41" s="125" customFormat="1" x14ac:dyDescent="0.25">
      <c r="A76" s="123"/>
      <c r="B76" s="153" t="s">
        <v>164</v>
      </c>
      <c r="F76" s="9"/>
      <c r="G76" s="9"/>
      <c r="H76" s="523"/>
      <c r="I76" s="13"/>
      <c r="J76" s="13"/>
      <c r="K76" s="13">
        <f>('Inputs Worksheet'!DE56+'Inputs Worksheet'!DE66)/((1+'7% Discounting'!$B$27)^'7% Discounting'!K$27)</f>
        <v>321154.61289129063</v>
      </c>
      <c r="L76" s="13">
        <f>('Inputs Worksheet'!DF56+'Inputs Worksheet'!DF66)/((1+'7% Discounting'!$B$27)^'7% Discounting'!L$27)</f>
        <v>308023.98513690283</v>
      </c>
      <c r="M76" s="13">
        <f>('Inputs Worksheet'!DG56+'Inputs Worksheet'!DG66)/((1+'7% Discounting'!$B$27)^'7% Discounting'!M$27)</f>
        <v>265562.48480669549</v>
      </c>
      <c r="N76" s="13">
        <f>('Inputs Worksheet'!DH56+'Inputs Worksheet'!DH66)/((1+'7% Discounting'!$B$27)^'7% Discounting'!N$27)</f>
        <v>292385.14791649894</v>
      </c>
      <c r="O76" s="13">
        <f>('Inputs Worksheet'!DI56+'Inputs Worksheet'!DI66)/((1+'7% Discounting'!$B$27)^'7% Discounting'!O$27)</f>
        <v>283009.85956173216</v>
      </c>
      <c r="P76" s="13">
        <f>('Inputs Worksheet'!DJ56+'Inputs Worksheet'!DJ66)/((1+'7% Discounting'!$B$27)^'7% Discounting'!P$27)</f>
        <v>273934.20643150533</v>
      </c>
      <c r="Q76" s="13">
        <f>('Inputs Worksheet'!DK56+'Inputs Worksheet'!DK66)/((1+'7% Discounting'!$B$27)^'7% Discounting'!Q$27)</f>
        <v>260996.40685427521</v>
      </c>
      <c r="R76" s="13">
        <f>('Inputs Worksheet'!DL56+'Inputs Worksheet'!DL66)/((1+'7% Discounting'!$B$27)^'7% Discounting'!R$27)</f>
        <v>248672.63902003146</v>
      </c>
      <c r="S76" s="13">
        <f>('Inputs Worksheet'!DM56+'Inputs Worksheet'!DM66)/((1+'7% Discounting'!$B$27)^'7% Discounting'!S$27)</f>
        <v>236933.60906539374</v>
      </c>
      <c r="T76" s="13">
        <f>('Inputs Worksheet'!DN56+'Inputs Worksheet'!DN66)/((1+'7% Discounting'!$B$27)^'7% Discounting'!T$27)</f>
        <v>225751.42838941872</v>
      </c>
      <c r="U76" s="13">
        <f>('Inputs Worksheet'!DO56+'Inputs Worksheet'!DO66)/((1+'7% Discounting'!$B$27)^'7% Discounting'!U$27)</f>
        <v>215099.54584728536</v>
      </c>
      <c r="V76" s="13">
        <f>('Inputs Worksheet'!DP56+'Inputs Worksheet'!DP66)/((1+'7% Discounting'!$B$27)^'7% Discounting'!V$27)</f>
        <v>204952.68323587149</v>
      </c>
      <c r="W76" s="13">
        <f>('Inputs Worksheet'!DQ56+'Inputs Worksheet'!DQ66)/((1+'7% Discounting'!$B$27)^'7% Discounting'!W$27)</f>
        <v>195286.77391038192</v>
      </c>
      <c r="X76" s="13">
        <f>('Inputs Worksheet'!DR56+'Inputs Worksheet'!DR66)/((1+'7% Discounting'!$B$27)^'7% Discounting'!X$27)</f>
        <v>186078.90437909041</v>
      </c>
      <c r="Y76" s="13">
        <f>('Inputs Worksheet'!DS56+'Inputs Worksheet'!DS66)/((1+'7% Discounting'!$B$27)^'7% Discounting'!Y$27)</f>
        <v>177307.25873078697</v>
      </c>
      <c r="Z76" s="13">
        <f>('Inputs Worksheet'!DT56+'Inputs Worksheet'!DT66)/((1+'7% Discounting'!$B$27)^'7% Discounting'!Z$27)</f>
        <v>168951.06575666083</v>
      </c>
      <c r="AA76" s="13">
        <f>('Inputs Worksheet'!DU56+'Inputs Worksheet'!DU66)/((1+'7% Discounting'!$B$27)^'7% Discounting'!AA$27)</f>
        <v>160990.54863515013</v>
      </c>
      <c r="AB76" s="13">
        <f>('Inputs Worksheet'!DV56+'Inputs Worksheet'!DV66)/((1+'7% Discounting'!$B$27)^'7% Discounting'!AB$27)</f>
        <v>153406.87705474166</v>
      </c>
      <c r="AC76" s="13">
        <f>('Inputs Worksheet'!DW56+'Inputs Worksheet'!DW66)/((1+'7% Discounting'!$B$27)^'7% Discounting'!AC$27)</f>
        <v>146182.12165584537</v>
      </c>
      <c r="AD76" s="13">
        <f>('Inputs Worksheet'!DX56+'Inputs Worksheet'!DX66)/((1+'7% Discounting'!$B$27)^'7% Discounting'!AD$27)</f>
        <v>139299.21067870161</v>
      </c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8"/>
    </row>
    <row r="77" spans="1:41" s="125" customFormat="1" x14ac:dyDescent="0.25">
      <c r="A77" s="123"/>
      <c r="B77" s="153" t="s">
        <v>165</v>
      </c>
      <c r="F77" s="9"/>
      <c r="G77" s="9"/>
      <c r="I77" s="13"/>
      <c r="J77" s="13"/>
      <c r="K77" s="13">
        <f>('Inputs Worksheet'!CH56+'Inputs Worksheet'!CH66)/((1+'7% Discounting'!$B$27)^'7% Discounting'!K$27)</f>
        <v>12952.942044197867</v>
      </c>
      <c r="L77" s="13">
        <f>('Inputs Worksheet'!CI56+'Inputs Worksheet'!CI66)/((1+'7% Discounting'!$B$27)^'7% Discounting'!L$27)</f>
        <v>12727.358037881098</v>
      </c>
      <c r="M77" s="13">
        <f>('Inputs Worksheet'!CJ56+'Inputs Worksheet'!CJ66)/((1+'7% Discounting'!$B$27)^'7% Discounting'!M$27)</f>
        <v>12338.077962285828</v>
      </c>
      <c r="N77" s="13">
        <f>('Inputs Worksheet'!CK56+'Inputs Worksheet'!CK66)/((1+'7% Discounting'!$B$27)^'7% Discounting'!N$27)</f>
        <v>11957.309499033079</v>
      </c>
      <c r="O77" s="13">
        <f>('Inputs Worksheet'!CL56+'Inputs Worksheet'!CL66)/((1+'7% Discounting'!$B$27)^'7% Discounting'!O$27)</f>
        <v>11609.202747656545</v>
      </c>
      <c r="P77" s="13">
        <f>('Inputs Worksheet'!CM56+'Inputs Worksheet'!CM66)/((1+'7% Discounting'!$B$27)^'7% Discounting'!P$27)</f>
        <v>11267.436309571332</v>
      </c>
      <c r="Q77" s="13">
        <f>('Inputs Worksheet'!CN56+'Inputs Worksheet'!CN66)/((1+'7% Discounting'!$B$27)^'7% Discounting'!Q$27)</f>
        <v>10735.408796856134</v>
      </c>
      <c r="R77" s="13">
        <f>('Inputs Worksheet'!CO56+'Inputs Worksheet'!CO66)/((1+'7% Discounting'!$B$27)^'7% Discounting'!R$27)</f>
        <v>10228.624914486894</v>
      </c>
      <c r="S77" s="13">
        <f>('Inputs Worksheet'!CP56+'Inputs Worksheet'!CP66)/((1+'7% Discounting'!$B$27)^'7% Discounting'!S$27)</f>
        <v>9745.8806879006097</v>
      </c>
      <c r="T77" s="13">
        <f>('Inputs Worksheet'!CQ56+'Inputs Worksheet'!CQ66)/((1+'7% Discounting'!$B$27)^'7% Discounting'!T$27)</f>
        <v>9286.0298816497161</v>
      </c>
      <c r="U77" s="13">
        <f>('Inputs Worksheet'!CR56+'Inputs Worksheet'!CR66)/((1+'7% Discounting'!$B$27)^'7% Discounting'!U$27)</f>
        <v>8847.9812142597875</v>
      </c>
      <c r="V77" s="13">
        <f>('Inputs Worksheet'!CS56+'Inputs Worksheet'!CS66)/((1+'7% Discounting'!$B$27)^'7% Discounting'!V$27)</f>
        <v>8430.6957082571917</v>
      </c>
      <c r="W77" s="13">
        <f>('Inputs Worksheet'!CT56+'Inputs Worksheet'!CT66)/((1+'7% Discounting'!$B$27)^'7% Discounting'!W$27)</f>
        <v>8033.184168764632</v>
      </c>
      <c r="X77" s="13">
        <f>('Inputs Worksheet'!CU56+'Inputs Worksheet'!CU66)/((1+'7% Discounting'!$B$27)^'7% Discounting'!X$27)</f>
        <v>7654.5047843868588</v>
      </c>
      <c r="Y77" s="13">
        <f>('Inputs Worksheet'!CV56+'Inputs Worksheet'!CV66)/((1+'7% Discounting'!$B$27)^'7% Discounting'!Y$27)</f>
        <v>7293.760844417513</v>
      </c>
      <c r="Z77" s="13">
        <f>('Inputs Worksheet'!CW56+'Inputs Worksheet'!CW66)/((1+'7% Discounting'!$B$27)^'7% Discounting'!Z$27)</f>
        <v>6950.0985666913884</v>
      </c>
      <c r="AA77" s="13">
        <f>('Inputs Worksheet'!CX56+'Inputs Worksheet'!CX66)/((1+'7% Discounting'!$B$27)^'7% Discounting'!AA$27)</f>
        <v>6622.7050306850961</v>
      </c>
      <c r="AB77" s="13">
        <f>('Inputs Worksheet'!CY56+'Inputs Worksheet'!CY66)/((1+'7% Discounting'!$B$27)^'7% Discounting'!AB$27)</f>
        <v>6310.806210734112</v>
      </c>
      <c r="AC77" s="13">
        <f>('Inputs Worksheet'!CZ56+'Inputs Worksheet'!CZ66)/((1+'7% Discounting'!$B$27)^'7% Discounting'!AC$27)</f>
        <v>6013.6651044861701</v>
      </c>
      <c r="AD77" s="13">
        <f>('Inputs Worksheet'!DA56+'Inputs Worksheet'!DA66)/((1+'7% Discounting'!$B$27)^'7% Discounting'!AD$27)</f>
        <v>5730.5799519502934</v>
      </c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8"/>
    </row>
    <row r="78" spans="1:41" s="125" customFormat="1" x14ac:dyDescent="0.25">
      <c r="A78" s="123"/>
      <c r="B78" s="153" t="s">
        <v>166</v>
      </c>
      <c r="F78" s="124"/>
      <c r="G78" s="124"/>
      <c r="I78" s="13"/>
      <c r="J78" s="13"/>
      <c r="K78" s="13">
        <f t="shared" ref="K78:AD78" si="29">(AK5+AK13)/((1+$B$20)^K$27)</f>
        <v>169589.51198155648</v>
      </c>
      <c r="L78" s="13">
        <f t="shared" si="29"/>
        <v>171771.13913254306</v>
      </c>
      <c r="M78" s="13">
        <f t="shared" si="29"/>
        <v>171122.61835778519</v>
      </c>
      <c r="N78" s="13">
        <f t="shared" si="29"/>
        <v>173846.99616097313</v>
      </c>
      <c r="O78" s="13">
        <f t="shared" si="29"/>
        <v>173043.13113227417</v>
      </c>
      <c r="P78" s="13">
        <f t="shared" si="29"/>
        <v>172725.96894220848</v>
      </c>
      <c r="Q78" s="13">
        <f t="shared" si="29"/>
        <v>171838.15411458505</v>
      </c>
      <c r="R78" s="13">
        <f t="shared" si="29"/>
        <v>171437.30059664696</v>
      </c>
      <c r="S78" s="13">
        <f t="shared" si="29"/>
        <v>170473.28176496766</v>
      </c>
      <c r="T78" s="13">
        <f t="shared" si="29"/>
        <v>169995.7455322493</v>
      </c>
      <c r="U78" s="13">
        <f t="shared" si="29"/>
        <v>168962.78634914869</v>
      </c>
      <c r="V78" s="13">
        <f t="shared" si="29"/>
        <v>170891.8436238431</v>
      </c>
      <c r="W78" s="13">
        <f t="shared" si="29"/>
        <v>169744.98691168727</v>
      </c>
      <c r="X78" s="13">
        <f t="shared" si="29"/>
        <v>169090.05269544557</v>
      </c>
      <c r="Y78" s="13">
        <f t="shared" si="29"/>
        <v>167889.45334116698</v>
      </c>
      <c r="Z78" s="13">
        <f t="shared" si="29"/>
        <v>167178.0898514305</v>
      </c>
      <c r="AA78" s="13">
        <f t="shared" si="29"/>
        <v>165929.63836997538</v>
      </c>
      <c r="AB78" s="13">
        <f t="shared" si="29"/>
        <v>165167.21790749434</v>
      </c>
      <c r="AC78" s="13">
        <f t="shared" si="29"/>
        <v>166032.69198093933</v>
      </c>
      <c r="AD78" s="13">
        <f t="shared" si="29"/>
        <v>165185.74638856572</v>
      </c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8"/>
    </row>
    <row r="79" spans="1:41" s="125" customFormat="1" x14ac:dyDescent="0.25">
      <c r="A79" s="123"/>
      <c r="B79" s="153" t="s">
        <v>202</v>
      </c>
      <c r="F79" s="124"/>
      <c r="G79" s="124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8"/>
    </row>
    <row r="80" spans="1:41" s="125" customFormat="1" x14ac:dyDescent="0.25">
      <c r="A80" s="123"/>
      <c r="B80" s="153" t="s">
        <v>3</v>
      </c>
      <c r="F80" s="14"/>
      <c r="G80" s="14"/>
      <c r="I80" s="13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3"/>
      <c r="AF80" s="13"/>
      <c r="AG80" s="13"/>
      <c r="AH80" s="13"/>
      <c r="AI80" s="13"/>
      <c r="AJ80" s="13"/>
      <c r="AK80" s="13"/>
      <c r="AL80" s="8"/>
      <c r="AM80" s="8"/>
      <c r="AN80" s="8"/>
      <c r="AO80" s="8"/>
    </row>
    <row r="81" spans="1:42" s="125" customFormat="1" x14ac:dyDescent="0.25">
      <c r="A81" s="123"/>
      <c r="B81" s="462" t="s">
        <v>246</v>
      </c>
      <c r="F81" s="242"/>
      <c r="G81" s="14"/>
      <c r="I81" s="8"/>
      <c r="J81" s="263"/>
      <c r="K81" s="263">
        <f>((($E$9*$E5+$F$9*$F5+$G$9*$G5+$H$9*$H5+$I$9*$I5))+(($J$9*$J5)))*'Inputs Worksheet'!$I$21^('Inputs Worksheet'!$A$29-'Inputs Worksheet'!$A$3+'7% Discounting'!K$28)/((1+$B$27)^K$27)</f>
        <v>12307136.818579104</v>
      </c>
      <c r="L81" s="263">
        <f>((($E$9*$E5+$F$9*$F5+$G$9*$G5+$H$9*$H5+$I$9*$I5))+(($J$9*$J5)))*'Inputs Worksheet'!$I$21^('Inputs Worksheet'!$A$29-'Inputs Worksheet'!$A$3+'7% Discounting'!L$28)/((1+$B$27)^L$27)</f>
        <v>11618450.034222413</v>
      </c>
      <c r="M81" s="263">
        <f>((($E$9*$E5+$F$9*$F5+$G$9*$G5+$H$9*$H5+$I$9*$I5))+(($J$9*$J5)))*'Inputs Worksheet'!$I$21^('Inputs Worksheet'!$A$29-'Inputs Worksheet'!$A$3+'7% Discounting'!M$28)/((1+$B$27)^M$27)</f>
        <v>10968301.010023842</v>
      </c>
      <c r="N81" s="263">
        <f>((($E$9*$E5+$F$9*$F5+$G$9*$G5+$H$9*$H5+$I$9*$I5))+(($J$9*$J5)))*'Inputs Worksheet'!$I$21^('Inputs Worksheet'!$A$29-'Inputs Worksheet'!$A$3+'7% Discounting'!N$28)/((1+$B$27)^N$27)</f>
        <v>10354533.23740541</v>
      </c>
      <c r="O81" s="263">
        <f>((($E$9*$E5+$F$9*$F5+$G$9*$G5+$H$9*$H5+$I$9*$I5))+(($J$9*$J5)))*'Inputs Worksheet'!$I$21^('Inputs Worksheet'!$A$29-'Inputs Worksheet'!$A$3+'7% Discounting'!O$28)/((1+$B$27)^O$27)</f>
        <v>9775110.8824009504</v>
      </c>
      <c r="P81" s="263">
        <f>((($E$9*$E5+$F$9*$F5+$G$9*$G5+$H$9*$H5+$I$9*$I5))+(($J$9*$J5)))*'Inputs Worksheet'!$I$21^('Inputs Worksheet'!$A$29-'Inputs Worksheet'!$A$3+'7% Discounting'!P$28)/((1+$B$27)^P$27)</f>
        <v>9228112.0329067204</v>
      </c>
      <c r="Q81" s="263">
        <f>((($E$9*$E5+$F$9*$F5+$G$9*$G5+$H$9*$H5+$I$9*$I5))+(($J$9*$J5)))*'Inputs Worksheet'!$I$21^('Inputs Worksheet'!$A$29-'Inputs Worksheet'!$A$3+'7% Discounting'!Q$28)/((1+$B$27)^Q$27)</f>
        <v>8711722.3238046225</v>
      </c>
      <c r="R81" s="263">
        <f>((($E$9*$E5+$F$9*$F5+$G$9*$G5+$H$9*$H5+$I$9*$I5))+(($J$9*$J5)))*'Inputs Worksheet'!$I$21^('Inputs Worksheet'!$A$29-'Inputs Worksheet'!$A$3+'7% Discounting'!R$28)/((1+$B$27)^R$27)</f>
        <v>8224228.9188127937</v>
      </c>
      <c r="S81" s="263">
        <f>((($E$9*$E5+$F$9*$F5+$G$9*$G5+$H$9*$H5+$I$9*$I5))+(($J$9*$J5)))*'Inputs Worksheet'!$I$21^('Inputs Worksheet'!$A$29-'Inputs Worksheet'!$A$3+'7% Discounting'!S$28)/((1+$B$27)^S$27)</f>
        <v>7764014.8291018475</v>
      </c>
      <c r="T81" s="263">
        <f>((($E$9*$E5+$F$9*$F5+$G$9*$G5+$H$9*$H5+$I$9*$I5))+(($J$9*$J5)))*'Inputs Worksheet'!$I$21^('Inputs Worksheet'!$A$29-'Inputs Worksheet'!$A$3+'7% Discounting'!T$28)/((1+$B$27)^T$27)</f>
        <v>7329553.549831762</v>
      </c>
      <c r="U81" s="263">
        <f>((($E$9*$E5+$F$9*$F5+$G$9*$G5+$H$9*$H5+$I$9*$I5))+(($J$9*$J5)))*'Inputs Worksheet'!$I$21^('Inputs Worksheet'!$A$29-'Inputs Worksheet'!$A$3+'7% Discounting'!U$28)/((1+$B$27)^U$27)</f>
        <v>6919403.9968192717</v>
      </c>
      <c r="V81" s="263">
        <f>((($E$9*$E5+$F$9*$F5+$G$9*$G5+$H$9*$H5+$I$9*$I5))+(($J$9*$J5)))*'Inputs Worksheet'!$I$21^('Inputs Worksheet'!$A$29-'Inputs Worksheet'!$A$3+'7% Discounting'!V$28)/((1+$B$27)^V$27)</f>
        <v>6532205.726540802</v>
      </c>
      <c r="W81" s="263">
        <f>((($E$9*$E5+$F$9*$F5+$G$9*$G5+$H$9*$H5+$I$9*$I5))+(($J$9*$J5)))*'Inputs Worksheet'!$I$21^('Inputs Worksheet'!$A$29-'Inputs Worksheet'!$A$3+'7% Discounting'!W$28)/((1+$B$27)^W$27)</f>
        <v>6166674.4236161029</v>
      </c>
      <c r="X81" s="263">
        <f>((($E$9*$E5+$F$9*$F5+$G$9*$G5+$H$9*$H5+$I$9*$I5))+(($J$9*$J5)))*'Inputs Worksheet'!$I$21^('Inputs Worksheet'!$A$29-'Inputs Worksheet'!$A$3+'7% Discounting'!X$28)/((1+$B$27)^X$27)</f>
        <v>5821597.6408047173</v>
      </c>
      <c r="Y81" s="263">
        <f>((($E$9*$E5+$F$9*$F5+$G$9*$G5+$H$9*$H5+$I$9*$I5))+(($J$9*$J5)))*'Inputs Worksheet'!$I$21^('Inputs Worksheet'!$A$29-'Inputs Worksheet'!$A$3+'7% Discounting'!Y$28)/((1+$B$27)^Y$27)</f>
        <v>5495830.7773851249</v>
      </c>
      <c r="Z81" s="263">
        <f>((($E$9*$E5+$F$9*$F5+$G$9*$G5+$H$9*$H5+$I$9*$I5))+(($J$9*$J5)))*'Inputs Worksheet'!$I$21^('Inputs Worksheet'!$A$29-'Inputs Worksheet'!$A$3+'7% Discounting'!Z$28)/((1+$B$27)^Z$27)</f>
        <v>5188293.2825770611</v>
      </c>
      <c r="AA81" s="263">
        <f>((($E$9*$E5+$F$9*$F5+$G$9*$G5+$H$9*$H5+$I$9*$I5))+(($J$9*$J5)))*'Inputs Worksheet'!$I$21^('Inputs Worksheet'!$A$29-'Inputs Worksheet'!$A$3+'7% Discounting'!AA$28)/((1+$B$27)^AA$27)</f>
        <v>4897965.0714139761</v>
      </c>
      <c r="AB81" s="263">
        <f>((($E$9*$E5+$F$9*$F5+$G$9*$G5+$H$9*$H5+$I$9*$I5))+(($J$9*$J5)))*'Inputs Worksheet'!$I$21^('Inputs Worksheet'!$A$29-'Inputs Worksheet'!$A$3+'7% Discounting'!AB$28)/((1+$B$27)^AB$27)</f>
        <v>4623883.1411772631</v>
      </c>
      <c r="AC81" s="263">
        <f>((($E$9*$E5+$F$9*$F5+$G$9*$G5+$H$9*$H5+$I$9*$I5))+(($J$9*$J5)))*'Inputs Worksheet'!$I$21^('Inputs Worksheet'!$A$29-'Inputs Worksheet'!$A$3+'7% Discounting'!AC$28)/((1+$B$27)^AC$27)</f>
        <v>4365138.377169176</v>
      </c>
      <c r="AD81" s="263">
        <f>((($E$9*$E5+$F$9*$F5+$G$9*$G5+$H$9*$H5+$I$9*$I5))+(($J$9*$J5)))*'Inputs Worksheet'!$I$21^('Inputs Worksheet'!$A$29-'Inputs Worksheet'!$A$3+'7% Discounting'!AD$28)/((1+$B$27)^AD$27)</f>
        <v>4120872.5372293456</v>
      </c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8"/>
    </row>
    <row r="82" spans="1:42" s="125" customFormat="1" x14ac:dyDescent="0.25">
      <c r="A82" s="123"/>
      <c r="B82" s="153" t="s">
        <v>13</v>
      </c>
      <c r="F82" s="14"/>
      <c r="G82" s="14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8"/>
      <c r="AM82" s="8"/>
      <c r="AN82" s="8"/>
      <c r="AO82" s="8"/>
    </row>
    <row r="83" spans="1:42" s="125" customFormat="1" x14ac:dyDescent="0.25">
      <c r="A83" s="123"/>
      <c r="B83" s="88" t="s">
        <v>169</v>
      </c>
      <c r="C83" s="85"/>
      <c r="D83" s="85"/>
      <c r="E83" s="85"/>
      <c r="F83" s="14"/>
      <c r="G83" s="14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>
        <f>Cost_4!F29/((1+$B$27)^AD$27)</f>
        <v>20692063.45275028</v>
      </c>
      <c r="AE83" s="13"/>
      <c r="AF83" s="13"/>
      <c r="AG83" s="13"/>
      <c r="AH83" s="13"/>
      <c r="AI83" s="13"/>
      <c r="AJ83" s="13"/>
      <c r="AK83" s="13"/>
      <c r="AL83" s="8"/>
      <c r="AM83" s="8"/>
      <c r="AN83" s="11"/>
      <c r="AO83" s="8"/>
    </row>
    <row r="84" spans="1:42" s="125" customFormat="1" x14ac:dyDescent="0.25">
      <c r="A84" s="123"/>
      <c r="B84" s="86" t="s">
        <v>88</v>
      </c>
      <c r="C84" s="85"/>
      <c r="D84" s="85"/>
      <c r="E84" s="85"/>
      <c r="F84" s="14"/>
      <c r="G84" s="14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8"/>
      <c r="AM84" s="8"/>
      <c r="AN84" s="11"/>
      <c r="AO84" s="8"/>
    </row>
    <row r="85" spans="1:42" s="125" customFormat="1" x14ac:dyDescent="0.25">
      <c r="A85" s="258"/>
      <c r="B85" s="380" t="s">
        <v>86</v>
      </c>
      <c r="C85" s="85"/>
      <c r="D85" s="85"/>
      <c r="E85" s="85"/>
      <c r="F85" s="91"/>
      <c r="G85" s="91"/>
      <c r="H85" s="85"/>
      <c r="I85" s="85"/>
      <c r="J85" s="344"/>
      <c r="K85" s="344">
        <f>-Cost_4!$D$3*'Inputs Worksheet'!$N$41/((1+$B$27)^K27)</f>
        <v>-30462.298443354495</v>
      </c>
      <c r="L85" s="344">
        <f>-Cost_4!$D$3*'Inputs Worksheet'!$N$41/((1+$B$27)^L27)</f>
        <v>-28469.437797527564</v>
      </c>
      <c r="M85" s="344">
        <f>-Cost_4!$D$3*'Inputs Worksheet'!$N$41/((1+$B$27)^M27)</f>
        <v>-26606.951212642583</v>
      </c>
      <c r="N85" s="344">
        <f>-Cost_4!$D$3*'Inputs Worksheet'!$N$41/((1+$B$27)^N27)</f>
        <v>-24866.309544525775</v>
      </c>
      <c r="O85" s="344">
        <f>-Cost_4!$D$3*'Inputs Worksheet'!$N$41/((1+$B$27)^O27)</f>
        <v>-23239.541630397922</v>
      </c>
      <c r="P85" s="344">
        <f>-Cost_4!$D$3*'Inputs Worksheet'!$N$41/((1+$B$27)^P27)</f>
        <v>-21719.197785418615</v>
      </c>
      <c r="Q85" s="344">
        <f>-Cost_4!$D$3*'Inputs Worksheet'!$N$41/((1+$B$27)^Q27)</f>
        <v>-20298.31568730712</v>
      </c>
      <c r="R85" s="344">
        <f>-Cost_4!$D$3*'Inputs Worksheet'!$N$41/((1+$B$27)^R27)</f>
        <v>-18970.388492810391</v>
      </c>
      <c r="S85" s="344">
        <f>-Cost_4!$D$3*'Inputs Worksheet'!$N$41/((1+$B$27)^S27)</f>
        <v>-17729.335040009715</v>
      </c>
      <c r="T85" s="344">
        <f>-Cost_4!$D$3*'Inputs Worksheet'!$N$41/((1+$B$27)^T27)</f>
        <v>-16569.472000009075</v>
      </c>
      <c r="U85" s="344">
        <f>-Cost_4!$D$3*'Inputs Worksheet'!$N$41/((1+$B$27)^U27)</f>
        <v>-15485.487850475774</v>
      </c>
      <c r="V85" s="344">
        <f>-Cost_4!$D$3*'Inputs Worksheet'!$N$41/((1+$B$27)^V27)</f>
        <v>-14472.418551846518</v>
      </c>
      <c r="W85" s="344">
        <f>-Cost_4!$D$3*'Inputs Worksheet'!$N$41/((1+$B$27)^W27)</f>
        <v>-13525.624814809829</v>
      </c>
      <c r="X85" s="344">
        <f>-Cost_4!$D$3*'Inputs Worksheet'!$N$41/((1+$B$27)^X27)</f>
        <v>-12640.770854962457</v>
      </c>
      <c r="Y85" s="344">
        <f>-Cost_4!$D$3*'Inputs Worksheet'!$N$41/((1+$B$27)^Y27)</f>
        <v>-11813.804537348091</v>
      </c>
      <c r="Z85" s="344">
        <f>-Cost_4!$D$3*'Inputs Worksheet'!$N$41/((1+$B$27)^Z27)</f>
        <v>-11040.938819951487</v>
      </c>
      <c r="AA85" s="344">
        <f>-Cost_4!$D$3*'Inputs Worksheet'!$N$41/((1+$B$27)^AA27)</f>
        <v>-10318.634411169614</v>
      </c>
      <c r="AB85" s="344">
        <f>-Cost_4!$D$3*'Inputs Worksheet'!$N$41/((1+$B$27)^AB27)</f>
        <v>-9643.58356184076</v>
      </c>
      <c r="AC85" s="344">
        <f>-Cost_4!$D$3*'Inputs Worksheet'!$N$41/((1+$B$27)^AC27)</f>
        <v>-9012.6949176081871</v>
      </c>
      <c r="AD85" s="344">
        <f>-Cost_4!$D$3*'Inputs Worksheet'!$N$41/((1+$B$27)^AD27)</f>
        <v>-8423.0793622506408</v>
      </c>
      <c r="AE85" s="344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</row>
    <row r="86" spans="1:42" s="125" customFormat="1" x14ac:dyDescent="0.25">
      <c r="A86" s="258"/>
      <c r="B86" s="380" t="s">
        <v>167</v>
      </c>
      <c r="C86" s="85"/>
      <c r="D86" s="85"/>
      <c r="E86" s="85"/>
      <c r="F86" s="91"/>
      <c r="G86" s="91"/>
      <c r="H86" s="85"/>
      <c r="I86" s="85"/>
      <c r="J86" s="159"/>
      <c r="K86" s="159"/>
      <c r="L86" s="344"/>
      <c r="M86" s="344"/>
      <c r="N86" s="344"/>
      <c r="O86" s="344"/>
      <c r="P86" s="344"/>
      <c r="Q86" s="344"/>
      <c r="R86" s="344"/>
      <c r="S86" s="344"/>
      <c r="T86" s="344"/>
      <c r="U86" s="344"/>
      <c r="V86" s="344"/>
      <c r="W86" s="344"/>
      <c r="X86" s="344"/>
      <c r="Y86" s="344"/>
      <c r="Z86" s="344"/>
      <c r="AA86" s="344"/>
      <c r="AB86" s="344"/>
      <c r="AC86" s="344"/>
      <c r="AD86" s="344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</row>
    <row r="87" spans="1:42" s="125" customFormat="1" x14ac:dyDescent="0.25">
      <c r="A87" s="258"/>
      <c r="B87" s="14"/>
      <c r="C87" s="85"/>
      <c r="D87" s="85"/>
      <c r="E87" s="85"/>
      <c r="F87" s="91"/>
      <c r="G87" s="91"/>
      <c r="H87" s="85"/>
      <c r="I87" s="85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59"/>
      <c r="AO87" s="159"/>
      <c r="AP87" s="159"/>
    </row>
    <row r="88" spans="1:42" s="125" customFormat="1" hidden="1" x14ac:dyDescent="0.25">
      <c r="A88" s="123">
        <v>3</v>
      </c>
      <c r="B88" s="117" t="str">
        <f>B6</f>
        <v>Not Used</v>
      </c>
      <c r="C88" s="85"/>
      <c r="D88" s="85"/>
      <c r="E88" s="85"/>
      <c r="F88" s="92"/>
      <c r="G88" s="92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59"/>
      <c r="AN88" s="159"/>
      <c r="AO88" s="159"/>
    </row>
    <row r="89" spans="1:42" s="125" customFormat="1" hidden="1" x14ac:dyDescent="0.25">
      <c r="A89" s="123"/>
      <c r="B89" s="86" t="s">
        <v>15</v>
      </c>
      <c r="C89" s="85"/>
      <c r="D89" s="85"/>
      <c r="E89" s="85"/>
      <c r="F89" s="93"/>
      <c r="G89" s="93"/>
      <c r="H89" s="14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59"/>
      <c r="AI89" s="159"/>
      <c r="AJ89" s="159"/>
      <c r="AK89" s="159"/>
      <c r="AL89" s="8"/>
      <c r="AM89" s="8"/>
      <c r="AN89" s="8"/>
      <c r="AO89" s="8"/>
    </row>
    <row r="90" spans="1:42" s="125" customFormat="1" hidden="1" x14ac:dyDescent="0.25">
      <c r="A90" s="123"/>
      <c r="B90" s="87" t="s">
        <v>102</v>
      </c>
      <c r="C90" s="85"/>
      <c r="D90" s="13" t="e">
        <f>((-#REF!)*1.0244)/((1+$B$27)^D$27)</f>
        <v>#REF!</v>
      </c>
      <c r="E90" s="13" t="e">
        <f>((-#REF!)/1.0266)/((1+$B$27)^E$27)</f>
        <v>#REF!</v>
      </c>
      <c r="F90" s="13" t="e">
        <f>((-#REF!)/(LOOKUP(F$26,'Inputs Worksheet'!$P$67:$P$73,'Inputs Worksheet'!$Q$67:$Q$73)/100))/((1+$B$27)^F$27)</f>
        <v>#REF!</v>
      </c>
      <c r="G90" s="125">
        <v>0</v>
      </c>
      <c r="H90" s="13" t="e">
        <f>((-#REF!)/(LOOKUP(G$26,'Inputs Worksheet'!$P$67:$P$73,'Inputs Worksheet'!$Q$67:$Q$73)/100))/((1+$B$27)^G$27)</f>
        <v>#REF!</v>
      </c>
      <c r="I90" s="13" t="e">
        <f>((-#REF!)/(LOOKUP(H$26,'Inputs Worksheet'!$P$67:$P$73,'Inputs Worksheet'!$Q$67:$Q$73)/100))/((1+$B$27)^H$27)</f>
        <v>#REF!</v>
      </c>
      <c r="J90" s="13" t="e">
        <f>((-#REF!)/(LOOKUP(I$26,'Inputs Worksheet'!$P$67:$P$73,'Inputs Worksheet'!$Q$67:$Q$73)/100))/((1+$B$27)^I$27)</f>
        <v>#REF!</v>
      </c>
      <c r="K90" s="13" t="e">
        <f>((-#REF!)/(LOOKUP(J$26,'Inputs Worksheet'!$P$67:$P$73,'Inputs Worksheet'!$Q$67:$Q$73)/100))/((1+$B$27)^J$27)</f>
        <v>#REF!</v>
      </c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5"/>
      <c r="AM90" s="15"/>
      <c r="AN90" s="15"/>
      <c r="AO90" s="15"/>
    </row>
    <row r="91" spans="1:42" s="125" customFormat="1" hidden="1" x14ac:dyDescent="0.25">
      <c r="A91" s="123"/>
      <c r="B91" s="86" t="s">
        <v>16</v>
      </c>
      <c r="C91" s="85"/>
      <c r="D91" s="85"/>
      <c r="E91" s="85"/>
      <c r="F91" s="93"/>
      <c r="G91" s="9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8"/>
      <c r="AL91" s="8"/>
      <c r="AM91" s="8"/>
      <c r="AN91" s="8"/>
    </row>
    <row r="92" spans="1:42" s="125" customFormat="1" hidden="1" x14ac:dyDescent="0.25">
      <c r="A92" s="123"/>
      <c r="B92" s="88" t="s">
        <v>68</v>
      </c>
      <c r="C92" s="85"/>
      <c r="D92" s="85"/>
      <c r="E92" s="85"/>
      <c r="F92" s="93"/>
      <c r="G92" s="9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8"/>
      <c r="AL92" s="8"/>
      <c r="AM92" s="8"/>
      <c r="AN92" s="8"/>
    </row>
    <row r="93" spans="1:42" s="125" customFormat="1" hidden="1" x14ac:dyDescent="0.25">
      <c r="A93" s="123"/>
      <c r="B93" s="88" t="s">
        <v>129</v>
      </c>
      <c r="C93" s="85"/>
      <c r="D93" s="85"/>
      <c r="E93" s="85"/>
      <c r="F93" s="93"/>
      <c r="G93" s="93"/>
      <c r="J93" s="13"/>
      <c r="K93" s="13" t="e">
        <f>(#REF!-#REF!)*#REF!/((1+$B$27)^K$27)</f>
        <v>#REF!</v>
      </c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8"/>
      <c r="AL93" s="8"/>
      <c r="AM93" s="8"/>
      <c r="AN93" s="8"/>
    </row>
    <row r="94" spans="1:42" s="125" customFormat="1" hidden="1" x14ac:dyDescent="0.25">
      <c r="A94" s="123"/>
      <c r="B94" s="88" t="s">
        <v>1</v>
      </c>
      <c r="C94" s="85"/>
      <c r="D94" s="85"/>
      <c r="E94" s="85"/>
      <c r="F94" s="93"/>
      <c r="G94" s="9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8"/>
      <c r="AL94" s="8"/>
      <c r="AM94" s="8"/>
      <c r="AN94" s="8"/>
    </row>
    <row r="95" spans="1:42" s="125" customFormat="1" hidden="1" x14ac:dyDescent="0.25">
      <c r="A95" s="123"/>
      <c r="B95" s="90" t="s">
        <v>77</v>
      </c>
      <c r="C95" s="85"/>
      <c r="D95" s="85"/>
      <c r="E95" s="85"/>
      <c r="F95" s="95"/>
      <c r="G95" s="95"/>
      <c r="I95" s="13"/>
      <c r="J95" s="13"/>
      <c r="K95" s="13">
        <f t="shared" ref="K95:AD95" si="30">N6/((1+$B$27)^K$27)</f>
        <v>0</v>
      </c>
      <c r="L95" s="13" t="e">
        <f t="shared" si="30"/>
        <v>#DIV/0!</v>
      </c>
      <c r="M95" s="13" t="e">
        <f t="shared" si="30"/>
        <v>#DIV/0!</v>
      </c>
      <c r="N95" s="13" t="e">
        <f t="shared" si="30"/>
        <v>#DIV/0!</v>
      </c>
      <c r="O95" s="13" t="e">
        <f t="shared" si="30"/>
        <v>#DIV/0!</v>
      </c>
      <c r="P95" s="13" t="e">
        <f t="shared" si="30"/>
        <v>#DIV/0!</v>
      </c>
      <c r="Q95" s="13" t="e">
        <f t="shared" si="30"/>
        <v>#DIV/0!</v>
      </c>
      <c r="R95" s="13" t="e">
        <f t="shared" si="30"/>
        <v>#DIV/0!</v>
      </c>
      <c r="S95" s="13" t="e">
        <f t="shared" si="30"/>
        <v>#DIV/0!</v>
      </c>
      <c r="T95" s="13" t="e">
        <f t="shared" si="30"/>
        <v>#DIV/0!</v>
      </c>
      <c r="U95" s="13" t="e">
        <f t="shared" si="30"/>
        <v>#DIV/0!</v>
      </c>
      <c r="V95" s="13" t="e">
        <f t="shared" si="30"/>
        <v>#DIV/0!</v>
      </c>
      <c r="W95" s="13" t="e">
        <f t="shared" si="30"/>
        <v>#DIV/0!</v>
      </c>
      <c r="X95" s="13" t="e">
        <f t="shared" si="30"/>
        <v>#DIV/0!</v>
      </c>
      <c r="Y95" s="13" t="e">
        <f t="shared" si="30"/>
        <v>#DIV/0!</v>
      </c>
      <c r="Z95" s="13" t="e">
        <f t="shared" si="30"/>
        <v>#DIV/0!</v>
      </c>
      <c r="AA95" s="13" t="e">
        <f t="shared" si="30"/>
        <v>#DIV/0!</v>
      </c>
      <c r="AB95" s="13" t="e">
        <f t="shared" si="30"/>
        <v>#DIV/0!</v>
      </c>
      <c r="AC95" s="13" t="e">
        <f t="shared" si="30"/>
        <v>#DIV/0!</v>
      </c>
      <c r="AD95" s="13" t="e">
        <f t="shared" si="30"/>
        <v>#DIV/0!</v>
      </c>
      <c r="AE95" s="13"/>
      <c r="AF95" s="13"/>
      <c r="AG95" s="13"/>
      <c r="AH95" s="13"/>
      <c r="AI95" s="13"/>
      <c r="AJ95" s="13"/>
      <c r="AK95" s="13"/>
      <c r="AL95" s="13"/>
      <c r="AM95" s="13"/>
      <c r="AN95" s="8"/>
    </row>
    <row r="96" spans="1:42" s="125" customFormat="1" hidden="1" x14ac:dyDescent="0.25">
      <c r="A96" s="123"/>
      <c r="B96" s="90" t="s">
        <v>78</v>
      </c>
      <c r="C96" s="85"/>
      <c r="D96" s="85"/>
      <c r="E96" s="85"/>
      <c r="F96" s="95"/>
      <c r="G96" s="95"/>
      <c r="I96" s="13"/>
      <c r="J96" s="13"/>
      <c r="K96" s="13">
        <f t="shared" ref="K96:AD96" si="31">N14/((1+$B$27)^K$27)</f>
        <v>0</v>
      </c>
      <c r="L96" s="13">
        <f t="shared" si="31"/>
        <v>0</v>
      </c>
      <c r="M96" s="13">
        <f t="shared" si="31"/>
        <v>0</v>
      </c>
      <c r="N96" s="13">
        <f t="shared" si="31"/>
        <v>0</v>
      </c>
      <c r="O96" s="13">
        <f t="shared" si="31"/>
        <v>0</v>
      </c>
      <c r="P96" s="13">
        <f t="shared" si="31"/>
        <v>0</v>
      </c>
      <c r="Q96" s="13">
        <f t="shared" si="31"/>
        <v>0</v>
      </c>
      <c r="R96" s="13">
        <f t="shared" si="31"/>
        <v>0</v>
      </c>
      <c r="S96" s="13">
        <f t="shared" si="31"/>
        <v>0</v>
      </c>
      <c r="T96" s="13">
        <f t="shared" si="31"/>
        <v>0</v>
      </c>
      <c r="U96" s="13">
        <f t="shared" si="31"/>
        <v>0</v>
      </c>
      <c r="V96" s="13">
        <f t="shared" si="31"/>
        <v>0</v>
      </c>
      <c r="W96" s="13">
        <f t="shared" si="31"/>
        <v>0</v>
      </c>
      <c r="X96" s="13">
        <f t="shared" si="31"/>
        <v>0</v>
      </c>
      <c r="Y96" s="13">
        <f t="shared" si="31"/>
        <v>0</v>
      </c>
      <c r="Z96" s="13">
        <f t="shared" si="31"/>
        <v>0</v>
      </c>
      <c r="AA96" s="13">
        <f t="shared" si="31"/>
        <v>0</v>
      </c>
      <c r="AB96" s="13">
        <f t="shared" si="31"/>
        <v>0</v>
      </c>
      <c r="AC96" s="13">
        <f t="shared" si="31"/>
        <v>0</v>
      </c>
      <c r="AD96" s="13">
        <f t="shared" si="31"/>
        <v>0</v>
      </c>
      <c r="AE96" s="13"/>
      <c r="AF96" s="13"/>
      <c r="AG96" s="13"/>
      <c r="AH96" s="13"/>
      <c r="AI96" s="13"/>
      <c r="AJ96" s="13"/>
      <c r="AK96" s="13"/>
      <c r="AL96" s="13"/>
      <c r="AM96" s="13"/>
      <c r="AN96" s="8"/>
    </row>
    <row r="97" spans="1:40" s="125" customFormat="1" hidden="1" x14ac:dyDescent="0.25">
      <c r="A97" s="123"/>
      <c r="B97" s="89" t="s">
        <v>69</v>
      </c>
      <c r="C97" s="14"/>
      <c r="D97" s="14"/>
      <c r="E97" s="14"/>
      <c r="F97" s="95"/>
      <c r="G97" s="95"/>
      <c r="I97" s="13"/>
      <c r="J97" s="13"/>
      <c r="K97" s="13">
        <f>((K95*$D$6)+(K96*$C$6))</f>
        <v>0</v>
      </c>
      <c r="L97" s="13" t="e">
        <f t="shared" ref="L97:AD97" si="32">((L95*$D$6)+(L96*$C$6))</f>
        <v>#DIV/0!</v>
      </c>
      <c r="M97" s="13" t="e">
        <f t="shared" si="32"/>
        <v>#DIV/0!</v>
      </c>
      <c r="N97" s="13" t="e">
        <f t="shared" si="32"/>
        <v>#DIV/0!</v>
      </c>
      <c r="O97" s="13" t="e">
        <f t="shared" si="32"/>
        <v>#DIV/0!</v>
      </c>
      <c r="P97" s="13" t="e">
        <f t="shared" si="32"/>
        <v>#DIV/0!</v>
      </c>
      <c r="Q97" s="13" t="e">
        <f t="shared" si="32"/>
        <v>#DIV/0!</v>
      </c>
      <c r="R97" s="13" t="e">
        <f t="shared" si="32"/>
        <v>#DIV/0!</v>
      </c>
      <c r="S97" s="13" t="e">
        <f t="shared" si="32"/>
        <v>#DIV/0!</v>
      </c>
      <c r="T97" s="13" t="e">
        <f t="shared" si="32"/>
        <v>#DIV/0!</v>
      </c>
      <c r="U97" s="13" t="e">
        <f t="shared" si="32"/>
        <v>#DIV/0!</v>
      </c>
      <c r="V97" s="13" t="e">
        <f t="shared" si="32"/>
        <v>#DIV/0!</v>
      </c>
      <c r="W97" s="13" t="e">
        <f t="shared" si="32"/>
        <v>#DIV/0!</v>
      </c>
      <c r="X97" s="13" t="e">
        <f t="shared" si="32"/>
        <v>#DIV/0!</v>
      </c>
      <c r="Y97" s="13" t="e">
        <f t="shared" si="32"/>
        <v>#DIV/0!</v>
      </c>
      <c r="Z97" s="13" t="e">
        <f t="shared" si="32"/>
        <v>#DIV/0!</v>
      </c>
      <c r="AA97" s="13" t="e">
        <f t="shared" si="32"/>
        <v>#DIV/0!</v>
      </c>
      <c r="AB97" s="13" t="e">
        <f t="shared" si="32"/>
        <v>#DIV/0!</v>
      </c>
      <c r="AC97" s="13" t="e">
        <f t="shared" si="32"/>
        <v>#DIV/0!</v>
      </c>
      <c r="AD97" s="13" t="e">
        <f t="shared" si="32"/>
        <v>#DIV/0!</v>
      </c>
      <c r="AE97" s="13"/>
      <c r="AF97" s="13"/>
      <c r="AG97" s="13"/>
      <c r="AH97" s="13"/>
      <c r="AI97" s="13"/>
      <c r="AJ97" s="13"/>
      <c r="AK97" s="13"/>
      <c r="AL97" s="13"/>
      <c r="AM97" s="13"/>
      <c r="AN97" s="8"/>
    </row>
    <row r="98" spans="1:40" s="125" customFormat="1" hidden="1" x14ac:dyDescent="0.25">
      <c r="A98" s="123"/>
      <c r="B98" s="337" t="s">
        <v>161</v>
      </c>
      <c r="C98" s="14"/>
      <c r="D98" s="14"/>
      <c r="E98" s="14"/>
      <c r="F98" s="95"/>
      <c r="G98" s="95"/>
      <c r="I98" s="13"/>
      <c r="J98" s="13"/>
      <c r="K98" s="344">
        <f>'Inputs Worksheet'!$D9*'Inputs Worksheet'!$E9*365*'Inputs Worksheet'!$D$58*'Inputs Worksheet'!$I22^('Inputs Worksheet'!$A$29-'Inputs Worksheet'!$A$3)/((1+$B$27)^K$27)</f>
        <v>0</v>
      </c>
      <c r="L98" s="344">
        <f t="shared" ref="L98:AD98" si="33">K98*$AI$98/(1+$B$27)</f>
        <v>0</v>
      </c>
      <c r="M98" s="344">
        <f t="shared" si="33"/>
        <v>0</v>
      </c>
      <c r="N98" s="344">
        <f t="shared" si="33"/>
        <v>0</v>
      </c>
      <c r="O98" s="344">
        <f t="shared" si="33"/>
        <v>0</v>
      </c>
      <c r="P98" s="344">
        <f t="shared" si="33"/>
        <v>0</v>
      </c>
      <c r="Q98" s="344">
        <f t="shared" si="33"/>
        <v>0</v>
      </c>
      <c r="R98" s="344">
        <f t="shared" si="33"/>
        <v>0</v>
      </c>
      <c r="S98" s="344">
        <f t="shared" si="33"/>
        <v>0</v>
      </c>
      <c r="T98" s="344">
        <f t="shared" si="33"/>
        <v>0</v>
      </c>
      <c r="U98" s="344">
        <f t="shared" si="33"/>
        <v>0</v>
      </c>
      <c r="V98" s="344">
        <f t="shared" si="33"/>
        <v>0</v>
      </c>
      <c r="W98" s="344">
        <f t="shared" si="33"/>
        <v>0</v>
      </c>
      <c r="X98" s="344">
        <f t="shared" si="33"/>
        <v>0</v>
      </c>
      <c r="Y98" s="344">
        <f t="shared" si="33"/>
        <v>0</v>
      </c>
      <c r="Z98" s="344">
        <f t="shared" si="33"/>
        <v>0</v>
      </c>
      <c r="AA98" s="344">
        <f t="shared" si="33"/>
        <v>0</v>
      </c>
      <c r="AB98" s="344">
        <f t="shared" si="33"/>
        <v>0</v>
      </c>
      <c r="AC98" s="344">
        <f t="shared" si="33"/>
        <v>0</v>
      </c>
      <c r="AD98" s="344">
        <f t="shared" si="33"/>
        <v>0</v>
      </c>
      <c r="AE98" s="13"/>
      <c r="AG98" s="342" t="s">
        <v>121</v>
      </c>
      <c r="AH98" s="13"/>
      <c r="AI98" s="407">
        <f>'Inputs Worksheet'!I22</f>
        <v>1.0101245902987583</v>
      </c>
      <c r="AJ98" s="13"/>
      <c r="AK98" s="13"/>
      <c r="AL98" s="13"/>
      <c r="AM98" s="13"/>
      <c r="AN98" s="8"/>
    </row>
    <row r="99" spans="1:40" s="125" customFormat="1" hidden="1" x14ac:dyDescent="0.25">
      <c r="A99" s="123"/>
      <c r="B99" s="88" t="s">
        <v>135</v>
      </c>
      <c r="C99" s="14"/>
      <c r="D99" s="14"/>
      <c r="E99" s="14"/>
      <c r="F99" s="95"/>
      <c r="G99" s="95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8"/>
    </row>
    <row r="100" spans="1:40" s="125" customFormat="1" hidden="1" x14ac:dyDescent="0.25">
      <c r="A100" s="123"/>
      <c r="B100" s="194" t="s">
        <v>132</v>
      </c>
      <c r="C100" s="14"/>
      <c r="D100" s="14"/>
      <c r="E100" s="14"/>
      <c r="F100" s="95"/>
      <c r="G100" s="95"/>
      <c r="I100" s="13"/>
      <c r="J100" s="13"/>
      <c r="K100" s="13">
        <f t="shared" ref="K100:AD100" si="34">N22/((1+$B$27)^K$27)</f>
        <v>0</v>
      </c>
      <c r="L100" s="13" t="e">
        <f t="shared" si="34"/>
        <v>#DIV/0!</v>
      </c>
      <c r="M100" s="13" t="e">
        <f t="shared" si="34"/>
        <v>#DIV/0!</v>
      </c>
      <c r="N100" s="13" t="e">
        <f t="shared" si="34"/>
        <v>#DIV/0!</v>
      </c>
      <c r="O100" s="13" t="e">
        <f t="shared" si="34"/>
        <v>#DIV/0!</v>
      </c>
      <c r="P100" s="13" t="e">
        <f t="shared" si="34"/>
        <v>#DIV/0!</v>
      </c>
      <c r="Q100" s="13" t="e">
        <f t="shared" si="34"/>
        <v>#DIV/0!</v>
      </c>
      <c r="R100" s="13" t="e">
        <f t="shared" si="34"/>
        <v>#DIV/0!</v>
      </c>
      <c r="S100" s="13" t="e">
        <f t="shared" si="34"/>
        <v>#DIV/0!</v>
      </c>
      <c r="T100" s="13" t="e">
        <f t="shared" si="34"/>
        <v>#DIV/0!</v>
      </c>
      <c r="U100" s="13" t="e">
        <f t="shared" si="34"/>
        <v>#DIV/0!</v>
      </c>
      <c r="V100" s="13" t="e">
        <f t="shared" si="34"/>
        <v>#DIV/0!</v>
      </c>
      <c r="W100" s="13" t="e">
        <f t="shared" si="34"/>
        <v>#DIV/0!</v>
      </c>
      <c r="X100" s="13" t="e">
        <f t="shared" si="34"/>
        <v>#DIV/0!</v>
      </c>
      <c r="Y100" s="13" t="e">
        <f t="shared" si="34"/>
        <v>#DIV/0!</v>
      </c>
      <c r="Z100" s="13" t="e">
        <f t="shared" si="34"/>
        <v>#DIV/0!</v>
      </c>
      <c r="AA100" s="13" t="e">
        <f t="shared" si="34"/>
        <v>#DIV/0!</v>
      </c>
      <c r="AB100" s="13" t="e">
        <f t="shared" si="34"/>
        <v>#DIV/0!</v>
      </c>
      <c r="AC100" s="13" t="e">
        <f t="shared" si="34"/>
        <v>#DIV/0!</v>
      </c>
      <c r="AD100" s="13" t="e">
        <f t="shared" si="34"/>
        <v>#DIV/0!</v>
      </c>
      <c r="AE100" s="13"/>
      <c r="AF100" s="13"/>
      <c r="AG100" s="13"/>
      <c r="AH100" s="13"/>
      <c r="AI100" s="13"/>
      <c r="AJ100" s="13"/>
      <c r="AK100" s="13"/>
      <c r="AL100" s="13"/>
      <c r="AM100" s="13"/>
      <c r="AN100" s="8"/>
    </row>
    <row r="101" spans="1:40" s="125" customFormat="1" hidden="1" x14ac:dyDescent="0.25">
      <c r="A101" s="123"/>
      <c r="B101" s="346" t="s">
        <v>133</v>
      </c>
      <c r="C101" s="14"/>
      <c r="D101" s="14"/>
      <c r="E101" s="14"/>
      <c r="F101" s="95"/>
      <c r="G101" s="95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8"/>
    </row>
    <row r="102" spans="1:40" s="125" customFormat="1" hidden="1" x14ac:dyDescent="0.25">
      <c r="A102" s="123"/>
      <c r="B102" s="337" t="s">
        <v>134</v>
      </c>
      <c r="C102" s="14"/>
      <c r="D102" s="14"/>
      <c r="E102" s="14"/>
      <c r="F102" s="95"/>
      <c r="G102" s="95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8"/>
    </row>
    <row r="103" spans="1:40" s="125" customFormat="1" hidden="1" x14ac:dyDescent="0.25">
      <c r="A103" s="123"/>
      <c r="B103" s="88" t="s">
        <v>2</v>
      </c>
      <c r="C103" s="9"/>
      <c r="D103" s="9"/>
      <c r="E103" s="9"/>
      <c r="F103" s="93"/>
      <c r="G103" s="9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8"/>
      <c r="AL103" s="8"/>
      <c r="AM103" s="8"/>
      <c r="AN103" s="8"/>
    </row>
    <row r="104" spans="1:40" s="125" customFormat="1" hidden="1" x14ac:dyDescent="0.25">
      <c r="A104" s="123"/>
      <c r="B104" s="153" t="s">
        <v>168</v>
      </c>
      <c r="C104" s="9"/>
      <c r="D104" s="9"/>
      <c r="E104" s="9"/>
      <c r="F104" s="9"/>
      <c r="G104" s="9"/>
      <c r="I104" s="13"/>
      <c r="J104" s="13"/>
      <c r="K104" s="13" t="e">
        <f t="shared" ref="K104:AD104" si="35">(CE6+CE14)/((1+$B$27)^K$27)</f>
        <v>#DIV/0!</v>
      </c>
      <c r="L104" s="13" t="e">
        <f t="shared" si="35"/>
        <v>#DIV/0!</v>
      </c>
      <c r="M104" s="13" t="e">
        <f t="shared" si="35"/>
        <v>#DIV/0!</v>
      </c>
      <c r="N104" s="13" t="e">
        <f t="shared" si="35"/>
        <v>#DIV/0!</v>
      </c>
      <c r="O104" s="13" t="e">
        <f t="shared" si="35"/>
        <v>#DIV/0!</v>
      </c>
      <c r="P104" s="13" t="e">
        <f t="shared" si="35"/>
        <v>#DIV/0!</v>
      </c>
      <c r="Q104" s="13" t="e">
        <f t="shared" si="35"/>
        <v>#DIV/0!</v>
      </c>
      <c r="R104" s="13" t="e">
        <f t="shared" si="35"/>
        <v>#DIV/0!</v>
      </c>
      <c r="S104" s="13" t="e">
        <f t="shared" si="35"/>
        <v>#DIV/0!</v>
      </c>
      <c r="T104" s="13" t="e">
        <f t="shared" si="35"/>
        <v>#DIV/0!</v>
      </c>
      <c r="U104" s="13" t="e">
        <f t="shared" si="35"/>
        <v>#DIV/0!</v>
      </c>
      <c r="V104" s="13" t="e">
        <f t="shared" si="35"/>
        <v>#DIV/0!</v>
      </c>
      <c r="W104" s="13" t="e">
        <f t="shared" si="35"/>
        <v>#DIV/0!</v>
      </c>
      <c r="X104" s="13" t="e">
        <f t="shared" si="35"/>
        <v>#DIV/0!</v>
      </c>
      <c r="Y104" s="13" t="e">
        <f t="shared" si="35"/>
        <v>#DIV/0!</v>
      </c>
      <c r="Z104" s="13" t="e">
        <f t="shared" si="35"/>
        <v>#DIV/0!</v>
      </c>
      <c r="AA104" s="13" t="e">
        <f t="shared" si="35"/>
        <v>#DIV/0!</v>
      </c>
      <c r="AB104" s="13" t="e">
        <f t="shared" si="35"/>
        <v>#DIV/0!</v>
      </c>
      <c r="AC104" s="13" t="e">
        <f t="shared" si="35"/>
        <v>#DIV/0!</v>
      </c>
      <c r="AD104" s="13" t="e">
        <f t="shared" si="35"/>
        <v>#DIV/0!</v>
      </c>
      <c r="AE104" s="13"/>
      <c r="AF104" s="13"/>
      <c r="AG104" s="13"/>
      <c r="AH104" s="13"/>
      <c r="AI104" s="13"/>
      <c r="AJ104" s="13"/>
      <c r="AK104" s="13"/>
      <c r="AL104" s="13"/>
      <c r="AM104" s="13"/>
      <c r="AN104" s="8"/>
    </row>
    <row r="105" spans="1:40" s="125" customFormat="1" hidden="1" x14ac:dyDescent="0.25">
      <c r="A105" s="123"/>
      <c r="B105" s="153" t="s">
        <v>163</v>
      </c>
      <c r="C105" s="16"/>
      <c r="D105" s="16"/>
      <c r="E105" s="16"/>
      <c r="F105" s="9"/>
      <c r="G105" s="9"/>
      <c r="I105" s="13"/>
      <c r="J105" s="13"/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13"/>
      <c r="AF105" s="13"/>
      <c r="AG105" s="13"/>
      <c r="AH105" s="13"/>
      <c r="AI105" s="13"/>
      <c r="AJ105" s="13"/>
      <c r="AK105" s="13"/>
      <c r="AL105" s="13"/>
      <c r="AM105" s="13"/>
      <c r="AN105" s="8"/>
    </row>
    <row r="106" spans="1:40" s="125" customFormat="1" hidden="1" x14ac:dyDescent="0.25">
      <c r="A106" s="123"/>
      <c r="B106" s="153" t="s">
        <v>164</v>
      </c>
      <c r="C106" s="16"/>
      <c r="D106" s="16"/>
      <c r="E106" s="16"/>
      <c r="F106" s="9"/>
      <c r="G106" s="9"/>
      <c r="I106" s="13"/>
      <c r="J106" s="13"/>
      <c r="K106" s="13">
        <f>('Inputs Worksheet'!DE57+'Inputs Worksheet'!DE67)/((1+'7% Discounting'!$B$27)^'7% Discounting'!K$27)</f>
        <v>0</v>
      </c>
      <c r="L106" s="13" t="e">
        <f>('Inputs Worksheet'!DF57+'Inputs Worksheet'!DF67)/((1+'7% Discounting'!$B$27)^'7% Discounting'!L$27)</f>
        <v>#DIV/0!</v>
      </c>
      <c r="M106" s="13" t="e">
        <f>('Inputs Worksheet'!DG57+'Inputs Worksheet'!DG67)/((1+'7% Discounting'!$B$27)^'7% Discounting'!M$27)</f>
        <v>#DIV/0!</v>
      </c>
      <c r="N106" s="13" t="e">
        <f>('Inputs Worksheet'!DH57+'Inputs Worksheet'!DH67)/((1+'7% Discounting'!$B$27)^'7% Discounting'!N$27)</f>
        <v>#DIV/0!</v>
      </c>
      <c r="O106" s="13" t="e">
        <f>('Inputs Worksheet'!DI57+'Inputs Worksheet'!DI67)/((1+'7% Discounting'!$B$27)^'7% Discounting'!O$27)</f>
        <v>#DIV/0!</v>
      </c>
      <c r="P106" s="13" t="e">
        <f>('Inputs Worksheet'!DJ57+'Inputs Worksheet'!DJ67)/((1+'7% Discounting'!$B$27)^'7% Discounting'!P$27)</f>
        <v>#DIV/0!</v>
      </c>
      <c r="Q106" s="13" t="e">
        <f>('Inputs Worksheet'!DK57+'Inputs Worksheet'!DK67)/((1+'7% Discounting'!$B$27)^'7% Discounting'!Q$27)</f>
        <v>#DIV/0!</v>
      </c>
      <c r="R106" s="13" t="e">
        <f>('Inputs Worksheet'!DL57+'Inputs Worksheet'!DL67)/((1+'7% Discounting'!$B$27)^'7% Discounting'!R$27)</f>
        <v>#DIV/0!</v>
      </c>
      <c r="S106" s="13" t="e">
        <f>('Inputs Worksheet'!DM57+'Inputs Worksheet'!DM67)/((1+'7% Discounting'!$B$27)^'7% Discounting'!S$27)</f>
        <v>#DIV/0!</v>
      </c>
      <c r="T106" s="13" t="e">
        <f>('Inputs Worksheet'!DN57+'Inputs Worksheet'!DN67)/((1+'7% Discounting'!$B$27)^'7% Discounting'!T$27)</f>
        <v>#DIV/0!</v>
      </c>
      <c r="U106" s="13" t="e">
        <f>('Inputs Worksheet'!DO57+'Inputs Worksheet'!DO67)/((1+'7% Discounting'!$B$27)^'7% Discounting'!U$27)</f>
        <v>#DIV/0!</v>
      </c>
      <c r="V106" s="13" t="e">
        <f>('Inputs Worksheet'!DP57+'Inputs Worksheet'!DP67)/((1+'7% Discounting'!$B$27)^'7% Discounting'!V$27)</f>
        <v>#DIV/0!</v>
      </c>
      <c r="W106" s="13" t="e">
        <f>('Inputs Worksheet'!DQ57+'Inputs Worksheet'!DQ67)/((1+'7% Discounting'!$B$27)^'7% Discounting'!W$27)</f>
        <v>#DIV/0!</v>
      </c>
      <c r="X106" s="13" t="e">
        <f>('Inputs Worksheet'!DR57+'Inputs Worksheet'!DR67)/((1+'7% Discounting'!$B$27)^'7% Discounting'!X$27)</f>
        <v>#DIV/0!</v>
      </c>
      <c r="Y106" s="13" t="e">
        <f>('Inputs Worksheet'!DS57+'Inputs Worksheet'!DS67)/((1+'7% Discounting'!$B$27)^'7% Discounting'!Y$27)</f>
        <v>#DIV/0!</v>
      </c>
      <c r="Z106" s="13" t="e">
        <f>('Inputs Worksheet'!DT57+'Inputs Worksheet'!DT67)/((1+'7% Discounting'!$B$27)^'7% Discounting'!Z$27)</f>
        <v>#DIV/0!</v>
      </c>
      <c r="AA106" s="13" t="e">
        <f>('Inputs Worksheet'!DU57+'Inputs Worksheet'!DU67)/((1+'7% Discounting'!$B$27)^'7% Discounting'!AA$27)</f>
        <v>#DIV/0!</v>
      </c>
      <c r="AB106" s="13" t="e">
        <f>('Inputs Worksheet'!DV57+'Inputs Worksheet'!DV67)/((1+'7% Discounting'!$B$27)^'7% Discounting'!AB$27)</f>
        <v>#DIV/0!</v>
      </c>
      <c r="AC106" s="13" t="e">
        <f>('Inputs Worksheet'!DW57+'Inputs Worksheet'!DW67)/((1+'7% Discounting'!$B$27)^'7% Discounting'!AC$27)</f>
        <v>#DIV/0!</v>
      </c>
      <c r="AD106" s="13" t="e">
        <f>('Inputs Worksheet'!DX57+'Inputs Worksheet'!DX67)/((1+'7% Discounting'!$B$27)^'7% Discounting'!AD$27)</f>
        <v>#DIV/0!</v>
      </c>
      <c r="AE106" s="13"/>
      <c r="AF106" s="13"/>
      <c r="AG106" s="13"/>
      <c r="AH106" s="13"/>
      <c r="AI106" s="13"/>
      <c r="AJ106" s="13"/>
      <c r="AK106" s="13"/>
      <c r="AL106" s="13"/>
      <c r="AM106" s="13"/>
      <c r="AN106" s="8"/>
    </row>
    <row r="107" spans="1:40" s="125" customFormat="1" hidden="1" x14ac:dyDescent="0.25">
      <c r="A107" s="123"/>
      <c r="B107" s="153" t="s">
        <v>165</v>
      </c>
      <c r="C107" s="16"/>
      <c r="D107" s="16"/>
      <c r="E107" s="16"/>
      <c r="F107" s="9"/>
      <c r="G107" s="9"/>
      <c r="I107" s="13"/>
      <c r="J107" s="13"/>
      <c r="K107" s="13" t="e">
        <f>('Inputs Worksheet'!CH57+'Inputs Worksheet'!CH67)/((1+'7% Discounting'!$B$27)^'7% Discounting'!K$27)</f>
        <v>#DIV/0!</v>
      </c>
      <c r="L107" s="13" t="e">
        <f>('Inputs Worksheet'!CI57+'Inputs Worksheet'!CI67)/((1+'7% Discounting'!$B$27)^'7% Discounting'!L$27)</f>
        <v>#DIV/0!</v>
      </c>
      <c r="M107" s="13" t="e">
        <f>('Inputs Worksheet'!CJ57+'Inputs Worksheet'!CJ67)/((1+'7% Discounting'!$B$27)^'7% Discounting'!M$27)</f>
        <v>#DIV/0!</v>
      </c>
      <c r="N107" s="13" t="e">
        <f>('Inputs Worksheet'!CK57+'Inputs Worksheet'!CK67)/((1+'7% Discounting'!$B$27)^'7% Discounting'!N$27)</f>
        <v>#DIV/0!</v>
      </c>
      <c r="O107" s="13" t="e">
        <f>('Inputs Worksheet'!CL57+'Inputs Worksheet'!CL67)/((1+'7% Discounting'!$B$27)^'7% Discounting'!O$27)</f>
        <v>#DIV/0!</v>
      </c>
      <c r="P107" s="13" t="e">
        <f>('Inputs Worksheet'!CM57+'Inputs Worksheet'!CM67)/((1+'7% Discounting'!$B$27)^'7% Discounting'!P$27)</f>
        <v>#DIV/0!</v>
      </c>
      <c r="Q107" s="13" t="e">
        <f>('Inputs Worksheet'!CN57+'Inputs Worksheet'!CN67)/((1+'7% Discounting'!$B$27)^'7% Discounting'!Q$27)</f>
        <v>#DIV/0!</v>
      </c>
      <c r="R107" s="13" t="e">
        <f>('Inputs Worksheet'!CO57+'Inputs Worksheet'!CO67)/((1+'7% Discounting'!$B$27)^'7% Discounting'!R$27)</f>
        <v>#DIV/0!</v>
      </c>
      <c r="S107" s="13" t="e">
        <f>('Inputs Worksheet'!CP57+'Inputs Worksheet'!CP67)/((1+'7% Discounting'!$B$27)^'7% Discounting'!S$27)</f>
        <v>#DIV/0!</v>
      </c>
      <c r="T107" s="13" t="e">
        <f>('Inputs Worksheet'!CQ57+'Inputs Worksheet'!CQ67)/((1+'7% Discounting'!$B$27)^'7% Discounting'!T$27)</f>
        <v>#DIV/0!</v>
      </c>
      <c r="U107" s="13" t="e">
        <f>('Inputs Worksheet'!CR57+'Inputs Worksheet'!CR67)/((1+'7% Discounting'!$B$27)^'7% Discounting'!U$27)</f>
        <v>#DIV/0!</v>
      </c>
      <c r="V107" s="13" t="e">
        <f>('Inputs Worksheet'!CS57+'Inputs Worksheet'!CS67)/((1+'7% Discounting'!$B$27)^'7% Discounting'!V$27)</f>
        <v>#DIV/0!</v>
      </c>
      <c r="W107" s="13" t="e">
        <f>('Inputs Worksheet'!CT57+'Inputs Worksheet'!CT67)/((1+'7% Discounting'!$B$27)^'7% Discounting'!W$27)</f>
        <v>#DIV/0!</v>
      </c>
      <c r="X107" s="13" t="e">
        <f>('Inputs Worksheet'!CU57+'Inputs Worksheet'!CU67)/((1+'7% Discounting'!$B$27)^'7% Discounting'!X$27)</f>
        <v>#DIV/0!</v>
      </c>
      <c r="Y107" s="13" t="e">
        <f>('Inputs Worksheet'!CV57+'Inputs Worksheet'!CV67)/((1+'7% Discounting'!$B$27)^'7% Discounting'!Y$27)</f>
        <v>#DIV/0!</v>
      </c>
      <c r="Z107" s="13" t="e">
        <f>('Inputs Worksheet'!CW57+'Inputs Worksheet'!CW67)/((1+'7% Discounting'!$B$27)^'7% Discounting'!Z$27)</f>
        <v>#DIV/0!</v>
      </c>
      <c r="AA107" s="13" t="e">
        <f>('Inputs Worksheet'!CX57+'Inputs Worksheet'!CX67)/((1+'7% Discounting'!$B$27)^'7% Discounting'!AA$27)</f>
        <v>#DIV/0!</v>
      </c>
      <c r="AB107" s="13" t="e">
        <f>('Inputs Worksheet'!CY57+'Inputs Worksheet'!CY67)/((1+'7% Discounting'!$B$27)^'7% Discounting'!AB$27)</f>
        <v>#DIV/0!</v>
      </c>
      <c r="AC107" s="13" t="e">
        <f>('Inputs Worksheet'!CZ57+'Inputs Worksheet'!CZ67)/((1+'7% Discounting'!$B$27)^'7% Discounting'!AC$27)</f>
        <v>#DIV/0!</v>
      </c>
      <c r="AD107" s="13" t="e">
        <f>('Inputs Worksheet'!DA57+'Inputs Worksheet'!DA67)/((1+'7% Discounting'!$B$27)^'7% Discounting'!AD$27)</f>
        <v>#DIV/0!</v>
      </c>
      <c r="AE107" s="13"/>
      <c r="AF107" s="13"/>
      <c r="AG107" s="13"/>
      <c r="AH107" s="13"/>
      <c r="AI107" s="13"/>
      <c r="AJ107" s="13"/>
      <c r="AK107" s="13"/>
      <c r="AL107" s="13"/>
      <c r="AM107" s="13"/>
      <c r="AN107" s="8"/>
    </row>
    <row r="108" spans="1:40" s="125" customFormat="1" hidden="1" x14ac:dyDescent="0.25">
      <c r="A108" s="123"/>
      <c r="B108" s="153" t="s">
        <v>166</v>
      </c>
      <c r="C108" s="14"/>
      <c r="D108" s="14"/>
      <c r="E108" s="14"/>
      <c r="F108" s="124"/>
      <c r="G108" s="124"/>
      <c r="I108" s="13"/>
      <c r="J108" s="13"/>
      <c r="K108" s="13">
        <f t="shared" ref="K108:AD108" si="36">(AK6+AK14)/((1+$B$20)^K$27)</f>
        <v>0</v>
      </c>
      <c r="L108" s="13" t="e">
        <f t="shared" si="36"/>
        <v>#DIV/0!</v>
      </c>
      <c r="M108" s="13" t="e">
        <f t="shared" si="36"/>
        <v>#DIV/0!</v>
      </c>
      <c r="N108" s="13" t="e">
        <f t="shared" si="36"/>
        <v>#DIV/0!</v>
      </c>
      <c r="O108" s="13" t="e">
        <f t="shared" si="36"/>
        <v>#DIV/0!</v>
      </c>
      <c r="P108" s="13" t="e">
        <f t="shared" si="36"/>
        <v>#DIV/0!</v>
      </c>
      <c r="Q108" s="13" t="e">
        <f t="shared" si="36"/>
        <v>#DIV/0!</v>
      </c>
      <c r="R108" s="13" t="e">
        <f t="shared" si="36"/>
        <v>#DIV/0!</v>
      </c>
      <c r="S108" s="13" t="e">
        <f t="shared" si="36"/>
        <v>#DIV/0!</v>
      </c>
      <c r="T108" s="13" t="e">
        <f t="shared" si="36"/>
        <v>#DIV/0!</v>
      </c>
      <c r="U108" s="13" t="e">
        <f t="shared" si="36"/>
        <v>#DIV/0!</v>
      </c>
      <c r="V108" s="13" t="e">
        <f t="shared" si="36"/>
        <v>#DIV/0!</v>
      </c>
      <c r="W108" s="13" t="e">
        <f t="shared" si="36"/>
        <v>#DIV/0!</v>
      </c>
      <c r="X108" s="13" t="e">
        <f t="shared" si="36"/>
        <v>#DIV/0!</v>
      </c>
      <c r="Y108" s="13" t="e">
        <f t="shared" si="36"/>
        <v>#DIV/0!</v>
      </c>
      <c r="Z108" s="13" t="e">
        <f t="shared" si="36"/>
        <v>#DIV/0!</v>
      </c>
      <c r="AA108" s="13" t="e">
        <f t="shared" si="36"/>
        <v>#DIV/0!</v>
      </c>
      <c r="AB108" s="13" t="e">
        <f t="shared" si="36"/>
        <v>#DIV/0!</v>
      </c>
      <c r="AC108" s="13" t="e">
        <f t="shared" si="36"/>
        <v>#DIV/0!</v>
      </c>
      <c r="AD108" s="13" t="e">
        <f t="shared" si="36"/>
        <v>#DIV/0!</v>
      </c>
      <c r="AE108" s="13"/>
      <c r="AF108" s="13"/>
      <c r="AG108" s="13"/>
      <c r="AH108" s="13"/>
      <c r="AI108" s="13"/>
      <c r="AJ108" s="13"/>
      <c r="AK108" s="13"/>
      <c r="AL108" s="13"/>
      <c r="AM108" s="13"/>
      <c r="AN108" s="8"/>
    </row>
    <row r="109" spans="1:40" s="125" customFormat="1" hidden="1" x14ac:dyDescent="0.25">
      <c r="A109" s="123"/>
      <c r="B109" s="153" t="s">
        <v>202</v>
      </c>
      <c r="C109" s="14"/>
      <c r="D109" s="14"/>
      <c r="E109" s="14"/>
      <c r="F109" s="124"/>
      <c r="G109" s="124"/>
      <c r="I109" s="13"/>
      <c r="J109" s="13"/>
      <c r="K109" s="13" t="e">
        <f>-('Inputs Worksheet'!$N$47*#REF!/2)/((1+$B$27)^K$27)-('Inputs Worksheet'!$C$9*'Inputs Worksheet'!$E$9*('Inputs Worksheet'!$E$22^('Inputs Worksheet'!$A$29-'Inputs Worksheet'!$A$3+K$28))*365*'Inputs Worksheet'!$O$57*'Inputs Worksheet'!$N$43/((1+$B$27)^K$27))</f>
        <v>#REF!</v>
      </c>
      <c r="L109" s="13" t="e">
        <f>-('Inputs Worksheet'!$N$47*#REF!/2)/((1+$B$27)^L$27)-('Inputs Worksheet'!$C$9*'Inputs Worksheet'!$E$9*('Inputs Worksheet'!$E$22^('Inputs Worksheet'!$A$29-'Inputs Worksheet'!$A$3+L$28))*365*'Inputs Worksheet'!$O$57*'Inputs Worksheet'!$N$43/((1+$B$27)^L$27))</f>
        <v>#REF!</v>
      </c>
      <c r="M109" s="13" t="e">
        <f>-('Inputs Worksheet'!$N$47*#REF!/2)/((1+$B$27)^M$27)-('Inputs Worksheet'!$C$9*'Inputs Worksheet'!$E$9*('Inputs Worksheet'!$E$22^('Inputs Worksheet'!$A$29-'Inputs Worksheet'!$A$3+M$28))*365*'Inputs Worksheet'!$O$57*'Inputs Worksheet'!$N$43/((1+$B$27)^M$27))</f>
        <v>#REF!</v>
      </c>
      <c r="N109" s="13" t="e">
        <f>-('Inputs Worksheet'!$N$47*#REF!/2)/((1+$B$27)^N$27)-('Inputs Worksheet'!$C$9*'Inputs Worksheet'!$E$9*('Inputs Worksheet'!$E$22^('Inputs Worksheet'!$A$29-'Inputs Worksheet'!$A$3+N$28))*365*'Inputs Worksheet'!$O$57*'Inputs Worksheet'!$N$43/((1+$B$27)^N$27))</f>
        <v>#REF!</v>
      </c>
      <c r="O109" s="13" t="e">
        <f>-('Inputs Worksheet'!$N$47*#REF!/2)/((1+$B$27)^O$27)-('Inputs Worksheet'!$C$9*'Inputs Worksheet'!$E$9*('Inputs Worksheet'!$E$22^('Inputs Worksheet'!$A$29-'Inputs Worksheet'!$A$3+O$28))*365*'Inputs Worksheet'!$O$57*'Inputs Worksheet'!$N$43/((1+$B$27)^O$27))</f>
        <v>#REF!</v>
      </c>
      <c r="P109" s="13" t="e">
        <f>-('Inputs Worksheet'!$N$47*#REF!/2)/((1+$B$27)^P$27)-('Inputs Worksheet'!$C$9*'Inputs Worksheet'!$E$9*('Inputs Worksheet'!$E$22^('Inputs Worksheet'!$A$29-'Inputs Worksheet'!$A$3+P$28))*365*'Inputs Worksheet'!$O$57*'Inputs Worksheet'!$N$43/((1+$B$27)^P$27))</f>
        <v>#REF!</v>
      </c>
      <c r="Q109" s="13" t="e">
        <f>-('Inputs Worksheet'!$N$47*#REF!/2)/((1+$B$27)^Q$27)-('Inputs Worksheet'!$C$9*'Inputs Worksheet'!$E$9*('Inputs Worksheet'!$E$22^('Inputs Worksheet'!$A$29-'Inputs Worksheet'!$A$3+Q$28))*365*'Inputs Worksheet'!$O$57*'Inputs Worksheet'!$N$43/((1+$B$27)^Q$27))</f>
        <v>#REF!</v>
      </c>
      <c r="R109" s="13" t="e">
        <f>-('Inputs Worksheet'!$N$47*#REF!/2)/((1+$B$27)^R$27)-('Inputs Worksheet'!$C$9*'Inputs Worksheet'!$E$9*('Inputs Worksheet'!$E$22^('Inputs Worksheet'!$A$29-'Inputs Worksheet'!$A$3+R$28))*365*'Inputs Worksheet'!$O$57*'Inputs Worksheet'!$N$43/((1+$B$27)^R$27))</f>
        <v>#REF!</v>
      </c>
      <c r="S109" s="13" t="e">
        <f>-('Inputs Worksheet'!$N$47*#REF!/2)/((1+$B$27)^S$27)-('Inputs Worksheet'!$C$9*'Inputs Worksheet'!$E$9*('Inputs Worksheet'!$E$22^('Inputs Worksheet'!$A$29-'Inputs Worksheet'!$A$3+S$28))*365*'Inputs Worksheet'!$O$57*'Inputs Worksheet'!$N$43/((1+$B$27)^S$27))</f>
        <v>#REF!</v>
      </c>
      <c r="T109" s="13" t="e">
        <f>-('Inputs Worksheet'!$N$47*#REF!/2)/((1+$B$27)^T$27)-('Inputs Worksheet'!$C$9*'Inputs Worksheet'!$E$9*('Inputs Worksheet'!$E$22^('Inputs Worksheet'!$A$29-'Inputs Worksheet'!$A$3+T$28))*365*'Inputs Worksheet'!$O$57*'Inputs Worksheet'!$N$43/((1+$B$27)^T$27))</f>
        <v>#REF!</v>
      </c>
      <c r="U109" s="13" t="e">
        <f>-('Inputs Worksheet'!$N$47*#REF!/2)/((1+$B$27)^U$27)-('Inputs Worksheet'!$C$9*'Inputs Worksheet'!$E$9*('Inputs Worksheet'!$E$22^('Inputs Worksheet'!$A$29-'Inputs Worksheet'!$A$3+U$28))*365*'Inputs Worksheet'!$O$57*'Inputs Worksheet'!$N$43/((1+$B$27)^U$27))</f>
        <v>#REF!</v>
      </c>
      <c r="V109" s="13" t="e">
        <f>-('Inputs Worksheet'!$N$47*#REF!/2)/((1+$B$27)^V$27)-('Inputs Worksheet'!$C$9*'Inputs Worksheet'!$E$9*('Inputs Worksheet'!$E$22^('Inputs Worksheet'!$A$29-'Inputs Worksheet'!$A$3+V$28))*365*'Inputs Worksheet'!$O$57*'Inputs Worksheet'!$N$43/((1+$B$27)^V$27))</f>
        <v>#REF!</v>
      </c>
      <c r="W109" s="13" t="e">
        <f>-('Inputs Worksheet'!$N$47*#REF!/2)/((1+$B$27)^W$27)-('Inputs Worksheet'!$C$9*'Inputs Worksheet'!$E$9*('Inputs Worksheet'!$E$22^('Inputs Worksheet'!$A$29-'Inputs Worksheet'!$A$3+W$28))*365*'Inputs Worksheet'!$O$57*'Inputs Worksheet'!$N$43/((1+$B$27)^W$27))</f>
        <v>#REF!</v>
      </c>
      <c r="X109" s="13" t="e">
        <f>-('Inputs Worksheet'!$N$47*#REF!/2)/((1+$B$27)^X$27)-('Inputs Worksheet'!$C$9*'Inputs Worksheet'!$E$9*('Inputs Worksheet'!$E$22^('Inputs Worksheet'!$A$29-'Inputs Worksheet'!$A$3+X$28))*365*'Inputs Worksheet'!$O$57*'Inputs Worksheet'!$N$43/((1+$B$27)^X$27))</f>
        <v>#REF!</v>
      </c>
      <c r="Y109" s="13" t="e">
        <f>-('Inputs Worksheet'!$N$47*#REF!/2)/((1+$B$27)^Y$27)-('Inputs Worksheet'!$C$9*'Inputs Worksheet'!$E$9*('Inputs Worksheet'!$E$22^('Inputs Worksheet'!$A$29-'Inputs Worksheet'!$A$3+Y$28))*365*'Inputs Worksheet'!$O$57*'Inputs Worksheet'!$N$43/((1+$B$27)^Y$27))</f>
        <v>#REF!</v>
      </c>
      <c r="Z109" s="13" t="e">
        <f>-('Inputs Worksheet'!$N$47*#REF!/2)/((1+$B$27)^Z$27)-('Inputs Worksheet'!$C$9*'Inputs Worksheet'!$E$9*('Inputs Worksheet'!$E$22^('Inputs Worksheet'!$A$29-'Inputs Worksheet'!$A$3+Z$28))*365*'Inputs Worksheet'!$O$57*'Inputs Worksheet'!$N$43/((1+$B$27)^Z$27))</f>
        <v>#REF!</v>
      </c>
      <c r="AA109" s="13" t="e">
        <f>-('Inputs Worksheet'!$N$47*#REF!/2)/((1+$B$27)^AA$27)-('Inputs Worksheet'!$C$9*'Inputs Worksheet'!$E$9*('Inputs Worksheet'!$E$22^('Inputs Worksheet'!$A$29-'Inputs Worksheet'!$A$3+AA$28))*365*'Inputs Worksheet'!$O$57*'Inputs Worksheet'!$N$43/((1+$B$27)^AA$27))</f>
        <v>#REF!</v>
      </c>
      <c r="AB109" s="13" t="e">
        <f>-('Inputs Worksheet'!$N$47*#REF!/2)/((1+$B$27)^AB$27)-('Inputs Worksheet'!$C$9*'Inputs Worksheet'!$E$9*('Inputs Worksheet'!$E$22^('Inputs Worksheet'!$A$29-'Inputs Worksheet'!$A$3+AB$28))*365*'Inputs Worksheet'!$O$57*'Inputs Worksheet'!$N$43/((1+$B$27)^AB$27))</f>
        <v>#REF!</v>
      </c>
      <c r="AC109" s="13" t="e">
        <f>-('Inputs Worksheet'!$N$47*#REF!/2)/((1+$B$27)^AC$27)-('Inputs Worksheet'!$C$9*'Inputs Worksheet'!$E$9*('Inputs Worksheet'!$E$22^('Inputs Worksheet'!$A$29-'Inputs Worksheet'!$A$3+AC$28))*365*'Inputs Worksheet'!$O$57*'Inputs Worksheet'!$N$43/((1+$B$27)^AC$27))</f>
        <v>#REF!</v>
      </c>
      <c r="AD109" s="13" t="e">
        <f>-('Inputs Worksheet'!$N$47*#REF!/2)/((1+$B$27)^AD$27)-('Inputs Worksheet'!$C$9*'Inputs Worksheet'!$E$9*('Inputs Worksheet'!$E$22^('Inputs Worksheet'!$A$29-'Inputs Worksheet'!$A$3+AD$28))*365*'Inputs Worksheet'!$O$57*'Inputs Worksheet'!$N$43/((1+$B$27)^AD$27))</f>
        <v>#REF!</v>
      </c>
      <c r="AE109" s="13"/>
      <c r="AF109" s="13"/>
      <c r="AG109" s="13"/>
      <c r="AH109" s="13"/>
      <c r="AI109" s="13"/>
      <c r="AJ109" s="13"/>
      <c r="AK109" s="13"/>
      <c r="AL109" s="13"/>
      <c r="AM109" s="13"/>
      <c r="AN109" s="8"/>
    </row>
    <row r="110" spans="1:40" s="125" customFormat="1" hidden="1" x14ac:dyDescent="0.25">
      <c r="A110" s="123"/>
      <c r="B110" s="88" t="s">
        <v>3</v>
      </c>
      <c r="C110" s="14"/>
      <c r="D110" s="14"/>
      <c r="E110" s="14"/>
      <c r="F110" s="14"/>
      <c r="G110" s="14"/>
      <c r="I110" s="13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3"/>
      <c r="AF110" s="13"/>
      <c r="AG110" s="13"/>
      <c r="AH110" s="13"/>
      <c r="AI110" s="13"/>
      <c r="AJ110" s="13"/>
      <c r="AK110" s="8"/>
      <c r="AL110" s="8"/>
      <c r="AM110" s="8"/>
      <c r="AN110" s="8"/>
    </row>
    <row r="111" spans="1:40" s="125" customFormat="1" hidden="1" x14ac:dyDescent="0.25">
      <c r="A111" s="123"/>
      <c r="B111" s="462" t="s">
        <v>246</v>
      </c>
      <c r="C111" s="14"/>
      <c r="D111" s="14"/>
      <c r="E111" s="14"/>
      <c r="F111" s="242"/>
      <c r="G111" s="14"/>
      <c r="I111" s="8"/>
      <c r="J111" s="10"/>
      <c r="K111" s="263">
        <f>((($E$9*$E6+$F$9*$F6+$G$9*$G6+$H$9*$H6+$I$9*$I6))+(($J$9*$J6)))*'Inputs Worksheet'!$I$22^('Inputs Worksheet'!$A$29-'Inputs Worksheet'!$A$3+K$28)/((1+$B$27)^K$27)</f>
        <v>0</v>
      </c>
      <c r="L111" s="263">
        <f>((($E$9*$E6+$F$9*$F6+$G$9*$G6+$H$9*$H6+$I$9*$I6))+(($J$9*$J6)))*'Inputs Worksheet'!$I$22^('Inputs Worksheet'!$A$29-'Inputs Worksheet'!$A$3+L$28)/((1+$B$27)^L$27)</f>
        <v>0</v>
      </c>
      <c r="M111" s="263">
        <f>((($E$9*$E6+$F$9*$F6+$G$9*$G6+$H$9*$H6+$I$9*$I6))+(($J$9*$J6)))*'Inputs Worksheet'!$I$22^('Inputs Worksheet'!$A$29-'Inputs Worksheet'!$A$3+M$28)/((1+$B$27)^M$27)</f>
        <v>0</v>
      </c>
      <c r="N111" s="263">
        <f>((($E$9*$E6+$F$9*$F6+$G$9*$G6+$H$9*$H6+$I$9*$I6))+(($J$9*$J6)))*'Inputs Worksheet'!$I$22^('Inputs Worksheet'!$A$29-'Inputs Worksheet'!$A$3+N$28)/((1+$B$27)^N$27)</f>
        <v>0</v>
      </c>
      <c r="O111" s="263">
        <f>((($E$9*$E6+$F$9*$F6+$G$9*$G6+$H$9*$H6+$I$9*$I6))+(($J$9*$J6)))*'Inputs Worksheet'!$I$22^('Inputs Worksheet'!$A$29-'Inputs Worksheet'!$A$3+O$28)/((1+$B$27)^O$27)</f>
        <v>0</v>
      </c>
      <c r="P111" s="263">
        <f>((($E$9*$E6+$F$9*$F6+$G$9*$G6+$H$9*$H6+$I$9*$I6))+(($J$9*$J6)))*'Inputs Worksheet'!$I$22^('Inputs Worksheet'!$A$29-'Inputs Worksheet'!$A$3+P$28)/((1+$B$27)^P$27)</f>
        <v>0</v>
      </c>
      <c r="Q111" s="263">
        <f>((($E$9*$E6+$F$9*$F6+$G$9*$G6+$H$9*$H6+$I$9*$I6))+(($J$9*$J6)))*'Inputs Worksheet'!$I$22^('Inputs Worksheet'!$A$29-'Inputs Worksheet'!$A$3+Q$28)/((1+$B$27)^Q$27)</f>
        <v>0</v>
      </c>
      <c r="R111" s="263">
        <f>((($E$9*$E6+$F$9*$F6+$G$9*$G6+$H$9*$H6+$I$9*$I6))+(($J$9*$J6)))*'Inputs Worksheet'!$I$22^('Inputs Worksheet'!$A$29-'Inputs Worksheet'!$A$3+R$28)/((1+$B$27)^R$27)</f>
        <v>0</v>
      </c>
      <c r="S111" s="263">
        <f>((($E$9*$E6+$F$9*$F6+$G$9*$G6+$H$9*$H6+$I$9*$I6))+(($J$9*$J6)))*'Inputs Worksheet'!$I$22^('Inputs Worksheet'!$A$29-'Inputs Worksheet'!$A$3+S$28)/((1+$B$27)^S$27)</f>
        <v>0</v>
      </c>
      <c r="T111" s="263">
        <f>((($E$9*$E6+$F$9*$F6+$G$9*$G6+$H$9*$H6+$I$9*$I6))+(($J$9*$J6)))*'Inputs Worksheet'!$I$22^('Inputs Worksheet'!$A$29-'Inputs Worksheet'!$A$3+T$28)/((1+$B$27)^T$27)</f>
        <v>0</v>
      </c>
      <c r="U111" s="263">
        <f>((($E$9*$E6+$F$9*$F6+$G$9*$G6+$H$9*$H6+$I$9*$I6))+(($J$9*$J6)))*'Inputs Worksheet'!$I$22^('Inputs Worksheet'!$A$29-'Inputs Worksheet'!$A$3+U$28)/((1+$B$27)^U$27)</f>
        <v>0</v>
      </c>
      <c r="V111" s="263">
        <f>((($E$9*$E6+$F$9*$F6+$G$9*$G6+$H$9*$H6+$I$9*$I6))+(($J$9*$J6)))*'Inputs Worksheet'!$I$22^('Inputs Worksheet'!$A$29-'Inputs Worksheet'!$A$3+V$28)/((1+$B$27)^V$27)</f>
        <v>0</v>
      </c>
      <c r="W111" s="263">
        <f>((($E$9*$E6+$F$9*$F6+$G$9*$G6+$H$9*$H6+$I$9*$I6))+(($J$9*$J6)))*'Inputs Worksheet'!$I$22^('Inputs Worksheet'!$A$29-'Inputs Worksheet'!$A$3+W$28)/((1+$B$27)^W$27)</f>
        <v>0</v>
      </c>
      <c r="X111" s="263">
        <f>((($E$9*$E6+$F$9*$F6+$G$9*$G6+$H$9*$H6+$I$9*$I6))+(($J$9*$J6)))*'Inputs Worksheet'!$I$22^('Inputs Worksheet'!$A$29-'Inputs Worksheet'!$A$3+X$28)/((1+$B$27)^X$27)</f>
        <v>0</v>
      </c>
      <c r="Y111" s="263">
        <f>((($E$9*$E6+$F$9*$F6+$G$9*$G6+$H$9*$H6+$I$9*$I6))+(($J$9*$J6)))*'Inputs Worksheet'!$I$22^('Inputs Worksheet'!$A$29-'Inputs Worksheet'!$A$3+Y$28)/((1+$B$27)^Y$27)</f>
        <v>0</v>
      </c>
      <c r="Z111" s="263">
        <f>((($E$9*$E6+$F$9*$F6+$G$9*$G6+$H$9*$H6+$I$9*$I6))+(($J$9*$J6)))*'Inputs Worksheet'!$I$22^('Inputs Worksheet'!$A$29-'Inputs Worksheet'!$A$3+Z$28)/((1+$B$27)^Z$27)</f>
        <v>0</v>
      </c>
      <c r="AA111" s="263">
        <f>((($E$9*$E6+$F$9*$F6+$G$9*$G6+$H$9*$H6+$I$9*$I6))+(($J$9*$J6)))*'Inputs Worksheet'!$I$22^('Inputs Worksheet'!$A$29-'Inputs Worksheet'!$A$3+AA$28)/((1+$B$27)^AA$27)</f>
        <v>0</v>
      </c>
      <c r="AB111" s="263">
        <f>((($E$9*$E6+$F$9*$F6+$G$9*$G6+$H$9*$H6+$I$9*$I6))+(($J$9*$J6)))*'Inputs Worksheet'!$I$22^('Inputs Worksheet'!$A$29-'Inputs Worksheet'!$A$3+AB$28)/((1+$B$27)^AB$27)</f>
        <v>0</v>
      </c>
      <c r="AC111" s="263">
        <f>((($E$9*$E6+$F$9*$F6+$G$9*$G6+$H$9*$H6+$I$9*$I6))+(($J$9*$J6)))*'Inputs Worksheet'!$I$22^('Inputs Worksheet'!$A$29-'Inputs Worksheet'!$A$3+AC$28)/((1+$B$27)^AC$27)</f>
        <v>0</v>
      </c>
      <c r="AD111" s="263">
        <f>((($E$9*$E6+$F$9*$F6+$G$9*$G6+$H$9*$H6+$I$9*$I6))+(($J$9*$J6)))*'Inputs Worksheet'!$I$22^('Inputs Worksheet'!$A$29-'Inputs Worksheet'!$A$3+AD$28)/((1+$B$27)^AD$27)</f>
        <v>0</v>
      </c>
      <c r="AE111" s="15"/>
      <c r="AF111" s="15"/>
      <c r="AG111" s="15"/>
      <c r="AH111" s="15"/>
      <c r="AI111" s="15"/>
      <c r="AJ111" s="15"/>
      <c r="AK111" s="15"/>
      <c r="AL111" s="15"/>
      <c r="AM111" s="15"/>
      <c r="AN111" s="8"/>
    </row>
    <row r="112" spans="1:40" s="125" customFormat="1" hidden="1" x14ac:dyDescent="0.25">
      <c r="A112" s="123"/>
      <c r="B112" s="88" t="s">
        <v>13</v>
      </c>
      <c r="C112" s="14"/>
      <c r="D112" s="14"/>
      <c r="E112" s="14"/>
      <c r="F112" s="14"/>
      <c r="G112" s="14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8"/>
      <c r="AL112" s="8"/>
      <c r="AM112" s="8"/>
      <c r="AN112" s="8"/>
    </row>
    <row r="113" spans="1:41" s="125" customFormat="1" hidden="1" x14ac:dyDescent="0.25">
      <c r="A113" s="123"/>
      <c r="B113" s="88" t="s">
        <v>169</v>
      </c>
      <c r="F113" s="14"/>
      <c r="G113" s="14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D113" s="13" t="e">
        <f>#REF!/((1+$B$27)^AD$27)</f>
        <v>#REF!</v>
      </c>
      <c r="AE113" s="13"/>
      <c r="AF113" s="13"/>
      <c r="AG113" s="13"/>
      <c r="AH113" s="13"/>
      <c r="AI113" s="13"/>
      <c r="AJ113" s="13"/>
      <c r="AK113" s="8"/>
      <c r="AL113" s="8"/>
      <c r="AM113" s="11"/>
      <c r="AN113" s="8"/>
    </row>
    <row r="114" spans="1:41" s="125" customFormat="1" hidden="1" x14ac:dyDescent="0.25">
      <c r="A114" s="123"/>
      <c r="B114" s="86" t="s">
        <v>88</v>
      </c>
      <c r="F114" s="14"/>
      <c r="G114" s="14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8"/>
      <c r="AL114" s="8"/>
      <c r="AM114" s="11"/>
      <c r="AN114" s="8"/>
    </row>
    <row r="115" spans="1:41" s="125" customFormat="1" hidden="1" x14ac:dyDescent="0.25">
      <c r="A115" s="123"/>
      <c r="B115" s="380" t="s">
        <v>86</v>
      </c>
      <c r="C115" s="84"/>
      <c r="D115" s="84"/>
      <c r="E115" s="84"/>
      <c r="H115" s="14"/>
      <c r="I115" s="13"/>
      <c r="J115" s="13"/>
      <c r="K115" s="13" t="e">
        <f>-#REF!*'Inputs Worksheet'!$N$41/((1+$B$27)^K27)</f>
        <v>#REF!</v>
      </c>
      <c r="L115" s="13" t="e">
        <f>-#REF!*'Inputs Worksheet'!$N$41/((1+$B$27)^L27)</f>
        <v>#REF!</v>
      </c>
      <c r="M115" s="13" t="e">
        <f>-#REF!*'Inputs Worksheet'!$N$41/((1+$B$27)^M27)</f>
        <v>#REF!</v>
      </c>
      <c r="N115" s="13" t="e">
        <f>-#REF!*'Inputs Worksheet'!$N$41/((1+$B$27)^N27)</f>
        <v>#REF!</v>
      </c>
      <c r="O115" s="13" t="e">
        <f>-#REF!*'Inputs Worksheet'!$N$41/((1+$B$27)^O27)</f>
        <v>#REF!</v>
      </c>
      <c r="P115" s="13" t="e">
        <f>-#REF!*'Inputs Worksheet'!$N$41/((1+$B$27)^P27)</f>
        <v>#REF!</v>
      </c>
      <c r="Q115" s="13" t="e">
        <f>-#REF!*'Inputs Worksheet'!$N$41/((1+$B$27)^Q27)</f>
        <v>#REF!</v>
      </c>
      <c r="R115" s="13" t="e">
        <f>-#REF!*'Inputs Worksheet'!$N$41/((1+$B$27)^R27)</f>
        <v>#REF!</v>
      </c>
      <c r="S115" s="13" t="e">
        <f>-#REF!*'Inputs Worksheet'!$N$41/((1+$B$27)^S27)</f>
        <v>#REF!</v>
      </c>
      <c r="T115" s="13" t="e">
        <f>-#REF!*'Inputs Worksheet'!$N$41/((1+$B$27)^T27)</f>
        <v>#REF!</v>
      </c>
      <c r="U115" s="13" t="e">
        <f>-#REF!*'Inputs Worksheet'!$N$41/((1+$B$27)^U27)</f>
        <v>#REF!</v>
      </c>
      <c r="V115" s="13" t="e">
        <f>-#REF!*'Inputs Worksheet'!$N$41/((1+$B$27)^V27)</f>
        <v>#REF!</v>
      </c>
      <c r="W115" s="13" t="e">
        <f>-#REF!*'Inputs Worksheet'!$N$41/((1+$B$27)^W27)</f>
        <v>#REF!</v>
      </c>
      <c r="X115" s="13" t="e">
        <f>-#REF!*'Inputs Worksheet'!$N$41/((1+$B$27)^X27)</f>
        <v>#REF!</v>
      </c>
      <c r="Y115" s="13" t="e">
        <f>-#REF!*'Inputs Worksheet'!$N$41/((1+$B$27)^Y27)</f>
        <v>#REF!</v>
      </c>
      <c r="Z115" s="13" t="e">
        <f>-#REF!*'Inputs Worksheet'!$N$41/((1+$B$27)^Z27)</f>
        <v>#REF!</v>
      </c>
      <c r="AA115" s="13" t="e">
        <f>-#REF!*'Inputs Worksheet'!$N$41/((1+$B$27)^AA27)</f>
        <v>#REF!</v>
      </c>
      <c r="AB115" s="13" t="e">
        <f>-#REF!*'Inputs Worksheet'!$N$41/((1+$B$27)^AB27)</f>
        <v>#REF!</v>
      </c>
      <c r="AC115" s="13" t="e">
        <f>-#REF!*'Inputs Worksheet'!$N$41/((1+$B$27)^AC27)</f>
        <v>#REF!</v>
      </c>
      <c r="AD115" s="13" t="e">
        <f>-#REF!*'Inputs Worksheet'!$N$41/((1+$B$27)^AD27)</f>
        <v>#REF!</v>
      </c>
      <c r="AE115" s="13"/>
      <c r="AF115" s="13"/>
      <c r="AG115" s="13"/>
      <c r="AH115" s="13"/>
      <c r="AI115" s="13"/>
      <c r="AJ115" s="13"/>
      <c r="AK115" s="8"/>
      <c r="AL115" s="8"/>
      <c r="AM115" s="8"/>
      <c r="AN115" s="8"/>
    </row>
    <row r="116" spans="1:41" s="125" customFormat="1" hidden="1" x14ac:dyDescent="0.25">
      <c r="A116" s="123"/>
      <c r="B116" s="380" t="s">
        <v>167</v>
      </c>
      <c r="C116" s="84"/>
      <c r="D116" s="84"/>
      <c r="E116" s="84"/>
      <c r="H116" s="14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8"/>
      <c r="AL116" s="8"/>
      <c r="AM116" s="8"/>
      <c r="AN116" s="8"/>
    </row>
    <row r="117" spans="1:41" s="125" customFormat="1" hidden="1" x14ac:dyDescent="0.25">
      <c r="A117" s="123"/>
      <c r="B117" s="14"/>
      <c r="C117" s="84"/>
      <c r="D117" s="84"/>
      <c r="E117" s="84"/>
      <c r="H117" s="14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8"/>
      <c r="AL117" s="8"/>
      <c r="AM117" s="8"/>
      <c r="AN117" s="8"/>
    </row>
    <row r="118" spans="1:41" s="125" customFormat="1" hidden="1" x14ac:dyDescent="0.25">
      <c r="A118" s="123">
        <v>4</v>
      </c>
      <c r="B118" s="117" t="str">
        <f>B7</f>
        <v>Name #4</v>
      </c>
      <c r="C118" s="85"/>
      <c r="D118" s="85"/>
      <c r="E118" s="85"/>
      <c r="F118" s="84"/>
      <c r="G118" s="84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59"/>
      <c r="AJ118" s="159"/>
      <c r="AK118" s="159"/>
      <c r="AL118" s="159"/>
      <c r="AM118" s="159"/>
      <c r="AN118" s="159"/>
    </row>
    <row r="119" spans="1:41" s="125" customFormat="1" hidden="1" x14ac:dyDescent="0.25">
      <c r="A119" s="123"/>
      <c r="B119" s="86" t="s">
        <v>15</v>
      </c>
      <c r="C119" s="259"/>
      <c r="D119" s="259"/>
      <c r="E119" s="259"/>
      <c r="F119" s="85"/>
      <c r="G119" s="85"/>
      <c r="H119" s="14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59"/>
      <c r="AJ119" s="159"/>
      <c r="AK119" s="159"/>
      <c r="AL119" s="8"/>
      <c r="AM119" s="8"/>
      <c r="AN119" s="8"/>
      <c r="AO119" s="8"/>
    </row>
    <row r="120" spans="1:41" hidden="1" x14ac:dyDescent="0.25">
      <c r="B120" s="87" t="s">
        <v>102</v>
      </c>
      <c r="C120" s="1"/>
      <c r="D120" s="1"/>
      <c r="E120" s="1"/>
      <c r="F120" s="13"/>
      <c r="H120" s="13">
        <f>((-Cost_4!K38)/(LOOKUP(H$26,'Inputs Worksheet'!$P$67:$P$73,'Inputs Worksheet'!$Q$67:$Q$73)/100))/((1+$B$27)^H$27)</f>
        <v>-10066220.693920009</v>
      </c>
      <c r="I120" s="13">
        <f>((-Cost_4!L38)/(LOOKUP(I$26,'Inputs Worksheet'!$P$67:$P$73,'Inputs Worksheet'!$Q$67:$Q$73)/100))/((1+$B$27)^I$27)</f>
        <v>0</v>
      </c>
      <c r="J120" s="13">
        <f>((-Cost_4!M38)/(LOOKUP(J$26,'Inputs Worksheet'!$P$67:$P$73,'Inputs Worksheet'!$Q$67:$Q$73)/100))/((1+$B$27)^J$27)</f>
        <v>0</v>
      </c>
      <c r="K120" s="13"/>
      <c r="L120" s="13"/>
      <c r="M120" s="13"/>
      <c r="N120" s="13"/>
      <c r="O120" s="13"/>
      <c r="P120" s="13"/>
      <c r="Q120" s="13"/>
      <c r="R120" s="13"/>
      <c r="S120" s="13"/>
      <c r="T120" s="5"/>
      <c r="U120" s="5"/>
      <c r="V120" s="5"/>
      <c r="W120" s="5"/>
      <c r="X120" s="5"/>
      <c r="Y120" s="5"/>
      <c r="Z120" s="5"/>
      <c r="AA120" s="13">
        <f>-Cost_4!$J$3*Cost_4!$I$3/((1+$B$27)^AA$27)</f>
        <v>0</v>
      </c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4"/>
      <c r="AM120" s="4"/>
      <c r="AN120" s="4"/>
      <c r="AO120" s="4"/>
    </row>
    <row r="121" spans="1:41" hidden="1" x14ac:dyDescent="0.25">
      <c r="B121" s="86" t="s">
        <v>16</v>
      </c>
      <c r="C121" s="1"/>
      <c r="D121" s="1"/>
      <c r="E121" s="1"/>
      <c r="F121" s="85"/>
      <c r="G121" s="85"/>
      <c r="H121" s="125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/>
      <c r="AM121"/>
      <c r="AN121"/>
      <c r="AO121"/>
    </row>
    <row r="122" spans="1:41" hidden="1" x14ac:dyDescent="0.25">
      <c r="B122" s="88" t="s">
        <v>68</v>
      </c>
      <c r="C122" s="1"/>
      <c r="D122" s="1"/>
      <c r="E122" s="1"/>
      <c r="F122" s="85"/>
      <c r="G122" s="85"/>
      <c r="H122" s="125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/>
      <c r="AM122"/>
      <c r="AN122"/>
      <c r="AO122"/>
    </row>
    <row r="123" spans="1:41" hidden="1" x14ac:dyDescent="0.25">
      <c r="B123" s="88" t="s">
        <v>129</v>
      </c>
      <c r="C123" s="14"/>
      <c r="D123" s="14"/>
      <c r="E123" s="14"/>
      <c r="F123" s="85"/>
      <c r="G123" s="85"/>
      <c r="H123" s="125"/>
      <c r="J123" s="13">
        <f>(Cost_4!$K$3-Cost_4!$J$3)*Cost_4!$I$3/((1+$B$27)^J$27)</f>
        <v>0</v>
      </c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5"/>
      <c r="AF123" s="5"/>
      <c r="AG123" s="5"/>
      <c r="AH123" s="5"/>
      <c r="AI123" s="5"/>
      <c r="AJ123" s="5"/>
      <c r="AK123" s="5"/>
      <c r="AL123"/>
      <c r="AM123"/>
      <c r="AN123"/>
      <c r="AO123"/>
    </row>
    <row r="124" spans="1:41" hidden="1" x14ac:dyDescent="0.25">
      <c r="B124" s="88" t="s">
        <v>1</v>
      </c>
      <c r="C124" s="12"/>
      <c r="D124" s="12"/>
      <c r="E124" s="12"/>
      <c r="F124" s="14"/>
      <c r="G124" s="14"/>
      <c r="H124" s="125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8"/>
      <c r="AM124" s="8"/>
      <c r="AN124" s="8"/>
      <c r="AO124" s="8"/>
    </row>
    <row r="125" spans="1:41" hidden="1" x14ac:dyDescent="0.25">
      <c r="B125" s="90" t="s">
        <v>77</v>
      </c>
      <c r="C125" s="12"/>
      <c r="D125" s="12"/>
      <c r="E125" s="12"/>
      <c r="F125" s="12"/>
      <c r="G125" s="12"/>
      <c r="H125" s="125"/>
      <c r="I125" s="13"/>
      <c r="J125" s="13"/>
      <c r="K125" s="13">
        <f t="shared" ref="K125:AD125" si="37">N7/((1+$B$27)^K$27)</f>
        <v>0</v>
      </c>
      <c r="L125" s="13" t="e">
        <f t="shared" si="37"/>
        <v>#DIV/0!</v>
      </c>
      <c r="M125" s="13" t="e">
        <f t="shared" si="37"/>
        <v>#DIV/0!</v>
      </c>
      <c r="N125" s="13" t="e">
        <f t="shared" si="37"/>
        <v>#DIV/0!</v>
      </c>
      <c r="O125" s="13" t="e">
        <f t="shared" si="37"/>
        <v>#DIV/0!</v>
      </c>
      <c r="P125" s="13" t="e">
        <f t="shared" si="37"/>
        <v>#DIV/0!</v>
      </c>
      <c r="Q125" s="13" t="e">
        <f t="shared" si="37"/>
        <v>#DIV/0!</v>
      </c>
      <c r="R125" s="13" t="e">
        <f t="shared" si="37"/>
        <v>#DIV/0!</v>
      </c>
      <c r="S125" s="13" t="e">
        <f t="shared" si="37"/>
        <v>#DIV/0!</v>
      </c>
      <c r="T125" s="13" t="e">
        <f t="shared" si="37"/>
        <v>#DIV/0!</v>
      </c>
      <c r="U125" s="13" t="e">
        <f t="shared" si="37"/>
        <v>#DIV/0!</v>
      </c>
      <c r="V125" s="13" t="e">
        <f t="shared" si="37"/>
        <v>#DIV/0!</v>
      </c>
      <c r="W125" s="13" t="e">
        <f t="shared" si="37"/>
        <v>#DIV/0!</v>
      </c>
      <c r="X125" s="13" t="e">
        <f t="shared" si="37"/>
        <v>#DIV/0!</v>
      </c>
      <c r="Y125" s="13" t="e">
        <f t="shared" si="37"/>
        <v>#DIV/0!</v>
      </c>
      <c r="Z125" s="13" t="e">
        <f t="shared" si="37"/>
        <v>#DIV/0!</v>
      </c>
      <c r="AA125" s="13" t="e">
        <f t="shared" si="37"/>
        <v>#DIV/0!</v>
      </c>
      <c r="AB125" s="13" t="e">
        <f t="shared" si="37"/>
        <v>#DIV/0!</v>
      </c>
      <c r="AC125" s="13" t="e">
        <f t="shared" si="37"/>
        <v>#DIV/0!</v>
      </c>
      <c r="AD125" s="13" t="e">
        <f t="shared" si="37"/>
        <v>#DIV/0!</v>
      </c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8"/>
    </row>
    <row r="126" spans="1:41" hidden="1" x14ac:dyDescent="0.25">
      <c r="B126" s="90" t="s">
        <v>78</v>
      </c>
      <c r="C126" s="12"/>
      <c r="D126" s="12"/>
      <c r="E126" s="12"/>
      <c r="F126" s="12"/>
      <c r="G126" s="12"/>
      <c r="H126" s="125"/>
      <c r="I126" s="13"/>
      <c r="J126" s="13"/>
      <c r="K126" s="13">
        <f t="shared" ref="K126:AD126" si="38">N15/((1+$B$27)^K$27)</f>
        <v>0</v>
      </c>
      <c r="L126" s="13">
        <f t="shared" si="38"/>
        <v>0</v>
      </c>
      <c r="M126" s="13">
        <f t="shared" si="38"/>
        <v>0</v>
      </c>
      <c r="N126" s="13">
        <f t="shared" si="38"/>
        <v>0</v>
      </c>
      <c r="O126" s="13">
        <f t="shared" si="38"/>
        <v>0</v>
      </c>
      <c r="P126" s="13">
        <f t="shared" si="38"/>
        <v>0</v>
      </c>
      <c r="Q126" s="13">
        <f t="shared" si="38"/>
        <v>0</v>
      </c>
      <c r="R126" s="13">
        <f t="shared" si="38"/>
        <v>0</v>
      </c>
      <c r="S126" s="13">
        <f t="shared" si="38"/>
        <v>0</v>
      </c>
      <c r="T126" s="13">
        <f t="shared" si="38"/>
        <v>0</v>
      </c>
      <c r="U126" s="13">
        <f t="shared" si="38"/>
        <v>0</v>
      </c>
      <c r="V126" s="13">
        <f t="shared" si="38"/>
        <v>0</v>
      </c>
      <c r="W126" s="13">
        <f t="shared" si="38"/>
        <v>0</v>
      </c>
      <c r="X126" s="13">
        <f t="shared" si="38"/>
        <v>0</v>
      </c>
      <c r="Y126" s="13">
        <f t="shared" si="38"/>
        <v>0</v>
      </c>
      <c r="Z126" s="13">
        <f t="shared" si="38"/>
        <v>0</v>
      </c>
      <c r="AA126" s="13">
        <f t="shared" si="38"/>
        <v>0</v>
      </c>
      <c r="AB126" s="13">
        <f t="shared" si="38"/>
        <v>0</v>
      </c>
      <c r="AC126" s="13">
        <f t="shared" si="38"/>
        <v>0</v>
      </c>
      <c r="AD126" s="13">
        <f t="shared" si="38"/>
        <v>0</v>
      </c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8"/>
    </row>
    <row r="127" spans="1:41" hidden="1" x14ac:dyDescent="0.25">
      <c r="B127" s="89" t="s">
        <v>69</v>
      </c>
      <c r="C127" s="14"/>
      <c r="D127" s="14"/>
      <c r="E127" s="14"/>
      <c r="F127" s="12"/>
      <c r="G127" s="12"/>
      <c r="H127" s="125"/>
      <c r="I127" s="13"/>
      <c r="J127" s="13"/>
      <c r="K127" s="13">
        <f>((K125*$D$7)+(K126*$C$7))</f>
        <v>0</v>
      </c>
      <c r="L127" s="13" t="e">
        <f t="shared" ref="L127:AD127" si="39">((L125*$D$7)+(L126*$C$7))</f>
        <v>#DIV/0!</v>
      </c>
      <c r="M127" s="13" t="e">
        <f t="shared" si="39"/>
        <v>#DIV/0!</v>
      </c>
      <c r="N127" s="13" t="e">
        <f t="shared" si="39"/>
        <v>#DIV/0!</v>
      </c>
      <c r="O127" s="13" t="e">
        <f t="shared" si="39"/>
        <v>#DIV/0!</v>
      </c>
      <c r="P127" s="13" t="e">
        <f t="shared" si="39"/>
        <v>#DIV/0!</v>
      </c>
      <c r="Q127" s="13" t="e">
        <f t="shared" si="39"/>
        <v>#DIV/0!</v>
      </c>
      <c r="R127" s="13" t="e">
        <f t="shared" si="39"/>
        <v>#DIV/0!</v>
      </c>
      <c r="S127" s="13" t="e">
        <f t="shared" si="39"/>
        <v>#DIV/0!</v>
      </c>
      <c r="T127" s="13" t="e">
        <f t="shared" si="39"/>
        <v>#DIV/0!</v>
      </c>
      <c r="U127" s="13" t="e">
        <f t="shared" si="39"/>
        <v>#DIV/0!</v>
      </c>
      <c r="V127" s="13" t="e">
        <f t="shared" si="39"/>
        <v>#DIV/0!</v>
      </c>
      <c r="W127" s="13" t="e">
        <f t="shared" si="39"/>
        <v>#DIV/0!</v>
      </c>
      <c r="X127" s="13" t="e">
        <f t="shared" si="39"/>
        <v>#DIV/0!</v>
      </c>
      <c r="Y127" s="13" t="e">
        <f t="shared" si="39"/>
        <v>#DIV/0!</v>
      </c>
      <c r="Z127" s="13" t="e">
        <f t="shared" si="39"/>
        <v>#DIV/0!</v>
      </c>
      <c r="AA127" s="13" t="e">
        <f t="shared" si="39"/>
        <v>#DIV/0!</v>
      </c>
      <c r="AB127" s="13" t="e">
        <f t="shared" si="39"/>
        <v>#DIV/0!</v>
      </c>
      <c r="AC127" s="13" t="e">
        <f t="shared" si="39"/>
        <v>#DIV/0!</v>
      </c>
      <c r="AD127" s="13" t="e">
        <f t="shared" si="39"/>
        <v>#DIV/0!</v>
      </c>
      <c r="AE127" s="13"/>
      <c r="AF127" s="13"/>
      <c r="AG127" s="407"/>
      <c r="AH127" s="13"/>
      <c r="AI127" s="13"/>
      <c r="AJ127" s="13"/>
      <c r="AK127" s="13"/>
      <c r="AL127" s="13"/>
      <c r="AM127" s="13"/>
      <c r="AN127" s="13"/>
      <c r="AO127" s="8"/>
    </row>
    <row r="128" spans="1:41" hidden="1" x14ac:dyDescent="0.25">
      <c r="B128" s="337" t="s">
        <v>161</v>
      </c>
      <c r="C128" s="14"/>
      <c r="D128" s="14"/>
      <c r="E128" s="14"/>
      <c r="F128" s="12"/>
      <c r="G128" s="12"/>
      <c r="H128" s="125"/>
      <c r="I128" s="13"/>
      <c r="J128" s="13"/>
      <c r="K128" s="344" t="e">
        <f>'Inputs Worksheet'!$D10*'Inputs Worksheet'!$E10*365*'Inputs Worksheet'!$D$58*'Inputs Worksheet'!$I23^('Inputs Worksheet'!$A$29-'Inputs Worksheet'!$A$3)/((1+$B$27)^K$27)</f>
        <v>#NUM!</v>
      </c>
      <c r="L128" s="344" t="e">
        <f t="shared" ref="L128:AD128" si="40">K128*$AI$128/(1+$B$27)</f>
        <v>#NUM!</v>
      </c>
      <c r="M128" s="344" t="e">
        <f t="shared" si="40"/>
        <v>#NUM!</v>
      </c>
      <c r="N128" s="344" t="e">
        <f t="shared" si="40"/>
        <v>#NUM!</v>
      </c>
      <c r="O128" s="344" t="e">
        <f t="shared" si="40"/>
        <v>#NUM!</v>
      </c>
      <c r="P128" s="344" t="e">
        <f t="shared" si="40"/>
        <v>#NUM!</v>
      </c>
      <c r="Q128" s="344" t="e">
        <f t="shared" si="40"/>
        <v>#NUM!</v>
      </c>
      <c r="R128" s="344" t="e">
        <f t="shared" si="40"/>
        <v>#NUM!</v>
      </c>
      <c r="S128" s="344" t="e">
        <f t="shared" si="40"/>
        <v>#NUM!</v>
      </c>
      <c r="T128" s="344" t="e">
        <f t="shared" si="40"/>
        <v>#NUM!</v>
      </c>
      <c r="U128" s="344" t="e">
        <f t="shared" si="40"/>
        <v>#NUM!</v>
      </c>
      <c r="V128" s="344" t="e">
        <f t="shared" si="40"/>
        <v>#NUM!</v>
      </c>
      <c r="W128" s="344" t="e">
        <f t="shared" si="40"/>
        <v>#NUM!</v>
      </c>
      <c r="X128" s="344" t="e">
        <f t="shared" si="40"/>
        <v>#NUM!</v>
      </c>
      <c r="Y128" s="344" t="e">
        <f t="shared" si="40"/>
        <v>#NUM!</v>
      </c>
      <c r="Z128" s="344" t="e">
        <f t="shared" si="40"/>
        <v>#NUM!</v>
      </c>
      <c r="AA128" s="344" t="e">
        <f t="shared" si="40"/>
        <v>#NUM!</v>
      </c>
      <c r="AB128" s="344" t="e">
        <f t="shared" si="40"/>
        <v>#NUM!</v>
      </c>
      <c r="AC128" s="344" t="e">
        <f t="shared" si="40"/>
        <v>#NUM!</v>
      </c>
      <c r="AD128" s="344" t="e">
        <f t="shared" si="40"/>
        <v>#NUM!</v>
      </c>
      <c r="AE128" s="13"/>
      <c r="AG128" s="342" t="s">
        <v>121</v>
      </c>
      <c r="AH128" s="13"/>
      <c r="AI128" s="407">
        <f>'Inputs Worksheet'!I23</f>
        <v>0</v>
      </c>
      <c r="AJ128" s="13"/>
      <c r="AK128" s="13"/>
      <c r="AL128" s="13"/>
      <c r="AM128" s="13"/>
      <c r="AN128" s="13"/>
      <c r="AO128" s="8"/>
    </row>
    <row r="129" spans="1:41" hidden="1" x14ac:dyDescent="0.25">
      <c r="B129" s="88" t="s">
        <v>135</v>
      </c>
      <c r="C129" s="14"/>
      <c r="D129" s="14"/>
      <c r="E129" s="14"/>
      <c r="F129" s="12"/>
      <c r="G129" s="12"/>
      <c r="H129" s="125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8"/>
    </row>
    <row r="130" spans="1:41" hidden="1" x14ac:dyDescent="0.25">
      <c r="B130" s="194" t="s">
        <v>132</v>
      </c>
      <c r="C130" s="14"/>
      <c r="D130" s="14"/>
      <c r="E130" s="14"/>
      <c r="F130" s="12"/>
      <c r="G130" s="12"/>
      <c r="H130" s="125"/>
      <c r="I130" s="13"/>
      <c r="J130" s="13"/>
      <c r="K130" s="13">
        <f t="shared" ref="K130:AD130" si="41">N23/((1+$B$27)^K$27)</f>
        <v>0</v>
      </c>
      <c r="L130" s="13" t="e">
        <f t="shared" si="41"/>
        <v>#DIV/0!</v>
      </c>
      <c r="M130" s="13" t="e">
        <f t="shared" si="41"/>
        <v>#DIV/0!</v>
      </c>
      <c r="N130" s="13" t="e">
        <f t="shared" si="41"/>
        <v>#DIV/0!</v>
      </c>
      <c r="O130" s="13" t="e">
        <f t="shared" si="41"/>
        <v>#DIV/0!</v>
      </c>
      <c r="P130" s="13" t="e">
        <f t="shared" si="41"/>
        <v>#DIV/0!</v>
      </c>
      <c r="Q130" s="13" t="e">
        <f t="shared" si="41"/>
        <v>#DIV/0!</v>
      </c>
      <c r="R130" s="13" t="e">
        <f t="shared" si="41"/>
        <v>#DIV/0!</v>
      </c>
      <c r="S130" s="13" t="e">
        <f t="shared" si="41"/>
        <v>#DIV/0!</v>
      </c>
      <c r="T130" s="13" t="e">
        <f t="shared" si="41"/>
        <v>#DIV/0!</v>
      </c>
      <c r="U130" s="13" t="e">
        <f t="shared" si="41"/>
        <v>#DIV/0!</v>
      </c>
      <c r="V130" s="13" t="e">
        <f t="shared" si="41"/>
        <v>#DIV/0!</v>
      </c>
      <c r="W130" s="13" t="e">
        <f t="shared" si="41"/>
        <v>#DIV/0!</v>
      </c>
      <c r="X130" s="13" t="e">
        <f t="shared" si="41"/>
        <v>#DIV/0!</v>
      </c>
      <c r="Y130" s="13" t="e">
        <f t="shared" si="41"/>
        <v>#DIV/0!</v>
      </c>
      <c r="Z130" s="13" t="e">
        <f t="shared" si="41"/>
        <v>#DIV/0!</v>
      </c>
      <c r="AA130" s="13" t="e">
        <f t="shared" si="41"/>
        <v>#DIV/0!</v>
      </c>
      <c r="AB130" s="13" t="e">
        <f t="shared" si="41"/>
        <v>#DIV/0!</v>
      </c>
      <c r="AC130" s="13" t="e">
        <f t="shared" si="41"/>
        <v>#DIV/0!</v>
      </c>
      <c r="AD130" s="13" t="e">
        <f t="shared" si="41"/>
        <v>#DIV/0!</v>
      </c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8"/>
    </row>
    <row r="131" spans="1:41" hidden="1" x14ac:dyDescent="0.25">
      <c r="B131" s="346" t="s">
        <v>133</v>
      </c>
      <c r="C131" s="14"/>
      <c r="D131" s="14"/>
      <c r="E131" s="14"/>
      <c r="F131" s="12"/>
      <c r="G131" s="12"/>
      <c r="H131" s="125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8"/>
    </row>
    <row r="132" spans="1:41" hidden="1" x14ac:dyDescent="0.25">
      <c r="B132" s="337" t="s">
        <v>134</v>
      </c>
      <c r="C132" s="14"/>
      <c r="D132" s="14"/>
      <c r="E132" s="14"/>
      <c r="F132" s="12"/>
      <c r="G132" s="12"/>
      <c r="H132" s="125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8"/>
    </row>
    <row r="133" spans="1:41" hidden="1" x14ac:dyDescent="0.25">
      <c r="B133" s="88" t="s">
        <v>2</v>
      </c>
      <c r="C133" s="9"/>
      <c r="D133" s="9"/>
      <c r="E133" s="9"/>
      <c r="F133" s="14"/>
      <c r="G133" s="14"/>
      <c r="H133" s="125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8"/>
      <c r="AM133" s="8"/>
      <c r="AN133" s="8"/>
      <c r="AO133" s="8"/>
    </row>
    <row r="134" spans="1:41" hidden="1" x14ac:dyDescent="0.25">
      <c r="B134" s="153" t="s">
        <v>168</v>
      </c>
      <c r="C134" s="9"/>
      <c r="D134" s="9"/>
      <c r="E134" s="9"/>
      <c r="F134" s="9"/>
      <c r="G134" s="9"/>
      <c r="H134" s="125"/>
      <c r="I134" s="13"/>
      <c r="J134" s="13"/>
      <c r="K134" s="13">
        <f t="shared" ref="K134:AD134" si="42">(CE7+CE15)/((1+$B$27)^K$27)</f>
        <v>0</v>
      </c>
      <c r="L134" s="13" t="e">
        <f t="shared" si="42"/>
        <v>#DIV/0!</v>
      </c>
      <c r="M134" s="13" t="e">
        <f t="shared" si="42"/>
        <v>#DIV/0!</v>
      </c>
      <c r="N134" s="13" t="e">
        <f t="shared" si="42"/>
        <v>#DIV/0!</v>
      </c>
      <c r="O134" s="13" t="e">
        <f t="shared" si="42"/>
        <v>#DIV/0!</v>
      </c>
      <c r="P134" s="13" t="e">
        <f t="shared" si="42"/>
        <v>#DIV/0!</v>
      </c>
      <c r="Q134" s="13" t="e">
        <f t="shared" si="42"/>
        <v>#DIV/0!</v>
      </c>
      <c r="R134" s="13" t="e">
        <f t="shared" si="42"/>
        <v>#DIV/0!</v>
      </c>
      <c r="S134" s="13" t="e">
        <f t="shared" si="42"/>
        <v>#DIV/0!</v>
      </c>
      <c r="T134" s="13" t="e">
        <f t="shared" si="42"/>
        <v>#DIV/0!</v>
      </c>
      <c r="U134" s="13" t="e">
        <f t="shared" si="42"/>
        <v>#DIV/0!</v>
      </c>
      <c r="V134" s="13" t="e">
        <f t="shared" si="42"/>
        <v>#DIV/0!</v>
      </c>
      <c r="W134" s="13" t="e">
        <f t="shared" si="42"/>
        <v>#DIV/0!</v>
      </c>
      <c r="X134" s="13" t="e">
        <f t="shared" si="42"/>
        <v>#DIV/0!</v>
      </c>
      <c r="Y134" s="13" t="e">
        <f t="shared" si="42"/>
        <v>#DIV/0!</v>
      </c>
      <c r="Z134" s="13" t="e">
        <f t="shared" si="42"/>
        <v>#DIV/0!</v>
      </c>
      <c r="AA134" s="13" t="e">
        <f t="shared" si="42"/>
        <v>#DIV/0!</v>
      </c>
      <c r="AB134" s="13" t="e">
        <f t="shared" si="42"/>
        <v>#DIV/0!</v>
      </c>
      <c r="AC134" s="13" t="e">
        <f t="shared" si="42"/>
        <v>#DIV/0!</v>
      </c>
      <c r="AD134" s="13" t="e">
        <f t="shared" si="42"/>
        <v>#DIV/0!</v>
      </c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8"/>
    </row>
    <row r="135" spans="1:41" hidden="1" x14ac:dyDescent="0.25">
      <c r="B135" s="153" t="s">
        <v>163</v>
      </c>
      <c r="C135" s="16"/>
      <c r="D135" s="16"/>
      <c r="E135" s="16"/>
      <c r="F135" s="9"/>
      <c r="G135" s="9"/>
      <c r="H135" s="125"/>
      <c r="I135" s="13"/>
      <c r="J135" s="13"/>
      <c r="K135" s="13" t="e">
        <f t="shared" ref="K135:AD135" si="43">(BH7+BH15)/((1+$B$27)^K$27)</f>
        <v>#REF!</v>
      </c>
      <c r="L135" s="13" t="e">
        <f t="shared" si="43"/>
        <v>#REF!</v>
      </c>
      <c r="M135" s="13" t="e">
        <f t="shared" si="43"/>
        <v>#REF!</v>
      </c>
      <c r="N135" s="13" t="e">
        <f t="shared" si="43"/>
        <v>#REF!</v>
      </c>
      <c r="O135" s="13" t="e">
        <f t="shared" si="43"/>
        <v>#REF!</v>
      </c>
      <c r="P135" s="13" t="e">
        <f t="shared" si="43"/>
        <v>#REF!</v>
      </c>
      <c r="Q135" s="13" t="e">
        <f t="shared" si="43"/>
        <v>#REF!</v>
      </c>
      <c r="R135" s="13" t="e">
        <f t="shared" si="43"/>
        <v>#REF!</v>
      </c>
      <c r="S135" s="13" t="e">
        <f t="shared" si="43"/>
        <v>#REF!</v>
      </c>
      <c r="T135" s="13" t="e">
        <f t="shared" si="43"/>
        <v>#REF!</v>
      </c>
      <c r="U135" s="13" t="e">
        <f t="shared" si="43"/>
        <v>#REF!</v>
      </c>
      <c r="V135" s="13" t="e">
        <f t="shared" si="43"/>
        <v>#REF!</v>
      </c>
      <c r="W135" s="13" t="e">
        <f t="shared" si="43"/>
        <v>#REF!</v>
      </c>
      <c r="X135" s="13" t="e">
        <f t="shared" si="43"/>
        <v>#REF!</v>
      </c>
      <c r="Y135" s="13" t="e">
        <f t="shared" si="43"/>
        <v>#REF!</v>
      </c>
      <c r="Z135" s="13" t="e">
        <f t="shared" si="43"/>
        <v>#REF!</v>
      </c>
      <c r="AA135" s="13" t="e">
        <f t="shared" si="43"/>
        <v>#REF!</v>
      </c>
      <c r="AB135" s="13" t="e">
        <f t="shared" si="43"/>
        <v>#REF!</v>
      </c>
      <c r="AC135" s="13" t="e">
        <f t="shared" si="43"/>
        <v>#REF!</v>
      </c>
      <c r="AD135" s="13" t="e">
        <f t="shared" si="43"/>
        <v>#REF!</v>
      </c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8"/>
    </row>
    <row r="136" spans="1:41" hidden="1" x14ac:dyDescent="0.25">
      <c r="B136" s="153" t="s">
        <v>164</v>
      </c>
      <c r="C136" s="16"/>
      <c r="D136" s="16"/>
      <c r="E136" s="16"/>
      <c r="F136" s="9"/>
      <c r="G136" s="9"/>
      <c r="H136" s="125"/>
      <c r="I136" s="13"/>
      <c r="J136" s="13"/>
      <c r="K136" s="13">
        <f>('Inputs Worksheet'!DE58+'Inputs Worksheet'!DE68)/((1+'7% Discounting'!$B$27)^'7% Discounting'!K$27)</f>
        <v>0</v>
      </c>
      <c r="L136" s="13" t="e">
        <f>('Inputs Worksheet'!DF58+'Inputs Worksheet'!DF68)/((1+'7% Discounting'!$B$27)^'7% Discounting'!L$27)</f>
        <v>#DIV/0!</v>
      </c>
      <c r="M136" s="13" t="e">
        <f>('Inputs Worksheet'!DG58+'Inputs Worksheet'!DG68)/((1+'7% Discounting'!$B$27)^'7% Discounting'!M$27)</f>
        <v>#DIV/0!</v>
      </c>
      <c r="N136" s="13" t="e">
        <f>('Inputs Worksheet'!DH58+'Inputs Worksheet'!DH68)/((1+'7% Discounting'!$B$27)^'7% Discounting'!N$27)</f>
        <v>#DIV/0!</v>
      </c>
      <c r="O136" s="13" t="e">
        <f>('Inputs Worksheet'!DI58+'Inputs Worksheet'!DI68)/((1+'7% Discounting'!$B$27)^'7% Discounting'!O$27)</f>
        <v>#DIV/0!</v>
      </c>
      <c r="P136" s="13" t="e">
        <f>('Inputs Worksheet'!DJ58+'Inputs Worksheet'!DJ68)/((1+'7% Discounting'!$B$27)^'7% Discounting'!P$27)</f>
        <v>#DIV/0!</v>
      </c>
      <c r="Q136" s="13" t="e">
        <f>('Inputs Worksheet'!DK58+'Inputs Worksheet'!DK68)/((1+'7% Discounting'!$B$27)^'7% Discounting'!Q$27)</f>
        <v>#DIV/0!</v>
      </c>
      <c r="R136" s="13" t="e">
        <f>('Inputs Worksheet'!DL58+'Inputs Worksheet'!DL68)/((1+'7% Discounting'!$B$27)^'7% Discounting'!R$27)</f>
        <v>#DIV/0!</v>
      </c>
      <c r="S136" s="13" t="e">
        <f>('Inputs Worksheet'!DM58+'Inputs Worksheet'!DM68)/((1+'7% Discounting'!$B$27)^'7% Discounting'!S$27)</f>
        <v>#DIV/0!</v>
      </c>
      <c r="T136" s="13" t="e">
        <f>('Inputs Worksheet'!DN58+'Inputs Worksheet'!DN68)/((1+'7% Discounting'!$B$27)^'7% Discounting'!T$27)</f>
        <v>#DIV/0!</v>
      </c>
      <c r="U136" s="13" t="e">
        <f>('Inputs Worksheet'!DO58+'Inputs Worksheet'!DO68)/((1+'7% Discounting'!$B$27)^'7% Discounting'!U$27)</f>
        <v>#DIV/0!</v>
      </c>
      <c r="V136" s="13" t="e">
        <f>('Inputs Worksheet'!DP58+'Inputs Worksheet'!DP68)/((1+'7% Discounting'!$B$27)^'7% Discounting'!V$27)</f>
        <v>#DIV/0!</v>
      </c>
      <c r="W136" s="13" t="e">
        <f>('Inputs Worksheet'!DQ58+'Inputs Worksheet'!DQ68)/((1+'7% Discounting'!$B$27)^'7% Discounting'!W$27)</f>
        <v>#DIV/0!</v>
      </c>
      <c r="X136" s="13" t="e">
        <f>('Inputs Worksheet'!DR58+'Inputs Worksheet'!DR68)/((1+'7% Discounting'!$B$27)^'7% Discounting'!X$27)</f>
        <v>#DIV/0!</v>
      </c>
      <c r="Y136" s="13" t="e">
        <f>('Inputs Worksheet'!DS58+'Inputs Worksheet'!DS68)/((1+'7% Discounting'!$B$27)^'7% Discounting'!Y$27)</f>
        <v>#DIV/0!</v>
      </c>
      <c r="Z136" s="13" t="e">
        <f>('Inputs Worksheet'!DT58+'Inputs Worksheet'!DT68)/((1+'7% Discounting'!$B$27)^'7% Discounting'!Z$27)</f>
        <v>#DIV/0!</v>
      </c>
      <c r="AA136" s="13" t="e">
        <f>('Inputs Worksheet'!DU58+'Inputs Worksheet'!DU68)/((1+'7% Discounting'!$B$27)^'7% Discounting'!AA$27)</f>
        <v>#DIV/0!</v>
      </c>
      <c r="AB136" s="13" t="e">
        <f>('Inputs Worksheet'!DV58+'Inputs Worksheet'!DV68)/((1+'7% Discounting'!$B$27)^'7% Discounting'!AB$27)</f>
        <v>#DIV/0!</v>
      </c>
      <c r="AC136" s="13" t="e">
        <f>('Inputs Worksheet'!DW58+'Inputs Worksheet'!DW68)/((1+'7% Discounting'!$B$27)^'7% Discounting'!AC$27)</f>
        <v>#DIV/0!</v>
      </c>
      <c r="AD136" s="13" t="e">
        <f>('Inputs Worksheet'!DX58+'Inputs Worksheet'!DX68)/((1+'7% Discounting'!$B$27)^'7% Discounting'!AD$27)</f>
        <v>#DIV/0!</v>
      </c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8"/>
    </row>
    <row r="137" spans="1:41" hidden="1" x14ac:dyDescent="0.25">
      <c r="B137" s="153" t="s">
        <v>165</v>
      </c>
      <c r="C137" s="16"/>
      <c r="D137" s="16"/>
      <c r="E137" s="16"/>
      <c r="F137" s="9"/>
      <c r="G137" s="9"/>
      <c r="H137" s="125"/>
      <c r="I137" s="13"/>
      <c r="J137" s="13"/>
      <c r="K137" s="13">
        <f>('Inputs Worksheet'!CH58+'Inputs Worksheet'!CH68)/((1+'7% Discounting'!$B$27)^'7% Discounting'!K$27)</f>
        <v>0</v>
      </c>
      <c r="L137" s="13" t="e">
        <f>('Inputs Worksheet'!CI58+'Inputs Worksheet'!CI68)/((1+'7% Discounting'!$B$27)^'7% Discounting'!L$27)</f>
        <v>#DIV/0!</v>
      </c>
      <c r="M137" s="13" t="e">
        <f>('Inputs Worksheet'!CJ58+'Inputs Worksheet'!CJ68)/((1+'7% Discounting'!$B$27)^'7% Discounting'!M$27)</f>
        <v>#DIV/0!</v>
      </c>
      <c r="N137" s="13" t="e">
        <f>('Inputs Worksheet'!CK58+'Inputs Worksheet'!CK68)/((1+'7% Discounting'!$B$27)^'7% Discounting'!N$27)</f>
        <v>#DIV/0!</v>
      </c>
      <c r="O137" s="13" t="e">
        <f>('Inputs Worksheet'!CL58+'Inputs Worksheet'!CL68)/((1+'7% Discounting'!$B$27)^'7% Discounting'!O$27)</f>
        <v>#DIV/0!</v>
      </c>
      <c r="P137" s="13" t="e">
        <f>('Inputs Worksheet'!CM58+'Inputs Worksheet'!CM68)/((1+'7% Discounting'!$B$27)^'7% Discounting'!P$27)</f>
        <v>#DIV/0!</v>
      </c>
      <c r="Q137" s="13" t="e">
        <f>('Inputs Worksheet'!CN58+'Inputs Worksheet'!CN68)/((1+'7% Discounting'!$B$27)^'7% Discounting'!Q$27)</f>
        <v>#DIV/0!</v>
      </c>
      <c r="R137" s="13" t="e">
        <f>('Inputs Worksheet'!CO58+'Inputs Worksheet'!CO68)/((1+'7% Discounting'!$B$27)^'7% Discounting'!R$27)</f>
        <v>#DIV/0!</v>
      </c>
      <c r="S137" s="13" t="e">
        <f>('Inputs Worksheet'!CP58+'Inputs Worksheet'!CP68)/((1+'7% Discounting'!$B$27)^'7% Discounting'!S$27)</f>
        <v>#DIV/0!</v>
      </c>
      <c r="T137" s="13" t="e">
        <f>('Inputs Worksheet'!CQ58+'Inputs Worksheet'!CQ68)/((1+'7% Discounting'!$B$27)^'7% Discounting'!T$27)</f>
        <v>#DIV/0!</v>
      </c>
      <c r="U137" s="13" t="e">
        <f>('Inputs Worksheet'!CR58+'Inputs Worksheet'!CR68)/((1+'7% Discounting'!$B$27)^'7% Discounting'!U$27)</f>
        <v>#DIV/0!</v>
      </c>
      <c r="V137" s="13" t="e">
        <f>('Inputs Worksheet'!CS58+'Inputs Worksheet'!CS68)/((1+'7% Discounting'!$B$27)^'7% Discounting'!V$27)</f>
        <v>#DIV/0!</v>
      </c>
      <c r="W137" s="13" t="e">
        <f>('Inputs Worksheet'!CT58+'Inputs Worksheet'!CT68)/((1+'7% Discounting'!$B$27)^'7% Discounting'!W$27)</f>
        <v>#DIV/0!</v>
      </c>
      <c r="X137" s="13" t="e">
        <f>('Inputs Worksheet'!CU58+'Inputs Worksheet'!CU68)/((1+'7% Discounting'!$B$27)^'7% Discounting'!X$27)</f>
        <v>#DIV/0!</v>
      </c>
      <c r="Y137" s="13" t="e">
        <f>('Inputs Worksheet'!CV58+'Inputs Worksheet'!CV68)/((1+'7% Discounting'!$B$27)^'7% Discounting'!Y$27)</f>
        <v>#DIV/0!</v>
      </c>
      <c r="Z137" s="13" t="e">
        <f>('Inputs Worksheet'!CW58+'Inputs Worksheet'!CW68)/((1+'7% Discounting'!$B$27)^'7% Discounting'!Z$27)</f>
        <v>#DIV/0!</v>
      </c>
      <c r="AA137" s="13" t="e">
        <f>('Inputs Worksheet'!CX58+'Inputs Worksheet'!CX68)/((1+'7% Discounting'!$B$27)^'7% Discounting'!AA$27)</f>
        <v>#DIV/0!</v>
      </c>
      <c r="AB137" s="13" t="e">
        <f>('Inputs Worksheet'!CY58+'Inputs Worksheet'!CY68)/((1+'7% Discounting'!$B$27)^'7% Discounting'!AB$27)</f>
        <v>#DIV/0!</v>
      </c>
      <c r="AC137" s="13" t="e">
        <f>('Inputs Worksheet'!CZ58+'Inputs Worksheet'!CZ68)/((1+'7% Discounting'!$B$27)^'7% Discounting'!AC$27)</f>
        <v>#DIV/0!</v>
      </c>
      <c r="AD137" s="13" t="e">
        <f>('Inputs Worksheet'!DA58+'Inputs Worksheet'!DA68)/((1+'7% Discounting'!$B$27)^'7% Discounting'!AD$27)</f>
        <v>#DIV/0!</v>
      </c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8"/>
    </row>
    <row r="138" spans="1:41" s="125" customFormat="1" hidden="1" x14ac:dyDescent="0.25">
      <c r="A138" s="123"/>
      <c r="B138" s="153" t="s">
        <v>166</v>
      </c>
      <c r="C138" s="2"/>
      <c r="D138" s="2"/>
      <c r="E138" s="2"/>
      <c r="F138" s="124"/>
      <c r="G138" s="124"/>
      <c r="I138" s="13"/>
      <c r="J138" s="13"/>
      <c r="K138" s="13">
        <f t="shared" ref="K138:AD138" si="44">(AK7+AK15)/((1+$B$27)^K$27)</f>
        <v>0</v>
      </c>
      <c r="L138" s="13" t="e">
        <f t="shared" si="44"/>
        <v>#DIV/0!</v>
      </c>
      <c r="M138" s="13" t="e">
        <f t="shared" si="44"/>
        <v>#DIV/0!</v>
      </c>
      <c r="N138" s="13" t="e">
        <f t="shared" si="44"/>
        <v>#DIV/0!</v>
      </c>
      <c r="O138" s="13" t="e">
        <f t="shared" si="44"/>
        <v>#DIV/0!</v>
      </c>
      <c r="P138" s="13" t="e">
        <f t="shared" si="44"/>
        <v>#DIV/0!</v>
      </c>
      <c r="Q138" s="13" t="e">
        <f t="shared" si="44"/>
        <v>#DIV/0!</v>
      </c>
      <c r="R138" s="13" t="e">
        <f t="shared" si="44"/>
        <v>#DIV/0!</v>
      </c>
      <c r="S138" s="13" t="e">
        <f t="shared" si="44"/>
        <v>#DIV/0!</v>
      </c>
      <c r="T138" s="13" t="e">
        <f t="shared" si="44"/>
        <v>#DIV/0!</v>
      </c>
      <c r="U138" s="13" t="e">
        <f t="shared" si="44"/>
        <v>#DIV/0!</v>
      </c>
      <c r="V138" s="13" t="e">
        <f t="shared" si="44"/>
        <v>#DIV/0!</v>
      </c>
      <c r="W138" s="13" t="e">
        <f t="shared" si="44"/>
        <v>#DIV/0!</v>
      </c>
      <c r="X138" s="13" t="e">
        <f t="shared" si="44"/>
        <v>#DIV/0!</v>
      </c>
      <c r="Y138" s="13" t="e">
        <f t="shared" si="44"/>
        <v>#DIV/0!</v>
      </c>
      <c r="Z138" s="13" t="e">
        <f t="shared" si="44"/>
        <v>#DIV/0!</v>
      </c>
      <c r="AA138" s="13" t="e">
        <f t="shared" si="44"/>
        <v>#DIV/0!</v>
      </c>
      <c r="AB138" s="13" t="e">
        <f t="shared" si="44"/>
        <v>#DIV/0!</v>
      </c>
      <c r="AC138" s="13" t="e">
        <f t="shared" si="44"/>
        <v>#DIV/0!</v>
      </c>
      <c r="AD138" s="13" t="e">
        <f t="shared" si="44"/>
        <v>#DIV/0!</v>
      </c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8"/>
    </row>
    <row r="139" spans="1:41" s="125" customFormat="1" hidden="1" x14ac:dyDescent="0.25">
      <c r="A139" s="123"/>
      <c r="B139" s="153" t="s">
        <v>202</v>
      </c>
      <c r="C139" s="2"/>
      <c r="D139" s="2"/>
      <c r="E139" s="2"/>
      <c r="F139" s="124"/>
      <c r="G139" s="124"/>
      <c r="I139" s="13"/>
      <c r="J139" s="13"/>
      <c r="K139" s="13" t="e">
        <f>-('Inputs Worksheet'!$N$47*Cost_4!$J$3/2)/((1+$B$27)^K$27)-('Inputs Worksheet'!$C$10*'Inputs Worksheet'!$E$10*('Inputs Worksheet'!$E$23^('Inputs Worksheet'!$A$29-'Inputs Worksheet'!$A$3+K$28))*365*'Inputs Worksheet'!$O$57*'Inputs Worksheet'!$N$43/((1+$B$27)^K$27))</f>
        <v>#NUM!</v>
      </c>
      <c r="L139" s="13">
        <f>-('Inputs Worksheet'!$N$47*Cost_4!$J$3/2)/((1+$B$27)^L$27)-('Inputs Worksheet'!$C$10*'Inputs Worksheet'!$E$10*('Inputs Worksheet'!$E$23^('Inputs Worksheet'!$A$29-'Inputs Worksheet'!$A$3+L$28))*365*'Inputs Worksheet'!$O$57*'Inputs Worksheet'!$N$43/((1+$B$27)^L$27))</f>
        <v>0</v>
      </c>
      <c r="M139" s="13">
        <f>-('Inputs Worksheet'!$N$47*Cost_4!$J$3/2)/((1+$B$27)^M$27)-('Inputs Worksheet'!$C$10*'Inputs Worksheet'!$E$10*('Inputs Worksheet'!$E$23^('Inputs Worksheet'!$A$29-'Inputs Worksheet'!$A$3+M$28))*365*'Inputs Worksheet'!$O$57*'Inputs Worksheet'!$N$43/((1+$B$27)^M$27))</f>
        <v>0</v>
      </c>
      <c r="N139" s="13">
        <f>-('Inputs Worksheet'!$N$47*Cost_4!$J$3/2)/((1+$B$27)^N$27)-('Inputs Worksheet'!$C$10*'Inputs Worksheet'!$E$10*('Inputs Worksheet'!$E$23^('Inputs Worksheet'!$A$29-'Inputs Worksheet'!$A$3+N$28))*365*'Inputs Worksheet'!$O$57*'Inputs Worksheet'!$N$43/((1+$B$27)^N$27))</f>
        <v>0</v>
      </c>
      <c r="O139" s="13">
        <f>-('Inputs Worksheet'!$N$47*Cost_4!$J$3/2)/((1+$B$27)^O$27)-('Inputs Worksheet'!$C$10*'Inputs Worksheet'!$E$10*('Inputs Worksheet'!$E$23^('Inputs Worksheet'!$A$29-'Inputs Worksheet'!$A$3+O$28))*365*'Inputs Worksheet'!$O$57*'Inputs Worksheet'!$N$43/((1+$B$27)^O$27))</f>
        <v>0</v>
      </c>
      <c r="P139" s="13">
        <f>-('Inputs Worksheet'!$N$47*Cost_4!$J$3/2)/((1+$B$27)^P$27)-('Inputs Worksheet'!$C$10*'Inputs Worksheet'!$E$10*('Inputs Worksheet'!$E$23^('Inputs Worksheet'!$A$29-'Inputs Worksheet'!$A$3+P$28))*365*'Inputs Worksheet'!$O$57*'Inputs Worksheet'!$N$43/((1+$B$27)^P$27))</f>
        <v>0</v>
      </c>
      <c r="Q139" s="13">
        <f>-('Inputs Worksheet'!$N$47*Cost_4!$J$3/2)/((1+$B$27)^Q$27)-('Inputs Worksheet'!$C$10*'Inputs Worksheet'!$E$10*('Inputs Worksheet'!$E$23^('Inputs Worksheet'!$A$29-'Inputs Worksheet'!$A$3+Q$28))*365*'Inputs Worksheet'!$O$57*'Inputs Worksheet'!$N$43/((1+$B$27)^Q$27))</f>
        <v>0</v>
      </c>
      <c r="R139" s="13">
        <f>-('Inputs Worksheet'!$N$47*Cost_4!$J$3/2)/((1+$B$27)^R$27)-('Inputs Worksheet'!$C$10*'Inputs Worksheet'!$E$10*('Inputs Worksheet'!$E$23^('Inputs Worksheet'!$A$29-'Inputs Worksheet'!$A$3+R$28))*365*'Inputs Worksheet'!$O$57*'Inputs Worksheet'!$N$43/((1+$B$27)^R$27))</f>
        <v>0</v>
      </c>
      <c r="S139" s="13">
        <f>-('Inputs Worksheet'!$N$47*Cost_4!$J$3/2)/((1+$B$27)^S$27)-('Inputs Worksheet'!$C$10*'Inputs Worksheet'!$E$10*('Inputs Worksheet'!$E$23^('Inputs Worksheet'!$A$29-'Inputs Worksheet'!$A$3+S$28))*365*'Inputs Worksheet'!$O$57*'Inputs Worksheet'!$N$43/((1+$B$27)^S$27))</f>
        <v>0</v>
      </c>
      <c r="T139" s="13">
        <f>-('Inputs Worksheet'!$N$47*Cost_4!$J$3/2)/((1+$B$27)^T$27)-('Inputs Worksheet'!$C$10*'Inputs Worksheet'!$E$10*('Inputs Worksheet'!$E$23^('Inputs Worksheet'!$A$29-'Inputs Worksheet'!$A$3+T$28))*365*'Inputs Worksheet'!$O$57*'Inputs Worksheet'!$N$43/((1+$B$27)^T$27))</f>
        <v>0</v>
      </c>
      <c r="U139" s="13">
        <f>-('Inputs Worksheet'!$N$47*Cost_4!$J$3/2)/((1+$B$27)^U$27)-('Inputs Worksheet'!$C$10*'Inputs Worksheet'!$E$10*('Inputs Worksheet'!$E$23^('Inputs Worksheet'!$A$29-'Inputs Worksheet'!$A$3+U$28))*365*'Inputs Worksheet'!$O$57*'Inputs Worksheet'!$N$43/((1+$B$27)^U$27))</f>
        <v>0</v>
      </c>
      <c r="V139" s="13">
        <f>-('Inputs Worksheet'!$N$47*Cost_4!$J$3/2)/((1+$B$27)^V$27)-('Inputs Worksheet'!$C$10*'Inputs Worksheet'!$E$10*('Inputs Worksheet'!$E$23^('Inputs Worksheet'!$A$29-'Inputs Worksheet'!$A$3+V$28))*365*'Inputs Worksheet'!$O$57*'Inputs Worksheet'!$N$43/((1+$B$27)^V$27))</f>
        <v>0</v>
      </c>
      <c r="W139" s="13">
        <f>-('Inputs Worksheet'!$N$47*Cost_4!$J$3/2)/((1+$B$27)^W$27)-('Inputs Worksheet'!$C$10*'Inputs Worksheet'!$E$10*('Inputs Worksheet'!$E$23^('Inputs Worksheet'!$A$29-'Inputs Worksheet'!$A$3+W$28))*365*'Inputs Worksheet'!$O$57*'Inputs Worksheet'!$N$43/((1+$B$27)^W$27))</f>
        <v>0</v>
      </c>
      <c r="X139" s="13">
        <f>-('Inputs Worksheet'!$N$47*Cost_4!$J$3/2)/((1+$B$27)^X$27)-('Inputs Worksheet'!$C$10*'Inputs Worksheet'!$E$10*('Inputs Worksheet'!$E$23^('Inputs Worksheet'!$A$29-'Inputs Worksheet'!$A$3+X$28))*365*'Inputs Worksheet'!$O$57*'Inputs Worksheet'!$N$43/((1+$B$27)^X$27))</f>
        <v>0</v>
      </c>
      <c r="Y139" s="13">
        <f>-('Inputs Worksheet'!$N$47*Cost_4!$J$3/2)/((1+$B$27)^Y$27)-('Inputs Worksheet'!$C$10*'Inputs Worksheet'!$E$10*('Inputs Worksheet'!$E$23^('Inputs Worksheet'!$A$29-'Inputs Worksheet'!$A$3+Y$28))*365*'Inputs Worksheet'!$O$57*'Inputs Worksheet'!$N$43/((1+$B$27)^Y$27))</f>
        <v>0</v>
      </c>
      <c r="Z139" s="13">
        <f>-('Inputs Worksheet'!$N$47*Cost_4!$J$3/2)/((1+$B$27)^Z$27)-('Inputs Worksheet'!$C$10*'Inputs Worksheet'!$E$10*('Inputs Worksheet'!$E$23^('Inputs Worksheet'!$A$29-'Inputs Worksheet'!$A$3+Z$28))*365*'Inputs Worksheet'!$O$57*'Inputs Worksheet'!$N$43/((1+$B$27)^Z$27))</f>
        <v>0</v>
      </c>
      <c r="AA139" s="13">
        <f>-('Inputs Worksheet'!$N$47*Cost_4!$J$3/2)/((1+$B$27)^AA$27)-('Inputs Worksheet'!$C$10*'Inputs Worksheet'!$E$10*('Inputs Worksheet'!$E$23^('Inputs Worksheet'!$A$29-'Inputs Worksheet'!$A$3+AA$28))*365*'Inputs Worksheet'!$O$57*'Inputs Worksheet'!$N$43/((1+$B$27)^AA$27))</f>
        <v>0</v>
      </c>
      <c r="AB139" s="13">
        <f>-('Inputs Worksheet'!$N$47*Cost_4!$J$3/2)/((1+$B$27)^AB$27)-('Inputs Worksheet'!$C$10*'Inputs Worksheet'!$E$10*('Inputs Worksheet'!$E$23^('Inputs Worksheet'!$A$29-'Inputs Worksheet'!$A$3+AB$28))*365*'Inputs Worksheet'!$O$57*'Inputs Worksheet'!$N$43/((1+$B$27)^AB$27))</f>
        <v>0</v>
      </c>
      <c r="AC139" s="13">
        <f>-('Inputs Worksheet'!$N$47*Cost_4!$J$3/2)/((1+$B$27)^AC$27)-('Inputs Worksheet'!$C$10*'Inputs Worksheet'!$E$10*('Inputs Worksheet'!$E$23^('Inputs Worksheet'!$A$29-'Inputs Worksheet'!$A$3+AC$28))*365*'Inputs Worksheet'!$O$57*'Inputs Worksheet'!$N$43/((1+$B$27)^AC$27))</f>
        <v>0</v>
      </c>
      <c r="AD139" s="13">
        <f>-('Inputs Worksheet'!$N$47*Cost_4!$J$3/2)/((1+$B$27)^AD$27)-('Inputs Worksheet'!$C$10*'Inputs Worksheet'!$E$10*('Inputs Worksheet'!$E$23^('Inputs Worksheet'!$A$29-'Inputs Worksheet'!$A$3+AD$28))*365*'Inputs Worksheet'!$O$57*'Inputs Worksheet'!$N$43/((1+$B$27)^AD$27))</f>
        <v>0</v>
      </c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8"/>
    </row>
    <row r="140" spans="1:41" hidden="1" x14ac:dyDescent="0.25">
      <c r="B140" s="88" t="s">
        <v>3</v>
      </c>
      <c r="C140" s="2"/>
      <c r="D140" s="2"/>
      <c r="E140" s="2"/>
      <c r="F140" s="14"/>
      <c r="G140" s="14"/>
      <c r="H140" s="125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3"/>
      <c r="AF140" s="13"/>
      <c r="AG140" s="13"/>
      <c r="AH140" s="13"/>
      <c r="AI140" s="13"/>
      <c r="AJ140" s="13"/>
      <c r="AK140" s="13"/>
      <c r="AL140" s="8"/>
      <c r="AM140" s="8"/>
      <c r="AN140" s="8"/>
      <c r="AO140"/>
    </row>
    <row r="141" spans="1:41" hidden="1" x14ac:dyDescent="0.25">
      <c r="B141" s="462" t="s">
        <v>246</v>
      </c>
      <c r="C141" s="2"/>
      <c r="D141" s="2"/>
      <c r="E141" s="2"/>
      <c r="F141" s="242"/>
      <c r="G141" s="14"/>
      <c r="H141" s="125"/>
      <c r="I141" s="10"/>
      <c r="J141" s="10"/>
      <c r="K141" s="263" t="e">
        <f>((($E$9*$E7+$F$9*$F7+$G$9*$G7+$H$9*$H7+$I$9*$I7))+(($J$9*$J7)))*'Inputs Worksheet'!$I$23^('Inputs Worksheet'!$A$29-'Inputs Worksheet'!$A$3+K$28)/((1+$B$27)^K$27)</f>
        <v>#NUM!</v>
      </c>
      <c r="L141" s="263">
        <f>((($E$9*$E7+$F$9*$F7+$G$9*$G7+$H$9*$H7+$I$9*$I7))+(($J$9*$J7)))*'Inputs Worksheet'!$I$23^('Inputs Worksheet'!$A$29-'Inputs Worksheet'!$A$3+L$28)/((1+$B$27)^L$27)</f>
        <v>0</v>
      </c>
      <c r="M141" s="263">
        <f>((($E$9*$E7+$F$9*$F7+$G$9*$G7+$H$9*$H7+$I$9*$I7))+(($J$9*$J7)))*'Inputs Worksheet'!$I$23^('Inputs Worksheet'!$A$29-'Inputs Worksheet'!$A$3+M$28)/((1+$B$27)^M$27)</f>
        <v>0</v>
      </c>
      <c r="N141" s="263">
        <f>((($E$9*$E7+$F$9*$F7+$G$9*$G7+$H$9*$H7+$I$9*$I7))+(($J$9*$J7)))*'Inputs Worksheet'!$I$23^('Inputs Worksheet'!$A$29-'Inputs Worksheet'!$A$3+N$28)/((1+$B$27)^N$27)</f>
        <v>0</v>
      </c>
      <c r="O141" s="263">
        <f>((($E$9*$E7+$F$9*$F7+$G$9*$G7+$H$9*$H7+$I$9*$I7))+(($J$9*$J7)))*'Inputs Worksheet'!$I$23^('Inputs Worksheet'!$A$29-'Inputs Worksheet'!$A$3+O$28)/((1+$B$27)^O$27)</f>
        <v>0</v>
      </c>
      <c r="P141" s="263">
        <f>((($E$9*$E7+$F$9*$F7+$G$9*$G7+$H$9*$H7+$I$9*$I7))+(($J$9*$J7)))*'Inputs Worksheet'!$I$23^('Inputs Worksheet'!$A$29-'Inputs Worksheet'!$A$3+P$28)/((1+$B$27)^P$27)</f>
        <v>0</v>
      </c>
      <c r="Q141" s="263">
        <f>((($E$9*$E7+$F$9*$F7+$G$9*$G7+$H$9*$H7+$I$9*$I7))+(($J$9*$J7)))*'Inputs Worksheet'!$I$23^('Inputs Worksheet'!$A$29-'Inputs Worksheet'!$A$3+Q$28)/((1+$B$27)^Q$27)</f>
        <v>0</v>
      </c>
      <c r="R141" s="263">
        <f>((($E$9*$E7+$F$9*$F7+$G$9*$G7+$H$9*$H7+$I$9*$I7))+(($J$9*$J7)))*'Inputs Worksheet'!$I$23^('Inputs Worksheet'!$A$29-'Inputs Worksheet'!$A$3+R$28)/((1+$B$27)^R$27)</f>
        <v>0</v>
      </c>
      <c r="S141" s="263">
        <f>((($E$9*$E7+$F$9*$F7+$G$9*$G7+$H$9*$H7+$I$9*$I7))+(($J$9*$J7)))*'Inputs Worksheet'!$I$23^('Inputs Worksheet'!$A$29-'Inputs Worksheet'!$A$3+S$28)/((1+$B$27)^S$27)</f>
        <v>0</v>
      </c>
      <c r="T141" s="263">
        <f>((($E$9*$E7+$F$9*$F7+$G$9*$G7+$H$9*$H7+$I$9*$I7))+(($J$9*$J7)))*'Inputs Worksheet'!$I$23^('Inputs Worksheet'!$A$29-'Inputs Worksheet'!$A$3+T$28)/((1+$B$27)^T$27)</f>
        <v>0</v>
      </c>
      <c r="U141" s="263">
        <f>((($E$9*$E7+$F$9*$F7+$G$9*$G7+$H$9*$H7+$I$9*$I7))+(($J$9*$J7)))*'Inputs Worksheet'!$I$23^('Inputs Worksheet'!$A$29-'Inputs Worksheet'!$A$3+U$28)/((1+$B$27)^U$27)</f>
        <v>0</v>
      </c>
      <c r="V141" s="263">
        <f>((($E$9*$E7+$F$9*$F7+$G$9*$G7+$H$9*$H7+$I$9*$I7))+(($J$9*$J7)))*'Inputs Worksheet'!$I$23^('Inputs Worksheet'!$A$29-'Inputs Worksheet'!$A$3+V$28)/((1+$B$27)^V$27)</f>
        <v>0</v>
      </c>
      <c r="W141" s="263">
        <f>((($E$9*$E7+$F$9*$F7+$G$9*$G7+$H$9*$H7+$I$9*$I7))+(($J$9*$J7)))*'Inputs Worksheet'!$I$23^('Inputs Worksheet'!$A$29-'Inputs Worksheet'!$A$3+W$28)/((1+$B$27)^W$27)</f>
        <v>0</v>
      </c>
      <c r="X141" s="263">
        <f>((($E$9*$E7+$F$9*$F7+$G$9*$G7+$H$9*$H7+$I$9*$I7))+(($J$9*$J7)))*'Inputs Worksheet'!$I$23^('Inputs Worksheet'!$A$29-'Inputs Worksheet'!$A$3+X$28)/((1+$B$27)^X$27)</f>
        <v>0</v>
      </c>
      <c r="Y141" s="263">
        <f>((($E$9*$E7+$F$9*$F7+$G$9*$G7+$H$9*$H7+$I$9*$I7))+(($J$9*$J7)))*'Inputs Worksheet'!$I$23^('Inputs Worksheet'!$A$29-'Inputs Worksheet'!$A$3+Y$28)/((1+$B$27)^Y$27)</f>
        <v>0</v>
      </c>
      <c r="Z141" s="263">
        <f>((($E$9*$E7+$F$9*$F7+$G$9*$G7+$H$9*$H7+$I$9*$I7))+(($J$9*$J7)))*'Inputs Worksheet'!$I$23^('Inputs Worksheet'!$A$29-'Inputs Worksheet'!$A$3+Z$28)/((1+$B$27)^Z$27)</f>
        <v>0</v>
      </c>
      <c r="AA141" s="263">
        <f>((($E$9*$E7+$F$9*$F7+$G$9*$G7+$H$9*$H7+$I$9*$I7))+(($J$9*$J7)))*'Inputs Worksheet'!$I$23^('Inputs Worksheet'!$A$29-'Inputs Worksheet'!$A$3+AA$28)/((1+$B$27)^AA$27)</f>
        <v>0</v>
      </c>
      <c r="AB141" s="263">
        <f>((($E$9*$E7+$F$9*$F7+$G$9*$G7+$H$9*$H7+$I$9*$I7))+(($J$9*$J7)))*'Inputs Worksheet'!$I$23^('Inputs Worksheet'!$A$29-'Inputs Worksheet'!$A$3+AB$28)/((1+$B$27)^AB$27)</f>
        <v>0</v>
      </c>
      <c r="AC141" s="263">
        <f>((($E$9*$E7+$F$9*$F7+$G$9*$G7+$H$9*$H7+$I$9*$I7))+(($J$9*$J7)))*'Inputs Worksheet'!$I$23^('Inputs Worksheet'!$A$29-'Inputs Worksheet'!$A$3+AC$28)/((1+$B$27)^AC$27)</f>
        <v>0</v>
      </c>
      <c r="AD141" s="263">
        <f>((($E$9*$E7+$F$9*$F7+$G$9*$G7+$H$9*$H7+$I$9*$I7))+(($J$9*$J7)))*'Inputs Worksheet'!$I$23^('Inputs Worksheet'!$A$29-'Inputs Worksheet'!$A$3+AD$28)/((1+$B$27)^AD$27)</f>
        <v>0</v>
      </c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8"/>
    </row>
    <row r="142" spans="1:41" hidden="1" x14ac:dyDescent="0.25">
      <c r="B142" s="88" t="s">
        <v>13</v>
      </c>
      <c r="C142" s="2"/>
      <c r="D142" s="2"/>
      <c r="E142" s="2"/>
      <c r="F142" s="14"/>
      <c r="G142" s="14"/>
      <c r="H142" s="125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/>
      <c r="AM142"/>
      <c r="AN142"/>
      <c r="AO142"/>
    </row>
    <row r="143" spans="1:41" hidden="1" x14ac:dyDescent="0.25">
      <c r="B143" s="88" t="s">
        <v>169</v>
      </c>
      <c r="F143" s="14"/>
      <c r="G143" s="14"/>
      <c r="H143" s="125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5"/>
      <c r="U143" s="13"/>
      <c r="V143" s="13"/>
      <c r="W143" s="13"/>
      <c r="X143" s="13"/>
      <c r="Y143" s="13"/>
      <c r="Z143" s="13"/>
      <c r="AA143" s="13"/>
      <c r="AB143" s="13"/>
      <c r="AC143" s="13"/>
      <c r="AD143" s="13">
        <f>Cost_4!L26/((1+$B$27)^AD$27)</f>
        <v>0</v>
      </c>
      <c r="AE143" s="5"/>
      <c r="AF143" s="5"/>
      <c r="AG143" s="5"/>
      <c r="AH143" s="5"/>
      <c r="AI143" s="5"/>
      <c r="AJ143" s="5"/>
      <c r="AK143" s="5"/>
      <c r="AL143"/>
      <c r="AM143"/>
      <c r="AN143" s="11"/>
      <c r="AO143"/>
    </row>
    <row r="144" spans="1:41" hidden="1" x14ac:dyDescent="0.25">
      <c r="B144" s="86" t="s">
        <v>88</v>
      </c>
      <c r="F144" s="14"/>
      <c r="G144" s="14"/>
      <c r="H144" s="125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5"/>
      <c r="AF144" s="5"/>
      <c r="AG144" s="5"/>
      <c r="AH144" s="5"/>
      <c r="AI144" s="5"/>
      <c r="AJ144" s="5"/>
      <c r="AK144" s="5"/>
      <c r="AL144"/>
      <c r="AM144"/>
      <c r="AN144" s="11"/>
      <c r="AO144"/>
    </row>
    <row r="145" spans="1:41" hidden="1" x14ac:dyDescent="0.25">
      <c r="B145" s="380" t="s">
        <v>86</v>
      </c>
      <c r="C145" s="152"/>
      <c r="D145" s="152"/>
      <c r="E145" s="152"/>
      <c r="F145" s="152"/>
      <c r="G145" s="152"/>
      <c r="H145" s="152"/>
      <c r="I145" s="345"/>
      <c r="J145" s="345"/>
      <c r="K145" s="345">
        <f>-Cost_4!$J$3*'Inputs Worksheet'!$N$41/((1+$B$27)^K27)</f>
        <v>0</v>
      </c>
      <c r="L145" s="345">
        <f>-Cost_4!$J$3*'Inputs Worksheet'!$N$41/((1+$B$27)^L27)</f>
        <v>0</v>
      </c>
      <c r="M145" s="345">
        <f>-Cost_4!$J$3*'Inputs Worksheet'!$N$41/((1+$B$27)^M27)</f>
        <v>0</v>
      </c>
      <c r="N145" s="345">
        <f>-Cost_4!$J$3*'Inputs Worksheet'!$N$41/((1+$B$27)^N27)</f>
        <v>0</v>
      </c>
      <c r="O145" s="345">
        <f>-Cost_4!$J$3*'Inputs Worksheet'!$N$41/((1+$B$27)^O27)</f>
        <v>0</v>
      </c>
      <c r="P145" s="345">
        <f>-Cost_4!$J$3*'Inputs Worksheet'!$N$41/((1+$B$27)^P27)</f>
        <v>0</v>
      </c>
      <c r="Q145" s="345">
        <f>-Cost_4!$J$3*'Inputs Worksheet'!$N$41/((1+$B$27)^Q27)</f>
        <v>0</v>
      </c>
      <c r="R145" s="345">
        <f>-Cost_4!$J$3*'Inputs Worksheet'!$N$41/((1+$B$27)^R27)</f>
        <v>0</v>
      </c>
      <c r="S145" s="345">
        <f>-Cost_4!$J$3*'Inputs Worksheet'!$N$41/((1+$B$27)^S27)</f>
        <v>0</v>
      </c>
      <c r="T145" s="345">
        <f>-Cost_4!$J$3*'Inputs Worksheet'!$N$41/((1+$B$27)^T27)</f>
        <v>0</v>
      </c>
      <c r="U145" s="345">
        <f>-Cost_4!$J$3*'Inputs Worksheet'!$N$41/((1+$B$27)^U27)</f>
        <v>0</v>
      </c>
      <c r="V145" s="345">
        <f>-Cost_4!$J$3*'Inputs Worksheet'!$N$41/((1+$B$27)^V27)</f>
        <v>0</v>
      </c>
      <c r="W145" s="345">
        <f>-Cost_4!$J$3*'Inputs Worksheet'!$N$41/((1+$B$27)^W27)</f>
        <v>0</v>
      </c>
      <c r="X145" s="345">
        <f>-Cost_4!$J$3*'Inputs Worksheet'!$N$41/((1+$B$27)^X27)</f>
        <v>0</v>
      </c>
      <c r="Y145" s="345">
        <f>-Cost_4!$J$3*'Inputs Worksheet'!$N$41/((1+$B$27)^Y27)</f>
        <v>0</v>
      </c>
      <c r="Z145" s="345">
        <f>-Cost_4!$J$3*'Inputs Worksheet'!$N$41/((1+$B$27)^Z27)</f>
        <v>0</v>
      </c>
      <c r="AA145" s="345">
        <f>-Cost_4!$J$3*'Inputs Worksheet'!$N$41/((1+$B$27)^AA27)</f>
        <v>0</v>
      </c>
      <c r="AB145" s="345">
        <f>-Cost_4!$J$3*'Inputs Worksheet'!$N$41/((1+$B$27)^AB27)</f>
        <v>0</v>
      </c>
      <c r="AC145" s="345">
        <f>-Cost_4!$J$3*'Inputs Worksheet'!$N$41/((1+$B$27)^AC27)</f>
        <v>0</v>
      </c>
      <c r="AD145" s="345">
        <f>-Cost_4!$J$3*'Inputs Worksheet'!$N$41/((1+$B$27)^AD27)</f>
        <v>0</v>
      </c>
      <c r="AE145" s="345"/>
    </row>
    <row r="146" spans="1:41" hidden="1" x14ac:dyDescent="0.25">
      <c r="B146" s="380" t="s">
        <v>167</v>
      </c>
      <c r="C146" s="152"/>
      <c r="D146" s="152"/>
      <c r="E146" s="152"/>
      <c r="F146" s="152"/>
      <c r="G146" s="152"/>
      <c r="H146" s="152"/>
      <c r="I146" s="125"/>
      <c r="J146" s="345"/>
      <c r="K146" s="345"/>
      <c r="L146" s="345"/>
      <c r="M146" s="345"/>
      <c r="N146" s="345"/>
      <c r="O146" s="345"/>
      <c r="P146" s="345"/>
      <c r="Q146" s="345"/>
      <c r="R146" s="345"/>
      <c r="S146" s="345"/>
      <c r="T146" s="345"/>
      <c r="U146" s="345"/>
      <c r="V146" s="345"/>
      <c r="W146" s="345"/>
      <c r="X146" s="345"/>
      <c r="Y146" s="345"/>
      <c r="Z146" s="345"/>
      <c r="AA146" s="345"/>
      <c r="AB146" s="345"/>
      <c r="AC146" s="345"/>
      <c r="AD146" s="345"/>
    </row>
    <row r="147" spans="1:41" hidden="1" x14ac:dyDescent="0.25">
      <c r="B147" s="9"/>
      <c r="C147" s="152"/>
      <c r="D147" s="152"/>
      <c r="E147" s="152"/>
      <c r="F147" s="152"/>
      <c r="G147" s="152"/>
      <c r="H147" s="152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</row>
    <row r="148" spans="1:41" hidden="1" x14ac:dyDescent="0.25">
      <c r="A148" s="81">
        <v>5</v>
      </c>
      <c r="B148" s="117" t="str">
        <f>B8</f>
        <v>Name #5</v>
      </c>
      <c r="C148" s="85"/>
      <c r="D148" s="85"/>
      <c r="E148" s="85"/>
      <c r="F148" s="84"/>
      <c r="G148" s="84"/>
      <c r="H148" s="125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</row>
    <row r="149" spans="1:41" hidden="1" x14ac:dyDescent="0.25">
      <c r="B149" s="86" t="s">
        <v>15</v>
      </c>
      <c r="C149" s="3"/>
      <c r="D149" s="3"/>
      <c r="E149" s="3"/>
      <c r="F149" s="85"/>
      <c r="G149" s="85"/>
      <c r="H149" s="14"/>
      <c r="I149" s="159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/>
      <c r="AM149"/>
      <c r="AN149"/>
      <c r="AO149"/>
    </row>
    <row r="150" spans="1:41" hidden="1" x14ac:dyDescent="0.25">
      <c r="B150" s="87" t="s">
        <v>102</v>
      </c>
      <c r="C150" s="1"/>
      <c r="D150" s="1"/>
      <c r="E150" s="1"/>
      <c r="F150" s="13"/>
      <c r="H150" s="13" t="e">
        <f>((-#REF!)/(LOOKUP(H$26,'Inputs Worksheet'!$P$67:$P$73,'Inputs Worksheet'!$Q$67:$Q$73)/100))/((1+$B$27)^H$27)</f>
        <v>#REF!</v>
      </c>
      <c r="I150" s="13" t="e">
        <f>((-#REF!)/(LOOKUP(I$26,'Inputs Worksheet'!$P$67:$P$73,'Inputs Worksheet'!$Q$67:$Q$73)/100))/((1+$B$27)^I$27)</f>
        <v>#REF!</v>
      </c>
      <c r="J150" s="13" t="e">
        <f>((-#REF!)/(LOOKUP(J$26,'Inputs Worksheet'!$P$67:$P$73,'Inputs Worksheet'!$Q$67:$Q$73)/100))/((1+$B$27)^J$27)</f>
        <v>#REF!</v>
      </c>
      <c r="K150" s="13"/>
      <c r="L150" s="13"/>
      <c r="M150" s="13"/>
      <c r="N150" s="13"/>
      <c r="O150" s="13"/>
      <c r="P150" s="13"/>
      <c r="Q150" s="13"/>
      <c r="R150" s="13"/>
      <c r="S150" s="13"/>
      <c r="T150" s="5"/>
      <c r="U150" s="5"/>
      <c r="V150" s="5"/>
      <c r="W150" s="5"/>
      <c r="X150" s="5"/>
      <c r="Y150" s="5"/>
      <c r="Z150" s="5"/>
      <c r="AA150" s="13" t="e">
        <f>-#REF!*#REF!/((1+$B$27)^AA$27)</f>
        <v>#REF!</v>
      </c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4"/>
      <c r="AM150" s="4"/>
      <c r="AN150" s="4"/>
      <c r="AO150" s="4"/>
    </row>
    <row r="151" spans="1:41" hidden="1" x14ac:dyDescent="0.25">
      <c r="B151" s="86" t="s">
        <v>16</v>
      </c>
      <c r="C151" s="1"/>
      <c r="D151" s="1"/>
      <c r="E151" s="1"/>
      <c r="F151" s="1"/>
      <c r="G151" s="85"/>
      <c r="H151" s="125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/>
      <c r="AM151"/>
      <c r="AN151"/>
      <c r="AO151"/>
    </row>
    <row r="152" spans="1:41" hidden="1" x14ac:dyDescent="0.25">
      <c r="B152" s="88" t="s">
        <v>68</v>
      </c>
      <c r="C152" s="1"/>
      <c r="D152" s="1"/>
      <c r="E152" s="1"/>
      <c r="F152" s="1"/>
      <c r="G152" s="85"/>
      <c r="H152" s="125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/>
      <c r="AM152"/>
      <c r="AN152"/>
      <c r="AO152"/>
    </row>
    <row r="153" spans="1:41" hidden="1" x14ac:dyDescent="0.25">
      <c r="B153" s="88" t="s">
        <v>129</v>
      </c>
      <c r="C153" s="14"/>
      <c r="D153" s="14"/>
      <c r="E153" s="14"/>
      <c r="F153" s="1"/>
      <c r="G153" s="85"/>
      <c r="H153" s="125"/>
      <c r="J153" s="13" t="e">
        <f>(#REF!-#REF!)*#REF!/((1+$B$27)^J$27)</f>
        <v>#REF!</v>
      </c>
      <c r="K153" s="13"/>
      <c r="L153" s="13"/>
      <c r="M153" s="13"/>
      <c r="N153" s="13"/>
      <c r="O153" s="125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5"/>
      <c r="AF153" s="5"/>
      <c r="AG153" s="5"/>
      <c r="AH153" s="5"/>
      <c r="AI153" s="5"/>
      <c r="AJ153" s="5"/>
      <c r="AK153" s="5"/>
      <c r="AL153"/>
      <c r="AM153"/>
      <c r="AN153"/>
      <c r="AO153"/>
    </row>
    <row r="154" spans="1:41" hidden="1" x14ac:dyDescent="0.25">
      <c r="B154" s="88" t="s">
        <v>1</v>
      </c>
      <c r="C154" s="12"/>
      <c r="D154" s="12"/>
      <c r="E154" s="12"/>
      <c r="F154" s="14"/>
      <c r="G154" s="14"/>
      <c r="H154" s="125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8"/>
      <c r="AM154" s="8"/>
      <c r="AN154" s="8"/>
      <c r="AO154" s="8"/>
    </row>
    <row r="155" spans="1:41" hidden="1" x14ac:dyDescent="0.25">
      <c r="B155" s="90" t="s">
        <v>77</v>
      </c>
      <c r="C155" s="12"/>
      <c r="D155" s="12"/>
      <c r="E155" s="12"/>
      <c r="F155" s="12"/>
      <c r="G155" s="12"/>
      <c r="H155" s="125"/>
      <c r="I155" s="13"/>
      <c r="J155" s="13"/>
      <c r="K155" s="13">
        <f t="shared" ref="K155:AD155" si="45">N8/((1+$B$27)^K$27)</f>
        <v>0</v>
      </c>
      <c r="L155" s="13" t="e">
        <f t="shared" si="45"/>
        <v>#DIV/0!</v>
      </c>
      <c r="M155" s="13" t="e">
        <f t="shared" si="45"/>
        <v>#DIV/0!</v>
      </c>
      <c r="N155" s="13" t="e">
        <f t="shared" si="45"/>
        <v>#DIV/0!</v>
      </c>
      <c r="O155" s="13" t="e">
        <f t="shared" si="45"/>
        <v>#DIV/0!</v>
      </c>
      <c r="P155" s="13" t="e">
        <f t="shared" si="45"/>
        <v>#DIV/0!</v>
      </c>
      <c r="Q155" s="13" t="e">
        <f t="shared" si="45"/>
        <v>#DIV/0!</v>
      </c>
      <c r="R155" s="13" t="e">
        <f t="shared" si="45"/>
        <v>#DIV/0!</v>
      </c>
      <c r="S155" s="13" t="e">
        <f t="shared" si="45"/>
        <v>#DIV/0!</v>
      </c>
      <c r="T155" s="13" t="e">
        <f t="shared" si="45"/>
        <v>#DIV/0!</v>
      </c>
      <c r="U155" s="13" t="e">
        <f t="shared" si="45"/>
        <v>#DIV/0!</v>
      </c>
      <c r="V155" s="13" t="e">
        <f t="shared" si="45"/>
        <v>#DIV/0!</v>
      </c>
      <c r="W155" s="13" t="e">
        <f t="shared" si="45"/>
        <v>#DIV/0!</v>
      </c>
      <c r="X155" s="13" t="e">
        <f t="shared" si="45"/>
        <v>#DIV/0!</v>
      </c>
      <c r="Y155" s="13" t="e">
        <f t="shared" si="45"/>
        <v>#DIV/0!</v>
      </c>
      <c r="Z155" s="13" t="e">
        <f t="shared" si="45"/>
        <v>#DIV/0!</v>
      </c>
      <c r="AA155" s="13" t="e">
        <f t="shared" si="45"/>
        <v>#DIV/0!</v>
      </c>
      <c r="AB155" s="13" t="e">
        <f t="shared" si="45"/>
        <v>#DIV/0!</v>
      </c>
      <c r="AC155" s="13" t="e">
        <f t="shared" si="45"/>
        <v>#DIV/0!</v>
      </c>
      <c r="AD155" s="13" t="e">
        <f t="shared" si="45"/>
        <v>#DIV/0!</v>
      </c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8"/>
    </row>
    <row r="156" spans="1:41" hidden="1" x14ac:dyDescent="0.25">
      <c r="B156" s="90" t="s">
        <v>78</v>
      </c>
      <c r="C156" s="12"/>
      <c r="D156" s="12"/>
      <c r="E156" s="12"/>
      <c r="F156" s="12"/>
      <c r="G156" s="12"/>
      <c r="H156" s="125"/>
      <c r="I156" s="13"/>
      <c r="J156" s="13"/>
      <c r="K156" s="13">
        <f t="shared" ref="K156:AD156" si="46">N16/((1+$B$27)^K$27)</f>
        <v>0</v>
      </c>
      <c r="L156" s="13">
        <f t="shared" si="46"/>
        <v>0</v>
      </c>
      <c r="M156" s="13">
        <f t="shared" si="46"/>
        <v>0</v>
      </c>
      <c r="N156" s="13">
        <f t="shared" si="46"/>
        <v>0</v>
      </c>
      <c r="O156" s="13">
        <f t="shared" si="46"/>
        <v>0</v>
      </c>
      <c r="P156" s="13">
        <f t="shared" si="46"/>
        <v>0</v>
      </c>
      <c r="Q156" s="13">
        <f t="shared" si="46"/>
        <v>0</v>
      </c>
      <c r="R156" s="13">
        <f t="shared" si="46"/>
        <v>0</v>
      </c>
      <c r="S156" s="13">
        <f t="shared" si="46"/>
        <v>0</v>
      </c>
      <c r="T156" s="13">
        <f t="shared" si="46"/>
        <v>0</v>
      </c>
      <c r="U156" s="13">
        <f t="shared" si="46"/>
        <v>0</v>
      </c>
      <c r="V156" s="13">
        <f t="shared" si="46"/>
        <v>0</v>
      </c>
      <c r="W156" s="13">
        <f t="shared" si="46"/>
        <v>0</v>
      </c>
      <c r="X156" s="13">
        <f t="shared" si="46"/>
        <v>0</v>
      </c>
      <c r="Y156" s="13">
        <f t="shared" si="46"/>
        <v>0</v>
      </c>
      <c r="Z156" s="13">
        <f t="shared" si="46"/>
        <v>0</v>
      </c>
      <c r="AA156" s="13">
        <f t="shared" si="46"/>
        <v>0</v>
      </c>
      <c r="AB156" s="13">
        <f t="shared" si="46"/>
        <v>0</v>
      </c>
      <c r="AC156" s="13">
        <f t="shared" si="46"/>
        <v>0</v>
      </c>
      <c r="AD156" s="13">
        <f t="shared" si="46"/>
        <v>0</v>
      </c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8"/>
    </row>
    <row r="157" spans="1:41" hidden="1" x14ac:dyDescent="0.25">
      <c r="B157" s="89" t="s">
        <v>69</v>
      </c>
      <c r="C157" s="14"/>
      <c r="D157" s="14"/>
      <c r="E157" s="14"/>
      <c r="F157" s="12"/>
      <c r="G157" s="12"/>
      <c r="H157" s="125"/>
      <c r="I157" s="13"/>
      <c r="J157" s="13"/>
      <c r="K157" s="13">
        <f>((K155*$D$8)+(K156*$C$8))</f>
        <v>0</v>
      </c>
      <c r="L157" s="13" t="e">
        <f t="shared" ref="L157:AD157" si="47">((L155*$D$8)+(L156*$C$8))</f>
        <v>#DIV/0!</v>
      </c>
      <c r="M157" s="13" t="e">
        <f t="shared" si="47"/>
        <v>#DIV/0!</v>
      </c>
      <c r="N157" s="13" t="e">
        <f t="shared" si="47"/>
        <v>#DIV/0!</v>
      </c>
      <c r="O157" s="13" t="e">
        <f t="shared" si="47"/>
        <v>#DIV/0!</v>
      </c>
      <c r="P157" s="13" t="e">
        <f t="shared" si="47"/>
        <v>#DIV/0!</v>
      </c>
      <c r="Q157" s="13" t="e">
        <f t="shared" si="47"/>
        <v>#DIV/0!</v>
      </c>
      <c r="R157" s="13" t="e">
        <f t="shared" si="47"/>
        <v>#DIV/0!</v>
      </c>
      <c r="S157" s="13" t="e">
        <f t="shared" si="47"/>
        <v>#DIV/0!</v>
      </c>
      <c r="T157" s="13" t="e">
        <f t="shared" si="47"/>
        <v>#DIV/0!</v>
      </c>
      <c r="U157" s="13" t="e">
        <f t="shared" si="47"/>
        <v>#DIV/0!</v>
      </c>
      <c r="V157" s="13" t="e">
        <f t="shared" si="47"/>
        <v>#DIV/0!</v>
      </c>
      <c r="W157" s="13" t="e">
        <f t="shared" si="47"/>
        <v>#DIV/0!</v>
      </c>
      <c r="X157" s="13" t="e">
        <f t="shared" si="47"/>
        <v>#DIV/0!</v>
      </c>
      <c r="Y157" s="13" t="e">
        <f t="shared" si="47"/>
        <v>#DIV/0!</v>
      </c>
      <c r="Z157" s="13" t="e">
        <f t="shared" si="47"/>
        <v>#DIV/0!</v>
      </c>
      <c r="AA157" s="13" t="e">
        <f t="shared" si="47"/>
        <v>#DIV/0!</v>
      </c>
      <c r="AB157" s="13" t="e">
        <f t="shared" si="47"/>
        <v>#DIV/0!</v>
      </c>
      <c r="AC157" s="13" t="e">
        <f t="shared" si="47"/>
        <v>#DIV/0!</v>
      </c>
      <c r="AD157" s="13" t="e">
        <f t="shared" si="47"/>
        <v>#DIV/0!</v>
      </c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8"/>
    </row>
    <row r="158" spans="1:41" hidden="1" x14ac:dyDescent="0.25">
      <c r="B158" s="337" t="s">
        <v>161</v>
      </c>
      <c r="C158" s="14"/>
      <c r="D158" s="14"/>
      <c r="E158" s="14"/>
      <c r="F158" s="12"/>
      <c r="G158" s="12"/>
      <c r="H158" s="125"/>
      <c r="I158" s="13"/>
      <c r="J158" s="13"/>
      <c r="K158" s="344" t="e">
        <f>'Inputs Worksheet'!$D11*'Inputs Worksheet'!$E11*365*'Inputs Worksheet'!$D$58*'Inputs Worksheet'!$I24^('Inputs Worksheet'!$A$29-'Inputs Worksheet'!$A$3)/((1+$B$27)^K$27)</f>
        <v>#NUM!</v>
      </c>
      <c r="L158" s="344" t="e">
        <f t="shared" ref="L158:AD158" si="48">K158*$AI$158/(1+$B$27)</f>
        <v>#NUM!</v>
      </c>
      <c r="M158" s="344" t="e">
        <f t="shared" si="48"/>
        <v>#NUM!</v>
      </c>
      <c r="N158" s="344" t="e">
        <f t="shared" si="48"/>
        <v>#NUM!</v>
      </c>
      <c r="O158" s="344" t="e">
        <f t="shared" si="48"/>
        <v>#NUM!</v>
      </c>
      <c r="P158" s="344" t="e">
        <f t="shared" si="48"/>
        <v>#NUM!</v>
      </c>
      <c r="Q158" s="344" t="e">
        <f t="shared" si="48"/>
        <v>#NUM!</v>
      </c>
      <c r="R158" s="344" t="e">
        <f t="shared" si="48"/>
        <v>#NUM!</v>
      </c>
      <c r="S158" s="344" t="e">
        <f t="shared" si="48"/>
        <v>#NUM!</v>
      </c>
      <c r="T158" s="344" t="e">
        <f t="shared" si="48"/>
        <v>#NUM!</v>
      </c>
      <c r="U158" s="344" t="e">
        <f t="shared" si="48"/>
        <v>#NUM!</v>
      </c>
      <c r="V158" s="344" t="e">
        <f t="shared" si="48"/>
        <v>#NUM!</v>
      </c>
      <c r="W158" s="344" t="e">
        <f t="shared" si="48"/>
        <v>#NUM!</v>
      </c>
      <c r="X158" s="344" t="e">
        <f t="shared" si="48"/>
        <v>#NUM!</v>
      </c>
      <c r="Y158" s="344" t="e">
        <f t="shared" si="48"/>
        <v>#NUM!</v>
      </c>
      <c r="Z158" s="344" t="e">
        <f t="shared" si="48"/>
        <v>#NUM!</v>
      </c>
      <c r="AA158" s="344" t="e">
        <f t="shared" si="48"/>
        <v>#NUM!</v>
      </c>
      <c r="AB158" s="344" t="e">
        <f t="shared" si="48"/>
        <v>#NUM!</v>
      </c>
      <c r="AC158" s="344" t="e">
        <f t="shared" si="48"/>
        <v>#NUM!</v>
      </c>
      <c r="AD158" s="344" t="e">
        <f t="shared" si="48"/>
        <v>#NUM!</v>
      </c>
      <c r="AE158" s="13"/>
      <c r="AG158" s="342" t="s">
        <v>121</v>
      </c>
      <c r="AH158" s="13"/>
      <c r="AI158" s="407">
        <f>'Inputs Worksheet'!I24</f>
        <v>0</v>
      </c>
      <c r="AJ158" s="13"/>
      <c r="AK158" s="13"/>
      <c r="AL158" s="13"/>
      <c r="AM158" s="13"/>
      <c r="AN158" s="13"/>
      <c r="AO158" s="8"/>
    </row>
    <row r="159" spans="1:41" hidden="1" x14ac:dyDescent="0.25">
      <c r="B159" s="88" t="s">
        <v>135</v>
      </c>
      <c r="C159" s="14"/>
      <c r="D159" s="14"/>
      <c r="E159" s="14"/>
      <c r="F159" s="12"/>
      <c r="G159" s="12"/>
      <c r="H159" s="125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8"/>
    </row>
    <row r="160" spans="1:41" hidden="1" x14ac:dyDescent="0.25">
      <c r="B160" s="194" t="s">
        <v>132</v>
      </c>
      <c r="C160" s="14"/>
      <c r="D160" s="14"/>
      <c r="E160" s="14"/>
      <c r="F160" s="12"/>
      <c r="G160" s="12"/>
      <c r="H160" s="125"/>
      <c r="I160" s="13"/>
      <c r="J160" s="13"/>
      <c r="K160" s="13">
        <f t="shared" ref="K160:AD160" si="49">N24/((1+$B$27)^K$27)</f>
        <v>0</v>
      </c>
      <c r="L160" s="13" t="e">
        <f t="shared" si="49"/>
        <v>#DIV/0!</v>
      </c>
      <c r="M160" s="13" t="e">
        <f t="shared" si="49"/>
        <v>#DIV/0!</v>
      </c>
      <c r="N160" s="13" t="e">
        <f t="shared" si="49"/>
        <v>#DIV/0!</v>
      </c>
      <c r="O160" s="13" t="e">
        <f t="shared" si="49"/>
        <v>#DIV/0!</v>
      </c>
      <c r="P160" s="13" t="e">
        <f t="shared" si="49"/>
        <v>#DIV/0!</v>
      </c>
      <c r="Q160" s="13" t="e">
        <f t="shared" si="49"/>
        <v>#DIV/0!</v>
      </c>
      <c r="R160" s="13" t="e">
        <f t="shared" si="49"/>
        <v>#DIV/0!</v>
      </c>
      <c r="S160" s="13" t="e">
        <f t="shared" si="49"/>
        <v>#DIV/0!</v>
      </c>
      <c r="T160" s="13" t="e">
        <f t="shared" si="49"/>
        <v>#DIV/0!</v>
      </c>
      <c r="U160" s="13" t="e">
        <f t="shared" si="49"/>
        <v>#DIV/0!</v>
      </c>
      <c r="V160" s="13" t="e">
        <f t="shared" si="49"/>
        <v>#DIV/0!</v>
      </c>
      <c r="W160" s="13" t="e">
        <f t="shared" si="49"/>
        <v>#DIV/0!</v>
      </c>
      <c r="X160" s="13" t="e">
        <f t="shared" si="49"/>
        <v>#DIV/0!</v>
      </c>
      <c r="Y160" s="13" t="e">
        <f t="shared" si="49"/>
        <v>#DIV/0!</v>
      </c>
      <c r="Z160" s="13" t="e">
        <f t="shared" si="49"/>
        <v>#DIV/0!</v>
      </c>
      <c r="AA160" s="13" t="e">
        <f t="shared" si="49"/>
        <v>#DIV/0!</v>
      </c>
      <c r="AB160" s="13" t="e">
        <f t="shared" si="49"/>
        <v>#DIV/0!</v>
      </c>
      <c r="AC160" s="13" t="e">
        <f t="shared" si="49"/>
        <v>#DIV/0!</v>
      </c>
      <c r="AD160" s="13" t="e">
        <f t="shared" si="49"/>
        <v>#DIV/0!</v>
      </c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8"/>
    </row>
    <row r="161" spans="1:41" hidden="1" x14ac:dyDescent="0.25">
      <c r="B161" s="346" t="s">
        <v>133</v>
      </c>
      <c r="C161" s="14"/>
      <c r="D161" s="14"/>
      <c r="E161" s="14"/>
      <c r="F161" s="12"/>
      <c r="G161" s="12"/>
      <c r="H161" s="125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8"/>
    </row>
    <row r="162" spans="1:41" hidden="1" x14ac:dyDescent="0.25">
      <c r="B162" s="337" t="s">
        <v>134</v>
      </c>
      <c r="C162" s="14"/>
      <c r="D162" s="14"/>
      <c r="E162" s="14"/>
      <c r="F162" s="12"/>
      <c r="G162" s="12"/>
      <c r="H162" s="125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8"/>
    </row>
    <row r="163" spans="1:41" hidden="1" x14ac:dyDescent="0.25">
      <c r="B163" s="88" t="s">
        <v>2</v>
      </c>
      <c r="C163" s="9"/>
      <c r="D163" s="9"/>
      <c r="E163" s="9"/>
      <c r="F163" s="14"/>
      <c r="G163" s="14"/>
      <c r="H163" s="125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8"/>
      <c r="AM163" s="8"/>
      <c r="AN163" s="8"/>
      <c r="AO163" s="8"/>
    </row>
    <row r="164" spans="1:41" hidden="1" x14ac:dyDescent="0.25">
      <c r="B164" s="153" t="s">
        <v>168</v>
      </c>
      <c r="C164" s="9"/>
      <c r="D164" s="9"/>
      <c r="E164" s="9"/>
      <c r="F164" s="9"/>
      <c r="G164" s="9"/>
      <c r="H164" s="125"/>
      <c r="I164" s="13"/>
      <c r="J164" s="13"/>
      <c r="K164" s="13">
        <f t="shared" ref="K164:AD164" si="50">(CE8+CE16)/((1+$B$27)^K$27)</f>
        <v>0</v>
      </c>
      <c r="L164" s="13" t="e">
        <f t="shared" si="50"/>
        <v>#DIV/0!</v>
      </c>
      <c r="M164" s="13" t="e">
        <f t="shared" si="50"/>
        <v>#DIV/0!</v>
      </c>
      <c r="N164" s="13" t="e">
        <f t="shared" si="50"/>
        <v>#DIV/0!</v>
      </c>
      <c r="O164" s="13" t="e">
        <f t="shared" si="50"/>
        <v>#DIV/0!</v>
      </c>
      <c r="P164" s="13" t="e">
        <f t="shared" si="50"/>
        <v>#DIV/0!</v>
      </c>
      <c r="Q164" s="13" t="e">
        <f t="shared" si="50"/>
        <v>#DIV/0!</v>
      </c>
      <c r="R164" s="13" t="e">
        <f t="shared" si="50"/>
        <v>#DIV/0!</v>
      </c>
      <c r="S164" s="13" t="e">
        <f t="shared" si="50"/>
        <v>#DIV/0!</v>
      </c>
      <c r="T164" s="13" t="e">
        <f t="shared" si="50"/>
        <v>#DIV/0!</v>
      </c>
      <c r="U164" s="13" t="e">
        <f t="shared" si="50"/>
        <v>#DIV/0!</v>
      </c>
      <c r="V164" s="13" t="e">
        <f t="shared" si="50"/>
        <v>#DIV/0!</v>
      </c>
      <c r="W164" s="13" t="e">
        <f t="shared" si="50"/>
        <v>#DIV/0!</v>
      </c>
      <c r="X164" s="13" t="e">
        <f t="shared" si="50"/>
        <v>#DIV/0!</v>
      </c>
      <c r="Y164" s="13" t="e">
        <f t="shared" si="50"/>
        <v>#DIV/0!</v>
      </c>
      <c r="Z164" s="13" t="e">
        <f t="shared" si="50"/>
        <v>#DIV/0!</v>
      </c>
      <c r="AA164" s="13" t="e">
        <f t="shared" si="50"/>
        <v>#DIV/0!</v>
      </c>
      <c r="AB164" s="13" t="e">
        <f t="shared" si="50"/>
        <v>#DIV/0!</v>
      </c>
      <c r="AC164" s="13" t="e">
        <f t="shared" si="50"/>
        <v>#DIV/0!</v>
      </c>
      <c r="AD164" s="13" t="e">
        <f t="shared" si="50"/>
        <v>#DIV/0!</v>
      </c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8"/>
    </row>
    <row r="165" spans="1:41" hidden="1" x14ac:dyDescent="0.25">
      <c r="B165" s="153" t="s">
        <v>163</v>
      </c>
      <c r="C165" s="16"/>
      <c r="D165" s="16"/>
      <c r="E165" s="16"/>
      <c r="F165" s="9"/>
      <c r="G165" s="9"/>
      <c r="H165" s="125"/>
      <c r="I165" s="13"/>
      <c r="J165" s="13"/>
      <c r="K165" s="13" t="e">
        <f t="shared" ref="K165:AD165" si="51">(BH8+BH16)/((1+$B$27)^K$27)</f>
        <v>#REF!</v>
      </c>
      <c r="L165" s="13" t="e">
        <f t="shared" si="51"/>
        <v>#REF!</v>
      </c>
      <c r="M165" s="13" t="e">
        <f t="shared" si="51"/>
        <v>#REF!</v>
      </c>
      <c r="N165" s="13" t="e">
        <f t="shared" si="51"/>
        <v>#REF!</v>
      </c>
      <c r="O165" s="13" t="e">
        <f t="shared" si="51"/>
        <v>#REF!</v>
      </c>
      <c r="P165" s="13" t="e">
        <f t="shared" si="51"/>
        <v>#REF!</v>
      </c>
      <c r="Q165" s="13" t="e">
        <f t="shared" si="51"/>
        <v>#REF!</v>
      </c>
      <c r="R165" s="13" t="e">
        <f t="shared" si="51"/>
        <v>#REF!</v>
      </c>
      <c r="S165" s="13" t="e">
        <f t="shared" si="51"/>
        <v>#REF!</v>
      </c>
      <c r="T165" s="13" t="e">
        <f t="shared" si="51"/>
        <v>#REF!</v>
      </c>
      <c r="U165" s="13" t="e">
        <f t="shared" si="51"/>
        <v>#REF!</v>
      </c>
      <c r="V165" s="13" t="e">
        <f t="shared" si="51"/>
        <v>#REF!</v>
      </c>
      <c r="W165" s="13" t="e">
        <f t="shared" si="51"/>
        <v>#REF!</v>
      </c>
      <c r="X165" s="13" t="e">
        <f t="shared" si="51"/>
        <v>#REF!</v>
      </c>
      <c r="Y165" s="13" t="e">
        <f t="shared" si="51"/>
        <v>#REF!</v>
      </c>
      <c r="Z165" s="13" t="e">
        <f t="shared" si="51"/>
        <v>#REF!</v>
      </c>
      <c r="AA165" s="13" t="e">
        <f t="shared" si="51"/>
        <v>#REF!</v>
      </c>
      <c r="AB165" s="13" t="e">
        <f t="shared" si="51"/>
        <v>#REF!</v>
      </c>
      <c r="AC165" s="13" t="e">
        <f t="shared" si="51"/>
        <v>#REF!</v>
      </c>
      <c r="AD165" s="13" t="e">
        <f t="shared" si="51"/>
        <v>#REF!</v>
      </c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8"/>
    </row>
    <row r="166" spans="1:41" hidden="1" x14ac:dyDescent="0.25">
      <c r="B166" s="153" t="s">
        <v>164</v>
      </c>
      <c r="C166" s="16"/>
      <c r="D166" s="16"/>
      <c r="E166" s="16"/>
      <c r="F166" s="9"/>
      <c r="G166" s="9"/>
      <c r="H166" s="125"/>
      <c r="I166" s="13"/>
      <c r="J166" s="13"/>
      <c r="K166" s="13">
        <f>('Inputs Worksheet'!DE59+'Inputs Worksheet'!DE69)/((1+'7% Discounting'!$B$27)^'7% Discounting'!K$27)</f>
        <v>0</v>
      </c>
      <c r="L166" s="13" t="e">
        <f>('Inputs Worksheet'!DF59+'Inputs Worksheet'!DF69)/((1+'7% Discounting'!$B$27)^'7% Discounting'!L$27)</f>
        <v>#DIV/0!</v>
      </c>
      <c r="M166" s="13" t="e">
        <f>('Inputs Worksheet'!DG59+'Inputs Worksheet'!DG69)/((1+'7% Discounting'!$B$27)^'7% Discounting'!M$27)</f>
        <v>#DIV/0!</v>
      </c>
      <c r="N166" s="13" t="e">
        <f>('Inputs Worksheet'!DH59+'Inputs Worksheet'!DH69)/((1+'7% Discounting'!$B$27)^'7% Discounting'!N$27)</f>
        <v>#DIV/0!</v>
      </c>
      <c r="O166" s="13" t="e">
        <f>('Inputs Worksheet'!DI59+'Inputs Worksheet'!DI69)/((1+'7% Discounting'!$B$27)^'7% Discounting'!O$27)</f>
        <v>#DIV/0!</v>
      </c>
      <c r="P166" s="13" t="e">
        <f>('Inputs Worksheet'!DJ59+'Inputs Worksheet'!DJ69)/((1+'7% Discounting'!$B$27)^'7% Discounting'!P$27)</f>
        <v>#DIV/0!</v>
      </c>
      <c r="Q166" s="13" t="e">
        <f>('Inputs Worksheet'!DK59+'Inputs Worksheet'!DK69)/((1+'7% Discounting'!$B$27)^'7% Discounting'!Q$27)</f>
        <v>#DIV/0!</v>
      </c>
      <c r="R166" s="13" t="e">
        <f>('Inputs Worksheet'!DL59+'Inputs Worksheet'!DL69)/((1+'7% Discounting'!$B$27)^'7% Discounting'!R$27)</f>
        <v>#DIV/0!</v>
      </c>
      <c r="S166" s="13" t="e">
        <f>('Inputs Worksheet'!DM59+'Inputs Worksheet'!DM69)/((1+'7% Discounting'!$B$27)^'7% Discounting'!S$27)</f>
        <v>#DIV/0!</v>
      </c>
      <c r="T166" s="13" t="e">
        <f>('Inputs Worksheet'!DN59+'Inputs Worksheet'!DN69)/((1+'7% Discounting'!$B$27)^'7% Discounting'!T$27)</f>
        <v>#DIV/0!</v>
      </c>
      <c r="U166" s="13" t="e">
        <f>('Inputs Worksheet'!DO59+'Inputs Worksheet'!DO69)/((1+'7% Discounting'!$B$27)^'7% Discounting'!U$27)</f>
        <v>#DIV/0!</v>
      </c>
      <c r="V166" s="13" t="e">
        <f>('Inputs Worksheet'!DP59+'Inputs Worksheet'!DP69)/((1+'7% Discounting'!$B$27)^'7% Discounting'!V$27)</f>
        <v>#DIV/0!</v>
      </c>
      <c r="W166" s="13" t="e">
        <f>('Inputs Worksheet'!DQ59+'Inputs Worksheet'!DQ69)/((1+'7% Discounting'!$B$27)^'7% Discounting'!W$27)</f>
        <v>#DIV/0!</v>
      </c>
      <c r="X166" s="13" t="e">
        <f>('Inputs Worksheet'!DR59+'Inputs Worksheet'!DR69)/((1+'7% Discounting'!$B$27)^'7% Discounting'!X$27)</f>
        <v>#DIV/0!</v>
      </c>
      <c r="Y166" s="13" t="e">
        <f>('Inputs Worksheet'!DS59+'Inputs Worksheet'!DS69)/((1+'7% Discounting'!$B$27)^'7% Discounting'!Y$27)</f>
        <v>#DIV/0!</v>
      </c>
      <c r="Z166" s="13" t="e">
        <f>('Inputs Worksheet'!DT59+'Inputs Worksheet'!DT69)/((1+'7% Discounting'!$B$27)^'7% Discounting'!Z$27)</f>
        <v>#DIV/0!</v>
      </c>
      <c r="AA166" s="13" t="e">
        <f>('Inputs Worksheet'!DU59+'Inputs Worksheet'!DU69)/((1+'7% Discounting'!$B$27)^'7% Discounting'!AA$27)</f>
        <v>#DIV/0!</v>
      </c>
      <c r="AB166" s="13" t="e">
        <f>('Inputs Worksheet'!DV59+'Inputs Worksheet'!DV69)/((1+'7% Discounting'!$B$27)^'7% Discounting'!AB$27)</f>
        <v>#DIV/0!</v>
      </c>
      <c r="AC166" s="13" t="e">
        <f>('Inputs Worksheet'!DW59+'Inputs Worksheet'!DW69)/((1+'7% Discounting'!$B$27)^'7% Discounting'!AC$27)</f>
        <v>#DIV/0!</v>
      </c>
      <c r="AD166" s="13" t="e">
        <f>('Inputs Worksheet'!DX59+'Inputs Worksheet'!DX69)/((1+'7% Discounting'!$B$27)^'7% Discounting'!AD$27)</f>
        <v>#DIV/0!</v>
      </c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8"/>
    </row>
    <row r="167" spans="1:41" hidden="1" x14ac:dyDescent="0.25">
      <c r="B167" s="153" t="s">
        <v>165</v>
      </c>
      <c r="C167" s="16"/>
      <c r="D167" s="16"/>
      <c r="E167" s="16"/>
      <c r="F167" s="9"/>
      <c r="G167" s="9"/>
      <c r="H167" s="125"/>
      <c r="I167" s="13"/>
      <c r="J167" s="13"/>
      <c r="K167" s="13">
        <f>('Inputs Worksheet'!CH59+'Inputs Worksheet'!CH69)/((1+'7% Discounting'!$B$27)^'7% Discounting'!K$27)</f>
        <v>0</v>
      </c>
      <c r="L167" s="13" t="e">
        <f>('Inputs Worksheet'!CI59+'Inputs Worksheet'!CI69)/((1+'7% Discounting'!$B$27)^'7% Discounting'!L$27)</f>
        <v>#DIV/0!</v>
      </c>
      <c r="M167" s="13" t="e">
        <f>('Inputs Worksheet'!CJ59+'Inputs Worksheet'!CJ69)/((1+'7% Discounting'!$B$27)^'7% Discounting'!M$27)</f>
        <v>#DIV/0!</v>
      </c>
      <c r="N167" s="13" t="e">
        <f>('Inputs Worksheet'!CK59+'Inputs Worksheet'!CK69)/((1+'7% Discounting'!$B$27)^'7% Discounting'!N$27)</f>
        <v>#DIV/0!</v>
      </c>
      <c r="O167" s="13" t="e">
        <f>('Inputs Worksheet'!CL59+'Inputs Worksheet'!CL69)/((1+'7% Discounting'!$B$27)^'7% Discounting'!O$27)</f>
        <v>#DIV/0!</v>
      </c>
      <c r="P167" s="13" t="e">
        <f>('Inputs Worksheet'!CM59+'Inputs Worksheet'!CM69)/((1+'7% Discounting'!$B$27)^'7% Discounting'!P$27)</f>
        <v>#DIV/0!</v>
      </c>
      <c r="Q167" s="13" t="e">
        <f>('Inputs Worksheet'!CN59+'Inputs Worksheet'!CN69)/((1+'7% Discounting'!$B$27)^'7% Discounting'!Q$27)</f>
        <v>#DIV/0!</v>
      </c>
      <c r="R167" s="13" t="e">
        <f>('Inputs Worksheet'!CO59+'Inputs Worksheet'!CO69)/((1+'7% Discounting'!$B$27)^'7% Discounting'!R$27)</f>
        <v>#DIV/0!</v>
      </c>
      <c r="S167" s="13" t="e">
        <f>('Inputs Worksheet'!CP59+'Inputs Worksheet'!CP69)/((1+'7% Discounting'!$B$27)^'7% Discounting'!S$27)</f>
        <v>#DIV/0!</v>
      </c>
      <c r="T167" s="13" t="e">
        <f>('Inputs Worksheet'!CQ59+'Inputs Worksheet'!CQ69)/((1+'7% Discounting'!$B$27)^'7% Discounting'!T$27)</f>
        <v>#DIV/0!</v>
      </c>
      <c r="U167" s="13" t="e">
        <f>('Inputs Worksheet'!CR59+'Inputs Worksheet'!CR69)/((1+'7% Discounting'!$B$27)^'7% Discounting'!U$27)</f>
        <v>#DIV/0!</v>
      </c>
      <c r="V167" s="13" t="e">
        <f>('Inputs Worksheet'!CS59+'Inputs Worksheet'!CS69)/((1+'7% Discounting'!$B$27)^'7% Discounting'!V$27)</f>
        <v>#DIV/0!</v>
      </c>
      <c r="W167" s="13" t="e">
        <f>('Inputs Worksheet'!CT59+'Inputs Worksheet'!CT69)/((1+'7% Discounting'!$B$27)^'7% Discounting'!W$27)</f>
        <v>#DIV/0!</v>
      </c>
      <c r="X167" s="13" t="e">
        <f>('Inputs Worksheet'!CU59+'Inputs Worksheet'!CU69)/((1+'7% Discounting'!$B$27)^'7% Discounting'!X$27)</f>
        <v>#DIV/0!</v>
      </c>
      <c r="Y167" s="13" t="e">
        <f>('Inputs Worksheet'!CV59+'Inputs Worksheet'!CV69)/((1+'7% Discounting'!$B$27)^'7% Discounting'!Y$27)</f>
        <v>#DIV/0!</v>
      </c>
      <c r="Z167" s="13" t="e">
        <f>('Inputs Worksheet'!CW59+'Inputs Worksheet'!CW69)/((1+'7% Discounting'!$B$27)^'7% Discounting'!Z$27)</f>
        <v>#DIV/0!</v>
      </c>
      <c r="AA167" s="13" t="e">
        <f>('Inputs Worksheet'!CX59+'Inputs Worksheet'!CX69)/((1+'7% Discounting'!$B$27)^'7% Discounting'!AA$27)</f>
        <v>#DIV/0!</v>
      </c>
      <c r="AB167" s="13" t="e">
        <f>('Inputs Worksheet'!CY59+'Inputs Worksheet'!CY69)/((1+'7% Discounting'!$B$27)^'7% Discounting'!AB$27)</f>
        <v>#DIV/0!</v>
      </c>
      <c r="AC167" s="13" t="e">
        <f>('Inputs Worksheet'!CZ59+'Inputs Worksheet'!CZ69)/((1+'7% Discounting'!$B$27)^'7% Discounting'!AC$27)</f>
        <v>#DIV/0!</v>
      </c>
      <c r="AD167" s="13" t="e">
        <f>('Inputs Worksheet'!DA59+'Inputs Worksheet'!DA69)/((1+'7% Discounting'!$B$27)^'7% Discounting'!AD$27)</f>
        <v>#DIV/0!</v>
      </c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8"/>
    </row>
    <row r="168" spans="1:41" s="125" customFormat="1" hidden="1" x14ac:dyDescent="0.25">
      <c r="A168" s="123"/>
      <c r="B168" s="153" t="s">
        <v>166</v>
      </c>
      <c r="C168" s="2"/>
      <c r="D168" s="2"/>
      <c r="E168" s="2"/>
      <c r="F168" s="124"/>
      <c r="G168" s="124"/>
      <c r="I168" s="13"/>
      <c r="J168" s="13"/>
      <c r="K168" s="13">
        <f t="shared" ref="K168:AD168" si="52">(AK8+AK16)/((1+$B$27)^K$27)</f>
        <v>0</v>
      </c>
      <c r="L168" s="13" t="e">
        <f t="shared" si="52"/>
        <v>#DIV/0!</v>
      </c>
      <c r="M168" s="13" t="e">
        <f t="shared" si="52"/>
        <v>#DIV/0!</v>
      </c>
      <c r="N168" s="13" t="e">
        <f t="shared" si="52"/>
        <v>#DIV/0!</v>
      </c>
      <c r="O168" s="13" t="e">
        <f t="shared" si="52"/>
        <v>#DIV/0!</v>
      </c>
      <c r="P168" s="13" t="e">
        <f t="shared" si="52"/>
        <v>#DIV/0!</v>
      </c>
      <c r="Q168" s="13" t="e">
        <f t="shared" si="52"/>
        <v>#DIV/0!</v>
      </c>
      <c r="R168" s="13" t="e">
        <f t="shared" si="52"/>
        <v>#DIV/0!</v>
      </c>
      <c r="S168" s="13" t="e">
        <f t="shared" si="52"/>
        <v>#DIV/0!</v>
      </c>
      <c r="T168" s="13" t="e">
        <f t="shared" si="52"/>
        <v>#DIV/0!</v>
      </c>
      <c r="U168" s="13" t="e">
        <f t="shared" si="52"/>
        <v>#DIV/0!</v>
      </c>
      <c r="V168" s="13" t="e">
        <f t="shared" si="52"/>
        <v>#DIV/0!</v>
      </c>
      <c r="W168" s="13" t="e">
        <f t="shared" si="52"/>
        <v>#DIV/0!</v>
      </c>
      <c r="X168" s="13" t="e">
        <f t="shared" si="52"/>
        <v>#DIV/0!</v>
      </c>
      <c r="Y168" s="13" t="e">
        <f t="shared" si="52"/>
        <v>#DIV/0!</v>
      </c>
      <c r="Z168" s="13" t="e">
        <f t="shared" si="52"/>
        <v>#DIV/0!</v>
      </c>
      <c r="AA168" s="13" t="e">
        <f t="shared" si="52"/>
        <v>#DIV/0!</v>
      </c>
      <c r="AB168" s="13" t="e">
        <f t="shared" si="52"/>
        <v>#DIV/0!</v>
      </c>
      <c r="AC168" s="13" t="e">
        <f t="shared" si="52"/>
        <v>#DIV/0!</v>
      </c>
      <c r="AD168" s="13" t="e">
        <f t="shared" si="52"/>
        <v>#DIV/0!</v>
      </c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8"/>
    </row>
    <row r="169" spans="1:41" s="125" customFormat="1" hidden="1" x14ac:dyDescent="0.25">
      <c r="A169" s="123"/>
      <c r="B169" s="153" t="s">
        <v>202</v>
      </c>
      <c r="C169" s="2"/>
      <c r="D169" s="2"/>
      <c r="E169" s="2"/>
      <c r="F169" s="124"/>
      <c r="G169" s="124"/>
      <c r="I169" s="13"/>
      <c r="J169" s="13"/>
      <c r="K169" s="13" t="e">
        <f>-('Inputs Worksheet'!$N$47*#REF!/2)/((1+$B$27)^K$27)-('Inputs Worksheet'!$C$11*'Inputs Worksheet'!$E$11*('Inputs Worksheet'!$E$24^('Inputs Worksheet'!$A$29-'Inputs Worksheet'!$A$3+K$28))*365*'Inputs Worksheet'!$O$57*'Inputs Worksheet'!$N$43/((1+$B$27)^K$27))</f>
        <v>#REF!</v>
      </c>
      <c r="L169" s="13" t="e">
        <f>-('Inputs Worksheet'!$N$47*#REF!/2)/((1+$B$27)^L$27)-('Inputs Worksheet'!$C$11*'Inputs Worksheet'!$E$11*('Inputs Worksheet'!$E$24^('Inputs Worksheet'!$A$29-'Inputs Worksheet'!$A$3+L$28))*365*'Inputs Worksheet'!$O$57*'Inputs Worksheet'!$N$43/((1+$B$27)^L$27))</f>
        <v>#REF!</v>
      </c>
      <c r="M169" s="13" t="e">
        <f>-('Inputs Worksheet'!$N$47*#REF!/2)/((1+$B$27)^M$27)-('Inputs Worksheet'!$C$11*'Inputs Worksheet'!$E$11*('Inputs Worksheet'!$E$24^('Inputs Worksheet'!$A$29-'Inputs Worksheet'!$A$3+M$28))*365*'Inputs Worksheet'!$O$57*'Inputs Worksheet'!$N$43/((1+$B$27)^M$27))</f>
        <v>#REF!</v>
      </c>
      <c r="N169" s="13" t="e">
        <f>-('Inputs Worksheet'!$N$47*#REF!/2)/((1+$B$27)^N$27)-('Inputs Worksheet'!$C$11*'Inputs Worksheet'!$E$11*('Inputs Worksheet'!$E$24^('Inputs Worksheet'!$A$29-'Inputs Worksheet'!$A$3+N$28))*365*'Inputs Worksheet'!$O$57*'Inputs Worksheet'!$N$43/((1+$B$27)^N$27))</f>
        <v>#REF!</v>
      </c>
      <c r="O169" s="13" t="e">
        <f>-('Inputs Worksheet'!$N$47*#REF!/2)/((1+$B$27)^O$27)-('Inputs Worksheet'!$C$11*'Inputs Worksheet'!$E$11*('Inputs Worksheet'!$E$24^('Inputs Worksheet'!$A$29-'Inputs Worksheet'!$A$3+O$28))*365*'Inputs Worksheet'!$O$57*'Inputs Worksheet'!$N$43/((1+$B$27)^O$27))</f>
        <v>#REF!</v>
      </c>
      <c r="P169" s="13" t="e">
        <f>-('Inputs Worksheet'!$N$47*#REF!/2)/((1+$B$27)^P$27)-('Inputs Worksheet'!$C$11*'Inputs Worksheet'!$E$11*('Inputs Worksheet'!$E$24^('Inputs Worksheet'!$A$29-'Inputs Worksheet'!$A$3+P$28))*365*'Inputs Worksheet'!$O$57*'Inputs Worksheet'!$N$43/((1+$B$27)^P$27))</f>
        <v>#REF!</v>
      </c>
      <c r="Q169" s="13" t="e">
        <f>-('Inputs Worksheet'!$N$47*#REF!/2)/((1+$B$27)^Q$27)-('Inputs Worksheet'!$C$11*'Inputs Worksheet'!$E$11*('Inputs Worksheet'!$E$24^('Inputs Worksheet'!$A$29-'Inputs Worksheet'!$A$3+Q$28))*365*'Inputs Worksheet'!$O$57*'Inputs Worksheet'!$N$43/((1+$B$27)^Q$27))</f>
        <v>#REF!</v>
      </c>
      <c r="R169" s="13" t="e">
        <f>-('Inputs Worksheet'!$N$47*#REF!/2)/((1+$B$27)^R$27)-('Inputs Worksheet'!$C$11*'Inputs Worksheet'!$E$11*('Inputs Worksheet'!$E$24^('Inputs Worksheet'!$A$29-'Inputs Worksheet'!$A$3+R$28))*365*'Inputs Worksheet'!$O$57*'Inputs Worksheet'!$N$43/((1+$B$27)^R$27))</f>
        <v>#REF!</v>
      </c>
      <c r="S169" s="13" t="e">
        <f>-('Inputs Worksheet'!$N$47*#REF!/2)/((1+$B$27)^S$27)-('Inputs Worksheet'!$C$11*'Inputs Worksheet'!$E$11*('Inputs Worksheet'!$E$24^('Inputs Worksheet'!$A$29-'Inputs Worksheet'!$A$3+S$28))*365*'Inputs Worksheet'!$O$57*'Inputs Worksheet'!$N$43/((1+$B$27)^S$27))</f>
        <v>#REF!</v>
      </c>
      <c r="T169" s="13" t="e">
        <f>-('Inputs Worksheet'!$N$47*#REF!/2)/((1+$B$27)^T$27)-('Inputs Worksheet'!$C$11*'Inputs Worksheet'!$E$11*('Inputs Worksheet'!$E$24^('Inputs Worksheet'!$A$29-'Inputs Worksheet'!$A$3+T$28))*365*'Inputs Worksheet'!$O$57*'Inputs Worksheet'!$N$43/((1+$B$27)^T$27))</f>
        <v>#REF!</v>
      </c>
      <c r="U169" s="13" t="e">
        <f>-('Inputs Worksheet'!$N$47*#REF!/2)/((1+$B$27)^U$27)-('Inputs Worksheet'!$C$11*'Inputs Worksheet'!$E$11*('Inputs Worksheet'!$E$24^('Inputs Worksheet'!$A$29-'Inputs Worksheet'!$A$3+U$28))*365*'Inputs Worksheet'!$O$57*'Inputs Worksheet'!$N$43/((1+$B$27)^U$27))</f>
        <v>#REF!</v>
      </c>
      <c r="V169" s="13" t="e">
        <f>-('Inputs Worksheet'!$N$47*#REF!/2)/((1+$B$27)^V$27)-('Inputs Worksheet'!$C$11*'Inputs Worksheet'!$E$11*('Inputs Worksheet'!$E$24^('Inputs Worksheet'!$A$29-'Inputs Worksheet'!$A$3+V$28))*365*'Inputs Worksheet'!$O$57*'Inputs Worksheet'!$N$43/((1+$B$27)^V$27))</f>
        <v>#REF!</v>
      </c>
      <c r="W169" s="13" t="e">
        <f>-('Inputs Worksheet'!$N$47*#REF!/2)/((1+$B$27)^W$27)-('Inputs Worksheet'!$C$11*'Inputs Worksheet'!$E$11*('Inputs Worksheet'!$E$24^('Inputs Worksheet'!$A$29-'Inputs Worksheet'!$A$3+W$28))*365*'Inputs Worksheet'!$O$57*'Inputs Worksheet'!$N$43/((1+$B$27)^W$27))</f>
        <v>#REF!</v>
      </c>
      <c r="X169" s="13" t="e">
        <f>-('Inputs Worksheet'!$N$47*#REF!/2)/((1+$B$27)^X$27)-('Inputs Worksheet'!$C$11*'Inputs Worksheet'!$E$11*('Inputs Worksheet'!$E$24^('Inputs Worksheet'!$A$29-'Inputs Worksheet'!$A$3+X$28))*365*'Inputs Worksheet'!$O$57*'Inputs Worksheet'!$N$43/((1+$B$27)^X$27))</f>
        <v>#REF!</v>
      </c>
      <c r="Y169" s="13" t="e">
        <f>-('Inputs Worksheet'!$N$47*#REF!/2)/((1+$B$27)^Y$27)-('Inputs Worksheet'!$C$11*'Inputs Worksheet'!$E$11*('Inputs Worksheet'!$E$24^('Inputs Worksheet'!$A$29-'Inputs Worksheet'!$A$3+Y$28))*365*'Inputs Worksheet'!$O$57*'Inputs Worksheet'!$N$43/((1+$B$27)^Y$27))</f>
        <v>#REF!</v>
      </c>
      <c r="Z169" s="13" t="e">
        <f>-('Inputs Worksheet'!$N$47*#REF!/2)/((1+$B$27)^Z$27)-('Inputs Worksheet'!$C$11*'Inputs Worksheet'!$E$11*('Inputs Worksheet'!$E$24^('Inputs Worksheet'!$A$29-'Inputs Worksheet'!$A$3+Z$28))*365*'Inputs Worksheet'!$O$57*'Inputs Worksheet'!$N$43/((1+$B$27)^Z$27))</f>
        <v>#REF!</v>
      </c>
      <c r="AA169" s="13" t="e">
        <f>-('Inputs Worksheet'!$N$47*#REF!/2)/((1+$B$27)^AA$27)-('Inputs Worksheet'!$C$11*'Inputs Worksheet'!$E$11*('Inputs Worksheet'!$E$24^('Inputs Worksheet'!$A$29-'Inputs Worksheet'!$A$3+AA$28))*365*'Inputs Worksheet'!$O$57*'Inputs Worksheet'!$N$43/((1+$B$27)^AA$27))</f>
        <v>#REF!</v>
      </c>
      <c r="AB169" s="13" t="e">
        <f>-('Inputs Worksheet'!$N$47*#REF!/2)/((1+$B$27)^AB$27)-('Inputs Worksheet'!$C$11*'Inputs Worksheet'!$E$11*('Inputs Worksheet'!$E$24^('Inputs Worksheet'!$A$29-'Inputs Worksheet'!$A$3+AB$28))*365*'Inputs Worksheet'!$O$57*'Inputs Worksheet'!$N$43/((1+$B$27)^AB$27))</f>
        <v>#REF!</v>
      </c>
      <c r="AC169" s="13" t="e">
        <f>-('Inputs Worksheet'!$N$47*#REF!/2)/((1+$B$27)^AC$27)-('Inputs Worksheet'!$C$11*'Inputs Worksheet'!$E$11*('Inputs Worksheet'!$E$24^('Inputs Worksheet'!$A$29-'Inputs Worksheet'!$A$3+AC$28))*365*'Inputs Worksheet'!$O$57*'Inputs Worksheet'!$N$43/((1+$B$27)^AC$27))</f>
        <v>#REF!</v>
      </c>
      <c r="AD169" s="13" t="e">
        <f>-('Inputs Worksheet'!$N$47*#REF!/2)/((1+$B$27)^AD$27)-('Inputs Worksheet'!$C$11*'Inputs Worksheet'!$E$11*('Inputs Worksheet'!$E$24^('Inputs Worksheet'!$A$29-'Inputs Worksheet'!$A$3+AD$28))*365*'Inputs Worksheet'!$O$57*'Inputs Worksheet'!$N$43/((1+$B$27)^AD$27))</f>
        <v>#REF!</v>
      </c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8"/>
    </row>
    <row r="170" spans="1:41" hidden="1" x14ac:dyDescent="0.25">
      <c r="B170" s="88" t="s">
        <v>3</v>
      </c>
      <c r="C170" s="2"/>
      <c r="D170" s="2"/>
      <c r="E170" s="2"/>
      <c r="F170" s="2"/>
      <c r="G170" s="14"/>
      <c r="H170" s="125"/>
      <c r="I170" s="13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3"/>
      <c r="AF170" s="13"/>
      <c r="AG170" s="13"/>
      <c r="AH170" s="13"/>
      <c r="AI170" s="13"/>
      <c r="AJ170" s="13"/>
      <c r="AK170" s="13"/>
      <c r="AL170" s="8"/>
      <c r="AM170" s="8"/>
      <c r="AN170" s="8"/>
      <c r="AO170"/>
    </row>
    <row r="171" spans="1:41" hidden="1" x14ac:dyDescent="0.25">
      <c r="B171" s="462" t="s">
        <v>246</v>
      </c>
      <c r="C171" s="2"/>
      <c r="D171" s="2"/>
      <c r="E171" s="2"/>
      <c r="F171" s="242"/>
      <c r="G171" s="14"/>
      <c r="H171" s="125"/>
      <c r="I171" s="8"/>
      <c r="J171" s="10"/>
      <c r="K171" s="263" t="e">
        <f>((($E$9*$E8+$F$9*$F8+$G$9*$G8+$H$9*$H8+$I$9*$I8))+(($J$9*$J8)))*'Inputs Worksheet'!$I$24^('Inputs Worksheet'!$A$29-'Inputs Worksheet'!$A$3+K$28)/((1+$B$27)^K$27)</f>
        <v>#NUM!</v>
      </c>
      <c r="L171" s="263">
        <f>((($E$9*$E8+$F$9*$F8+$G$9*$G8+$H$9*$H8+$I$9*$I8))+(($J$9*$J8)))*'Inputs Worksheet'!$I$24^('Inputs Worksheet'!$A$29-'Inputs Worksheet'!$A$3+L$28)/((1+$B$27)^L$27)</f>
        <v>0</v>
      </c>
      <c r="M171" s="263">
        <f>((($E$9*$E8+$F$9*$F8+$G$9*$G8+$H$9*$H8+$I$9*$I8))+(($J$9*$J8)))*'Inputs Worksheet'!$I$24^('Inputs Worksheet'!$A$29-'Inputs Worksheet'!$A$3+M$28)/((1+$B$27)^M$27)</f>
        <v>0</v>
      </c>
      <c r="N171" s="263">
        <f>((($E$9*$E8+$F$9*$F8+$G$9*$G8+$H$9*$H8+$I$9*$I8))+(($J$9*$J8)))*'Inputs Worksheet'!$I$24^('Inputs Worksheet'!$A$29-'Inputs Worksheet'!$A$3+N$28)/((1+$B$27)^N$27)</f>
        <v>0</v>
      </c>
      <c r="O171" s="263">
        <f>((($E$9*$E8+$F$9*$F8+$G$9*$G8+$H$9*$H8+$I$9*$I8))+(($J$9*$J8)))*'Inputs Worksheet'!$I$24^('Inputs Worksheet'!$A$29-'Inputs Worksheet'!$A$3+O$28)/((1+$B$27)^O$27)</f>
        <v>0</v>
      </c>
      <c r="P171" s="263">
        <f>((($E$9*$E8+$F$9*$F8+$G$9*$G8+$H$9*$H8+$I$9*$I8))+(($J$9*$J8)))*'Inputs Worksheet'!$I$24^('Inputs Worksheet'!$A$29-'Inputs Worksheet'!$A$3+P$28)/((1+$B$27)^P$27)</f>
        <v>0</v>
      </c>
      <c r="Q171" s="263">
        <f>((($E$9*$E8+$F$9*$F8+$G$9*$G8+$H$9*$H8+$I$9*$I8))+(($J$9*$J8)))*'Inputs Worksheet'!$I$24^('Inputs Worksheet'!$A$29-'Inputs Worksheet'!$A$3+Q$28)/((1+$B$27)^Q$27)</f>
        <v>0</v>
      </c>
      <c r="R171" s="263">
        <f>((($E$9*$E8+$F$9*$F8+$G$9*$G8+$H$9*$H8+$I$9*$I8))+(($J$9*$J8)))*'Inputs Worksheet'!$I$24^('Inputs Worksheet'!$A$29-'Inputs Worksheet'!$A$3+R$28)/((1+$B$27)^R$27)</f>
        <v>0</v>
      </c>
      <c r="S171" s="263">
        <f>((($E$9*$E8+$F$9*$F8+$G$9*$G8+$H$9*$H8+$I$9*$I8))+(($J$9*$J8)))*'Inputs Worksheet'!$I$24^('Inputs Worksheet'!$A$29-'Inputs Worksheet'!$A$3+S$28)/((1+$B$27)^S$27)</f>
        <v>0</v>
      </c>
      <c r="T171" s="263">
        <f>((($E$9*$E8+$F$9*$F8+$G$9*$G8+$H$9*$H8+$I$9*$I8))+(($J$9*$J8)))*'Inputs Worksheet'!$I$24^('Inputs Worksheet'!$A$29-'Inputs Worksheet'!$A$3+T$28)/((1+$B$27)^T$27)</f>
        <v>0</v>
      </c>
      <c r="U171" s="263">
        <f>((($E$9*$E8+$F$9*$F8+$G$9*$G8+$H$9*$H8+$I$9*$I8))+(($J$9*$J8)))*'Inputs Worksheet'!$I$24^('Inputs Worksheet'!$A$29-'Inputs Worksheet'!$A$3+U$28)/((1+$B$27)^U$27)</f>
        <v>0</v>
      </c>
      <c r="V171" s="263">
        <f>((($E$9*$E8+$F$9*$F8+$G$9*$G8+$H$9*$H8+$I$9*$I8))+(($J$9*$J8)))*'Inputs Worksheet'!$I$24^('Inputs Worksheet'!$A$29-'Inputs Worksheet'!$A$3+V$28)/((1+$B$27)^V$27)</f>
        <v>0</v>
      </c>
      <c r="W171" s="263">
        <f>((($E$9*$E8+$F$9*$F8+$G$9*$G8+$H$9*$H8+$I$9*$I8))+(($J$9*$J8)))*'Inputs Worksheet'!$I$24^('Inputs Worksheet'!$A$29-'Inputs Worksheet'!$A$3+W$28)/((1+$B$27)^W$27)</f>
        <v>0</v>
      </c>
      <c r="X171" s="263">
        <f>((($E$9*$E8+$F$9*$F8+$G$9*$G8+$H$9*$H8+$I$9*$I8))+(($J$9*$J8)))*'Inputs Worksheet'!$I$24^('Inputs Worksheet'!$A$29-'Inputs Worksheet'!$A$3+X$28)/((1+$B$27)^X$27)</f>
        <v>0</v>
      </c>
      <c r="Y171" s="263">
        <f>((($E$9*$E8+$F$9*$F8+$G$9*$G8+$H$9*$H8+$I$9*$I8))+(($J$9*$J8)))*'Inputs Worksheet'!$I$24^('Inputs Worksheet'!$A$29-'Inputs Worksheet'!$A$3+Y$28)/((1+$B$27)^Y$27)</f>
        <v>0</v>
      </c>
      <c r="Z171" s="263">
        <f>((($E$9*$E8+$F$9*$F8+$G$9*$G8+$H$9*$H8+$I$9*$I8))+(($J$9*$J8)))*'Inputs Worksheet'!$I$24^('Inputs Worksheet'!$A$29-'Inputs Worksheet'!$A$3+Z$28)/((1+$B$27)^Z$27)</f>
        <v>0</v>
      </c>
      <c r="AA171" s="263">
        <f>((($E$9*$E8+$F$9*$F8+$G$9*$G8+$H$9*$H8+$I$9*$I8))+(($J$9*$J8)))*'Inputs Worksheet'!$I$24^('Inputs Worksheet'!$A$29-'Inputs Worksheet'!$A$3+AA$28)/((1+$B$27)^AA$27)</f>
        <v>0</v>
      </c>
      <c r="AB171" s="263">
        <f>((($E$9*$E8+$F$9*$F8+$G$9*$G8+$H$9*$H8+$I$9*$I8))+(($J$9*$J8)))*'Inputs Worksheet'!$I$24^('Inputs Worksheet'!$A$29-'Inputs Worksheet'!$A$3+AB$28)/((1+$B$27)^AB$27)</f>
        <v>0</v>
      </c>
      <c r="AC171" s="263">
        <f>((($E$9*$E8+$F$9*$F8+$G$9*$G8+$H$9*$H8+$I$9*$I8))+(($J$9*$J8)))*'Inputs Worksheet'!$I$24^('Inputs Worksheet'!$A$29-'Inputs Worksheet'!$A$3+AC$28)/((1+$B$27)^AC$27)</f>
        <v>0</v>
      </c>
      <c r="AD171" s="263">
        <f>((($E$9*$E8+$F$9*$F8+$G$9*$G8+$H$9*$H8+$I$9*$I8))+(($J$9*$J8)))*'Inputs Worksheet'!$I$24^('Inputs Worksheet'!$A$29-'Inputs Worksheet'!$A$3+AD$28)/((1+$B$27)^AD$27)</f>
        <v>0</v>
      </c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8"/>
    </row>
    <row r="172" spans="1:41" hidden="1" x14ac:dyDescent="0.25">
      <c r="B172" s="88" t="s">
        <v>13</v>
      </c>
      <c r="C172" s="2"/>
      <c r="D172" s="2"/>
      <c r="E172" s="2"/>
      <c r="F172" s="2"/>
      <c r="G172" s="14"/>
      <c r="H172" s="125"/>
      <c r="I172" s="13"/>
      <c r="J172" s="13"/>
      <c r="K172" s="10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5"/>
      <c r="AF172" s="5"/>
      <c r="AG172" s="5"/>
      <c r="AH172" s="5"/>
      <c r="AI172" s="5"/>
      <c r="AJ172" s="5"/>
      <c r="AK172" s="5"/>
      <c r="AL172"/>
      <c r="AM172"/>
      <c r="AN172"/>
      <c r="AO172"/>
    </row>
    <row r="173" spans="1:41" hidden="1" x14ac:dyDescent="0.25">
      <c r="B173" s="88" t="s">
        <v>169</v>
      </c>
      <c r="F173" s="2"/>
      <c r="G173" s="14"/>
      <c r="H173" s="125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 t="e">
        <f>#REF!/((1+$B$27)^AD$27)</f>
        <v>#REF!</v>
      </c>
      <c r="AE173" s="5"/>
      <c r="AF173" s="5"/>
      <c r="AG173" s="5"/>
      <c r="AH173" s="5"/>
      <c r="AI173" s="5"/>
      <c r="AJ173" s="5"/>
      <c r="AK173" s="5"/>
      <c r="AL173"/>
      <c r="AM173"/>
      <c r="AN173" s="11"/>
      <c r="AO173"/>
    </row>
    <row r="174" spans="1:41" hidden="1" x14ac:dyDescent="0.25">
      <c r="B174" s="86" t="s">
        <v>88</v>
      </c>
      <c r="F174" s="2"/>
      <c r="G174" s="14"/>
      <c r="H174" s="125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5"/>
      <c r="AF174" s="5"/>
      <c r="AG174" s="5"/>
      <c r="AH174" s="5"/>
      <c r="AI174" s="5"/>
      <c r="AJ174" s="5"/>
      <c r="AK174" s="5"/>
      <c r="AL174"/>
      <c r="AM174"/>
      <c r="AN174" s="11"/>
      <c r="AO174"/>
    </row>
    <row r="175" spans="1:41" hidden="1" x14ac:dyDescent="0.25">
      <c r="B175" s="380" t="s">
        <v>86</v>
      </c>
      <c r="C175" s="152"/>
      <c r="D175" s="152"/>
      <c r="E175" s="152"/>
      <c r="F175" s="152"/>
      <c r="G175" s="152"/>
      <c r="H175" s="152"/>
      <c r="I175" s="125"/>
      <c r="J175" s="345"/>
      <c r="K175" s="345" t="e">
        <f>-#REF!*'Inputs Worksheet'!$N$41/((1+$B$27)^K27)</f>
        <v>#REF!</v>
      </c>
      <c r="L175" s="345" t="e">
        <f>-#REF!*'Inputs Worksheet'!$N$41/((1+$B$27)^L27)</f>
        <v>#REF!</v>
      </c>
      <c r="M175" s="345" t="e">
        <f>-#REF!*'Inputs Worksheet'!$N$41/((1+$B$27)^M27)</f>
        <v>#REF!</v>
      </c>
      <c r="N175" s="345" t="e">
        <f>-#REF!*'Inputs Worksheet'!$N$41/((1+$B$27)^N27)</f>
        <v>#REF!</v>
      </c>
      <c r="O175" s="345" t="e">
        <f>-#REF!*'Inputs Worksheet'!$N$41/((1+$B$27)^O27)</f>
        <v>#REF!</v>
      </c>
      <c r="P175" s="345" t="e">
        <f>-#REF!*'Inputs Worksheet'!$N$41/((1+$B$27)^P27)</f>
        <v>#REF!</v>
      </c>
      <c r="Q175" s="345" t="e">
        <f>-#REF!*'Inputs Worksheet'!$N$41/((1+$B$27)^Q27)</f>
        <v>#REF!</v>
      </c>
      <c r="R175" s="345" t="e">
        <f>-#REF!*'Inputs Worksheet'!$N$41/((1+$B$27)^R27)</f>
        <v>#REF!</v>
      </c>
      <c r="S175" s="345" t="e">
        <f>-#REF!*'Inputs Worksheet'!$N$41/((1+$B$27)^S27)</f>
        <v>#REF!</v>
      </c>
      <c r="T175" s="345" t="e">
        <f>-#REF!*'Inputs Worksheet'!$N$41/((1+$B$27)^T27)</f>
        <v>#REF!</v>
      </c>
      <c r="U175" s="345" t="e">
        <f>-#REF!*'Inputs Worksheet'!$N$41/((1+$B$27)^U27)</f>
        <v>#REF!</v>
      </c>
      <c r="V175" s="345" t="e">
        <f>-#REF!*'Inputs Worksheet'!$N$41/((1+$B$27)^V27)</f>
        <v>#REF!</v>
      </c>
      <c r="W175" s="345" t="e">
        <f>-#REF!*'Inputs Worksheet'!$N$41/((1+$B$27)^W27)</f>
        <v>#REF!</v>
      </c>
      <c r="X175" s="345" t="e">
        <f>-#REF!*'Inputs Worksheet'!$N$41/((1+$B$27)^X27)</f>
        <v>#REF!</v>
      </c>
      <c r="Y175" s="345" t="e">
        <f>-#REF!*'Inputs Worksheet'!$N$41/((1+$B$27)^Y27)</f>
        <v>#REF!</v>
      </c>
      <c r="Z175" s="345" t="e">
        <f>-#REF!*'Inputs Worksheet'!$N$41/((1+$B$27)^Z27)</f>
        <v>#REF!</v>
      </c>
      <c r="AA175" s="345" t="e">
        <f>-#REF!*'Inputs Worksheet'!$N$41/((1+$B$27)^AA27)</f>
        <v>#REF!</v>
      </c>
      <c r="AB175" s="345" t="e">
        <f>-#REF!*'Inputs Worksheet'!$N$41/((1+$B$27)^AB27)</f>
        <v>#REF!</v>
      </c>
      <c r="AC175" s="345" t="e">
        <f>-#REF!*'Inputs Worksheet'!$N$41/((1+$B$27)^AC27)</f>
        <v>#REF!</v>
      </c>
      <c r="AD175" s="345" t="e">
        <f>-#REF!*'Inputs Worksheet'!$N$41/((1+$B$27)^AD27)</f>
        <v>#REF!</v>
      </c>
      <c r="AE175" s="345"/>
    </row>
    <row r="176" spans="1:41" hidden="1" x14ac:dyDescent="0.25">
      <c r="B176" s="380" t="s">
        <v>167</v>
      </c>
      <c r="C176" s="152"/>
      <c r="D176" s="152"/>
      <c r="E176" s="152"/>
      <c r="F176" s="152"/>
      <c r="G176" s="152"/>
      <c r="H176" s="152"/>
      <c r="I176" s="125"/>
      <c r="J176" s="125"/>
      <c r="K176" s="125"/>
      <c r="L176" s="125"/>
      <c r="M176" s="125"/>
      <c r="N176" s="125"/>
      <c r="O176" s="125"/>
      <c r="P176" s="125"/>
      <c r="Q176" s="125"/>
      <c r="R176" s="125"/>
      <c r="S176" s="125"/>
    </row>
    <row r="177" spans="2:6" x14ac:dyDescent="0.25">
      <c r="B177" s="151"/>
      <c r="C177" s="152"/>
      <c r="D177" s="152"/>
      <c r="E177" s="152"/>
      <c r="F177" s="152"/>
    </row>
    <row r="179" spans="2:6" x14ac:dyDescent="0.25">
      <c r="B179" s="546" t="s">
        <v>247</v>
      </c>
      <c r="C179" s="464"/>
      <c r="D179" s="464"/>
      <c r="E179" s="464"/>
    </row>
    <row r="180" spans="2:6" x14ac:dyDescent="0.25">
      <c r="B180" s="463" t="s">
        <v>208</v>
      </c>
      <c r="C180" s="464"/>
      <c r="D180" s="464"/>
      <c r="E180" s="464"/>
    </row>
    <row r="181" spans="2:6" x14ac:dyDescent="0.25">
      <c r="B181" s="463" t="s">
        <v>207</v>
      </c>
      <c r="C181" s="464"/>
      <c r="D181" s="464"/>
      <c r="E181" s="464"/>
    </row>
    <row r="182" spans="2:6" x14ac:dyDescent="0.25">
      <c r="B182" s="463" t="s">
        <v>206</v>
      </c>
      <c r="C182" s="464"/>
      <c r="D182" s="464"/>
      <c r="E182" s="464"/>
    </row>
  </sheetData>
  <mergeCells count="9">
    <mergeCell ref="N18:AJ18"/>
    <mergeCell ref="N2:AJ2"/>
    <mergeCell ref="AK2:BG2"/>
    <mergeCell ref="BH2:CD2"/>
    <mergeCell ref="CE2:DA2"/>
    <mergeCell ref="N10:AJ10"/>
    <mergeCell ref="AK10:BG10"/>
    <mergeCell ref="BH10:CD10"/>
    <mergeCell ref="CE10:DA10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workbookViewId="0">
      <selection activeCell="D5" sqref="D5"/>
    </sheetView>
  </sheetViews>
  <sheetFormatPr defaultColWidth="9.140625" defaultRowHeight="11.25" x14ac:dyDescent="0.2"/>
  <cols>
    <col min="1" max="1" width="9.140625" style="299"/>
    <col min="2" max="2" width="15.5703125" style="303" customWidth="1"/>
    <col min="3" max="3" width="36.28515625" style="304" customWidth="1"/>
    <col min="4" max="4" width="30.7109375" style="304" customWidth="1"/>
    <col min="5" max="5" width="25.7109375" style="304" customWidth="1"/>
    <col min="6" max="6" width="14.5703125" style="304" customWidth="1"/>
    <col min="7" max="7" width="7.28515625" style="304" customWidth="1"/>
    <col min="8" max="16384" width="9.140625" style="299"/>
  </cols>
  <sheetData>
    <row r="2" spans="2:7" ht="12" thickBot="1" x14ac:dyDescent="0.25"/>
    <row r="3" spans="2:7" ht="36.75" customHeight="1" thickBot="1" x14ac:dyDescent="0.25">
      <c r="B3" s="852" t="s">
        <v>160</v>
      </c>
      <c r="C3" s="853" t="s">
        <v>104</v>
      </c>
      <c r="D3" s="853" t="s">
        <v>105</v>
      </c>
      <c r="E3" s="853" t="s">
        <v>106</v>
      </c>
      <c r="F3" s="853" t="s">
        <v>107</v>
      </c>
      <c r="G3" s="853" t="s">
        <v>108</v>
      </c>
    </row>
    <row r="4" spans="2:7" ht="12" thickBot="1" x14ac:dyDescent="0.25">
      <c r="B4" s="854"/>
      <c r="C4" s="855"/>
      <c r="D4" s="855"/>
      <c r="E4" s="855"/>
      <c r="F4" s="855"/>
      <c r="G4" s="855"/>
    </row>
    <row r="5" spans="2:7" ht="150" customHeight="1" thickBot="1" x14ac:dyDescent="0.25">
      <c r="B5" s="854" t="s">
        <v>482</v>
      </c>
      <c r="C5" s="855" t="s">
        <v>483</v>
      </c>
      <c r="D5" s="855" t="s">
        <v>484</v>
      </c>
      <c r="E5" s="855" t="s">
        <v>485</v>
      </c>
      <c r="F5" s="301">
        <f>'PV Summary 7%'!G36</f>
        <v>341420833.23028803</v>
      </c>
      <c r="G5" s="574">
        <f>'PV Summary 7%'!G38</f>
        <v>2.519164053309483</v>
      </c>
    </row>
    <row r="6" spans="2:7" ht="67.5" x14ac:dyDescent="0.2">
      <c r="B6" s="298" t="str">
        <f>'Inputs Worksheet'!A9</f>
        <v>Not Used</v>
      </c>
      <c r="C6" s="300" t="s">
        <v>260</v>
      </c>
      <c r="D6" s="300" t="s">
        <v>265</v>
      </c>
      <c r="E6" s="300" t="s">
        <v>264</v>
      </c>
      <c r="F6" s="301">
        <f>'PV Summary 7%'!C55</f>
        <v>0</v>
      </c>
      <c r="G6" s="302">
        <f>'PV Summary 7%'!C57</f>
        <v>0</v>
      </c>
    </row>
    <row r="7" spans="2:7" x14ac:dyDescent="0.2">
      <c r="B7" s="298" t="str">
        <f>'Inputs Worksheet'!A10</f>
        <v>Name #4</v>
      </c>
      <c r="C7" s="300"/>
      <c r="D7" s="300"/>
      <c r="E7" s="300"/>
      <c r="F7" s="301">
        <f>'PV Summary 7%'!G55</f>
        <v>0</v>
      </c>
      <c r="G7" s="302">
        <f>'PV Summary 7%'!G57</f>
        <v>0</v>
      </c>
    </row>
    <row r="8" spans="2:7" x14ac:dyDescent="0.2">
      <c r="B8" s="298" t="str">
        <f>'Inputs Worksheet'!A11</f>
        <v>Name #5</v>
      </c>
      <c r="C8" s="300"/>
      <c r="D8" s="300"/>
      <c r="E8" s="300"/>
      <c r="F8" s="301">
        <f>'PV Summary 7%'!C74</f>
        <v>0</v>
      </c>
      <c r="G8" s="302">
        <f>'PV Summary 7%'!C76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I143"/>
  <sheetViews>
    <sheetView zoomScale="80" zoomScaleNormal="80" workbookViewId="0">
      <selection activeCell="C9" sqref="C9"/>
    </sheetView>
  </sheetViews>
  <sheetFormatPr defaultColWidth="9.140625" defaultRowHeight="15" x14ac:dyDescent="0.25"/>
  <cols>
    <col min="1" max="1" width="44.28515625" style="21" bestFit="1" customWidth="1"/>
    <col min="2" max="2" width="12.28515625" style="143" bestFit="1" customWidth="1"/>
    <col min="3" max="4" width="12.28515625" style="143" customWidth="1"/>
    <col min="5" max="5" width="14.7109375" style="22" customWidth="1"/>
    <col min="6" max="6" width="19.7109375" style="21" customWidth="1"/>
    <col min="7" max="7" width="21.7109375" style="45" customWidth="1"/>
    <col min="8" max="10" width="15.7109375" style="22" customWidth="1"/>
    <col min="11" max="11" width="24.42578125" style="22" customWidth="1"/>
    <col min="12" max="12" width="15.7109375" style="22" customWidth="1"/>
    <col min="13" max="13" width="22.7109375" style="22" customWidth="1"/>
    <col min="14" max="15" width="15.7109375" style="22" customWidth="1"/>
    <col min="16" max="16" width="22.7109375" style="351" customWidth="1"/>
    <col min="17" max="18" width="22.5703125" style="22" customWidth="1"/>
    <col min="19" max="19" width="15.7109375" style="22" customWidth="1"/>
    <col min="20" max="20" width="15.5703125" style="22" customWidth="1"/>
    <col min="21" max="21" width="13.7109375" style="22" customWidth="1"/>
    <col min="22" max="22" width="15.5703125" style="22" customWidth="1"/>
    <col min="23" max="23" width="15.140625" style="22" customWidth="1"/>
    <col min="24" max="24" width="19.7109375" style="22" customWidth="1"/>
    <col min="25" max="25" width="18.7109375" style="22" customWidth="1"/>
    <col min="26" max="27" width="21.7109375" style="22" customWidth="1"/>
    <col min="28" max="28" width="15.7109375" style="22" customWidth="1"/>
    <col min="29" max="29" width="13.7109375" style="22" customWidth="1"/>
    <col min="30" max="30" width="12.42578125" style="22" customWidth="1"/>
    <col min="31" max="33" width="16.85546875" style="22" customWidth="1"/>
    <col min="34" max="34" width="18.140625" style="46" customWidth="1"/>
    <col min="35" max="35" width="18.140625" style="22" customWidth="1"/>
    <col min="36" max="36" width="30.140625" style="22" customWidth="1"/>
    <col min="37" max="37" width="30.42578125" style="22" customWidth="1"/>
    <col min="38" max="40" width="30.5703125" style="22" customWidth="1"/>
    <col min="41" max="41" width="19.28515625" style="22" customWidth="1"/>
    <col min="42" max="42" width="20.28515625" style="22" customWidth="1"/>
    <col min="43" max="44" width="15.42578125" style="22" customWidth="1"/>
    <col min="45" max="45" width="15.42578125" style="23" customWidth="1"/>
    <col min="46" max="47" width="15.42578125" style="24" customWidth="1"/>
    <col min="48" max="48" width="15.85546875" style="24" customWidth="1"/>
    <col min="49" max="49" width="16" style="22" customWidth="1"/>
    <col min="50" max="50" width="16.5703125" style="22" customWidth="1"/>
    <col min="51" max="51" width="17" style="22" customWidth="1"/>
    <col min="52" max="52" width="17.28515625" style="22" customWidth="1"/>
    <col min="53" max="53" width="17.85546875" style="22" customWidth="1"/>
    <col min="54" max="54" width="17.28515625" style="22" customWidth="1"/>
    <col min="55" max="55" width="16.28515625" style="22" customWidth="1"/>
    <col min="56" max="56" width="19.85546875" style="22" customWidth="1"/>
    <col min="57" max="57" width="15.42578125" style="22" customWidth="1"/>
    <col min="58" max="58" width="15.28515625" style="22" customWidth="1"/>
    <col min="59" max="59" width="16.140625" style="22" customWidth="1"/>
    <col min="60" max="62" width="15.85546875" style="22" customWidth="1"/>
    <col min="63" max="63" width="15.140625" style="22" customWidth="1"/>
    <col min="64" max="64" width="16.85546875" style="22" customWidth="1"/>
    <col min="65" max="65" width="16.42578125" style="22" customWidth="1"/>
    <col min="66" max="66" width="18.5703125" style="22" customWidth="1"/>
    <col min="67" max="69" width="14.5703125" style="22" customWidth="1"/>
    <col min="70" max="85" width="15.5703125" style="22" customWidth="1"/>
    <col min="86" max="86" width="15.140625" style="22" customWidth="1"/>
    <col min="87" max="87" width="12.28515625" style="25" bestFit="1" customWidth="1"/>
    <col min="88" max="88" width="13.5703125" style="25" customWidth="1"/>
    <col min="89" max="90" width="13.7109375" style="25" customWidth="1"/>
    <col min="91" max="93" width="12.28515625" style="25" bestFit="1" customWidth="1"/>
    <col min="94" max="94" width="15.28515625" style="25" bestFit="1" customWidth="1"/>
    <col min="95" max="95" width="12.28515625" style="25" bestFit="1" customWidth="1"/>
    <col min="96" max="102" width="11.5703125" style="25" bestFit="1" customWidth="1"/>
    <col min="103" max="103" width="20.5703125" style="25" bestFit="1" customWidth="1"/>
    <col min="104" max="107" width="11.5703125" style="25" bestFit="1" customWidth="1"/>
    <col min="108" max="108" width="20.5703125" style="25" bestFit="1" customWidth="1"/>
    <col min="109" max="109" width="12.7109375" style="25" bestFit="1" customWidth="1"/>
    <col min="110" max="115" width="14.42578125" style="25" bestFit="1" customWidth="1"/>
    <col min="116" max="117" width="12.7109375" style="25" bestFit="1" customWidth="1"/>
    <col min="118" max="125" width="12.28515625" style="25" bestFit="1" customWidth="1"/>
    <col min="126" max="130" width="13.42578125" style="25" bestFit="1" customWidth="1"/>
    <col min="131" max="131" width="13.28515625" style="25" bestFit="1" customWidth="1"/>
    <col min="132" max="132" width="20.5703125" style="25" bestFit="1" customWidth="1"/>
    <col min="133" max="133" width="9.140625" style="22" customWidth="1"/>
    <col min="134" max="134" width="9.140625" style="24" customWidth="1"/>
    <col min="135" max="135" width="38.42578125" style="24" customWidth="1"/>
    <col min="136" max="136" width="9.140625" style="22" customWidth="1"/>
    <col min="137" max="137" width="10.85546875" style="22" customWidth="1"/>
    <col min="138" max="138" width="9.140625" style="22" customWidth="1"/>
    <col min="139" max="139" width="33.42578125" style="22" bestFit="1" customWidth="1"/>
    <col min="140" max="140" width="20" style="22" bestFit="1" customWidth="1"/>
    <col min="141" max="144" width="9.140625" style="22"/>
    <col min="145" max="145" width="13.28515625" style="22" customWidth="1"/>
    <col min="146" max="16384" width="9.140625" style="22"/>
  </cols>
  <sheetData>
    <row r="1" spans="1:135" x14ac:dyDescent="0.25">
      <c r="B1" s="920" t="s">
        <v>219</v>
      </c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8"/>
      <c r="O1" s="920" t="s">
        <v>219</v>
      </c>
      <c r="P1" s="915"/>
      <c r="Q1" s="915"/>
      <c r="R1" s="915"/>
      <c r="S1" s="915"/>
      <c r="T1" s="915"/>
      <c r="U1" s="915"/>
      <c r="V1" s="915"/>
      <c r="W1" s="915"/>
      <c r="X1" s="915"/>
      <c r="Y1" s="915"/>
      <c r="Z1" s="915"/>
      <c r="AA1" s="915"/>
      <c r="AB1" s="915"/>
      <c r="AC1" s="915"/>
      <c r="AD1" s="915"/>
      <c r="AE1" s="918"/>
      <c r="AF1" s="956" t="s">
        <v>26</v>
      </c>
      <c r="AG1" s="957"/>
      <c r="AH1" s="957"/>
      <c r="AI1" s="957"/>
      <c r="AJ1" s="957"/>
      <c r="AK1" s="957"/>
      <c r="AL1" s="957"/>
      <c r="AM1" s="957"/>
      <c r="AN1" s="958"/>
      <c r="EE1" s="23"/>
    </row>
    <row r="2" spans="1:135" x14ac:dyDescent="0.25">
      <c r="A2" s="21" t="s">
        <v>145</v>
      </c>
      <c r="B2" s="356"/>
      <c r="C2" s="360"/>
      <c r="D2" s="360"/>
      <c r="E2" s="27"/>
      <c r="F2" s="916" t="s">
        <v>143</v>
      </c>
      <c r="G2" s="915"/>
      <c r="H2" s="918"/>
      <c r="I2" s="914" t="s">
        <v>144</v>
      </c>
      <c r="J2" s="915"/>
      <c r="K2" s="915"/>
      <c r="L2" s="915"/>
      <c r="M2" s="915"/>
      <c r="N2" s="915"/>
      <c r="O2" s="561"/>
      <c r="P2" s="914" t="s">
        <v>144</v>
      </c>
      <c r="Q2" s="919"/>
      <c r="R2" s="919"/>
      <c r="S2" s="919"/>
      <c r="T2" s="919"/>
      <c r="U2" s="919"/>
      <c r="V2" s="919"/>
      <c r="W2" s="919"/>
      <c r="X2" s="919"/>
      <c r="Y2" s="911"/>
      <c r="Z2" s="909" t="s">
        <v>223</v>
      </c>
      <c r="AA2" s="910"/>
      <c r="AB2" s="910"/>
      <c r="AC2" s="910"/>
      <c r="AD2" s="910"/>
      <c r="AE2" s="911"/>
      <c r="AF2" s="120"/>
      <c r="AG2" s="30"/>
      <c r="AH2" s="30"/>
      <c r="AI2" s="30"/>
      <c r="AJ2" s="30"/>
      <c r="AK2" s="30"/>
      <c r="AL2" s="120"/>
      <c r="AM2" s="12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30"/>
      <c r="BK2" s="30"/>
      <c r="BL2" s="30"/>
      <c r="BM2" s="30"/>
      <c r="CH2" s="25"/>
      <c r="EB2" s="22"/>
      <c r="EC2" s="24"/>
      <c r="EE2" s="22"/>
    </row>
    <row r="3" spans="1:135" s="21" customFormat="1" x14ac:dyDescent="0.25">
      <c r="A3" s="326">
        <v>2027</v>
      </c>
      <c r="B3" s="357" t="s">
        <v>154</v>
      </c>
      <c r="C3" s="357" t="s">
        <v>142</v>
      </c>
      <c r="D3" s="379" t="s">
        <v>155</v>
      </c>
      <c r="E3" s="339" t="s">
        <v>174</v>
      </c>
      <c r="F3" s="465" t="s">
        <v>213</v>
      </c>
      <c r="G3" s="465" t="s">
        <v>274</v>
      </c>
      <c r="H3" s="465"/>
      <c r="I3" s="466"/>
      <c r="J3" s="466" t="s">
        <v>213</v>
      </c>
      <c r="K3" s="32"/>
      <c r="L3" s="331"/>
      <c r="M3" s="330"/>
      <c r="N3" s="526"/>
      <c r="O3" s="919" t="s">
        <v>213</v>
      </c>
      <c r="P3" s="915"/>
      <c r="Q3" s="918"/>
      <c r="R3" s="32"/>
      <c r="S3" s="32"/>
      <c r="T3" s="32"/>
      <c r="U3" s="32"/>
      <c r="V3" s="32"/>
      <c r="W3" s="32"/>
      <c r="X3" s="330"/>
      <c r="Y3" s="330"/>
      <c r="Z3" s="33"/>
      <c r="AA3" s="27"/>
      <c r="AB3" s="27"/>
      <c r="AC3" s="27"/>
      <c r="AD3" s="27"/>
      <c r="AE3" s="121"/>
      <c r="AF3" s="121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27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34"/>
      <c r="DU3" s="27"/>
      <c r="DV3" s="27"/>
    </row>
    <row r="4" spans="1:135" s="21" customFormat="1" x14ac:dyDescent="0.25">
      <c r="A4" s="27"/>
      <c r="C4" s="376"/>
      <c r="D4" s="376"/>
      <c r="E4" s="339" t="s">
        <v>175</v>
      </c>
      <c r="F4" s="35" t="s">
        <v>218</v>
      </c>
      <c r="G4" s="465" t="s">
        <v>215</v>
      </c>
      <c r="H4" s="350" t="s">
        <v>214</v>
      </c>
      <c r="I4" s="330"/>
      <c r="J4" s="32" t="s">
        <v>217</v>
      </c>
      <c r="K4" s="466" t="s">
        <v>215</v>
      </c>
      <c r="L4" s="331" t="s">
        <v>214</v>
      </c>
      <c r="M4" s="33" t="s">
        <v>28</v>
      </c>
      <c r="N4" s="33" t="s">
        <v>29</v>
      </c>
      <c r="O4" s="33" t="s">
        <v>30</v>
      </c>
      <c r="P4" s="27" t="s">
        <v>31</v>
      </c>
      <c r="Q4" s="27" t="s">
        <v>32</v>
      </c>
      <c r="R4" s="355" t="s">
        <v>140</v>
      </c>
      <c r="S4" s="36" t="s">
        <v>33</v>
      </c>
      <c r="T4" s="27" t="s">
        <v>34</v>
      </c>
      <c r="U4" s="27" t="s">
        <v>116</v>
      </c>
      <c r="V4" s="27" t="s">
        <v>64</v>
      </c>
      <c r="W4" s="27" t="s">
        <v>65</v>
      </c>
      <c r="X4" s="27" t="s">
        <v>172</v>
      </c>
      <c r="Y4" s="27" t="s">
        <v>173</v>
      </c>
      <c r="Z4" s="33" t="s">
        <v>222</v>
      </c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27"/>
      <c r="AW4" s="27" t="s">
        <v>35</v>
      </c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27"/>
      <c r="BT4" s="37" t="s">
        <v>36</v>
      </c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37"/>
      <c r="CQ4" s="37" t="s">
        <v>37</v>
      </c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37"/>
      <c r="DN4" s="27"/>
      <c r="DO4" s="27"/>
    </row>
    <row r="5" spans="1:135" s="21" customFormat="1" x14ac:dyDescent="0.25">
      <c r="A5" s="27" t="s">
        <v>156</v>
      </c>
      <c r="B5" s="357"/>
      <c r="C5" s="376"/>
      <c r="D5" s="376"/>
      <c r="E5" s="27"/>
      <c r="F5" s="35" t="s">
        <v>156</v>
      </c>
      <c r="G5" s="465" t="s">
        <v>216</v>
      </c>
      <c r="H5" s="350" t="s">
        <v>147</v>
      </c>
      <c r="I5" s="330"/>
      <c r="J5" s="32" t="s">
        <v>156</v>
      </c>
      <c r="K5" s="466" t="s">
        <v>216</v>
      </c>
      <c r="L5" s="366" t="s">
        <v>147</v>
      </c>
      <c r="M5" s="33"/>
      <c r="N5" s="33"/>
      <c r="O5" s="33"/>
      <c r="P5" s="27"/>
      <c r="Q5" s="27"/>
      <c r="R5" s="121"/>
      <c r="S5" s="36"/>
      <c r="T5" s="27"/>
      <c r="U5" s="27"/>
      <c r="V5" s="27"/>
      <c r="W5" s="27"/>
      <c r="X5" s="121"/>
      <c r="Y5" s="121"/>
      <c r="Z5" s="33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2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37"/>
      <c r="DN5" s="27"/>
      <c r="DO5" s="27"/>
    </row>
    <row r="6" spans="1:135" s="21" customFormat="1" x14ac:dyDescent="0.25">
      <c r="A6" s="27"/>
      <c r="B6" s="357"/>
      <c r="C6" s="376"/>
      <c r="D6" s="376"/>
      <c r="E6" s="27"/>
      <c r="F6" s="35"/>
      <c r="G6" s="31"/>
      <c r="H6" s="350"/>
      <c r="I6" s="330"/>
      <c r="J6" s="32"/>
      <c r="K6" s="32"/>
      <c r="L6" s="330"/>
      <c r="M6" s="33"/>
      <c r="N6" s="33"/>
      <c r="O6" s="33"/>
      <c r="P6" s="27"/>
      <c r="Q6" s="27"/>
      <c r="R6" s="121"/>
      <c r="S6" s="36"/>
      <c r="T6" s="27"/>
      <c r="U6" s="27"/>
      <c r="V6" s="27"/>
      <c r="W6" s="27"/>
      <c r="X6" s="121"/>
      <c r="Y6" s="121"/>
      <c r="Z6" s="33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2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37"/>
      <c r="DN6" s="27"/>
      <c r="DO6" s="27"/>
    </row>
    <row r="7" spans="1:135" x14ac:dyDescent="0.25">
      <c r="A7" s="528" t="s">
        <v>504</v>
      </c>
      <c r="B7" s="377"/>
      <c r="C7" s="378"/>
      <c r="D7" s="525">
        <f>B7-C7</f>
        <v>0</v>
      </c>
      <c r="E7" s="924" t="s">
        <v>489</v>
      </c>
      <c r="F7" s="925"/>
      <c r="G7" s="925"/>
      <c r="H7" s="926"/>
      <c r="I7" s="492"/>
      <c r="J7" s="924" t="s">
        <v>489</v>
      </c>
      <c r="K7" s="925"/>
      <c r="L7" s="925"/>
      <c r="M7" s="41" t="e">
        <f>N7*$I$39</f>
        <v>#VALUE!</v>
      </c>
      <c r="N7" s="41" t="e">
        <f>F7-J7</f>
        <v>#VALUE!</v>
      </c>
      <c r="O7" s="505" t="e">
        <f>N7/F7</f>
        <v>#VALUE!</v>
      </c>
      <c r="P7" s="42" t="e">
        <f>N7*(IF(H7="Yes",4,2))</f>
        <v>#VALUE!</v>
      </c>
      <c r="Q7" s="42" t="e">
        <f>P7*$I$39</f>
        <v>#VALUE!</v>
      </c>
      <c r="R7" s="411">
        <v>251</v>
      </c>
      <c r="S7" s="354" t="e">
        <f>P7*R7</f>
        <v>#VALUE!</v>
      </c>
      <c r="T7" s="354" t="e">
        <f>Q7*R7</f>
        <v>#VALUE!</v>
      </c>
      <c r="U7" s="412" t="e">
        <f>T7*$J$48</f>
        <v>#VALUE!</v>
      </c>
      <c r="V7" s="356" t="e">
        <f>T7*$J$43</f>
        <v>#VALUE!</v>
      </c>
      <c r="W7" s="356" t="e">
        <f>T7*$J$44</f>
        <v>#VALUE!</v>
      </c>
      <c r="X7" s="360" t="e">
        <f>$T7*$J$45</f>
        <v>#VALUE!</v>
      </c>
      <c r="Y7" s="360" t="e">
        <f>$T7*$J$46</f>
        <v>#VALUE!</v>
      </c>
      <c r="Z7" s="65" t="e">
        <f>$D$48*S7</f>
        <v>#VALUE!</v>
      </c>
      <c r="AA7" s="26"/>
      <c r="AB7" s="26"/>
      <c r="AC7" s="26"/>
      <c r="AD7" s="44"/>
      <c r="AE7" s="38"/>
      <c r="AF7" s="38"/>
      <c r="AG7" s="38"/>
      <c r="AH7" s="26"/>
      <c r="AI7" s="26"/>
      <c r="AJ7" s="26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26"/>
      <c r="AW7" s="114" t="e">
        <f>$G$42*'Inputs Worksheet'!U7</f>
        <v>#VALUE!</v>
      </c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43"/>
      <c r="BT7" s="34" t="e">
        <f>V7*$G$43</f>
        <v>#VALUE!</v>
      </c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34"/>
      <c r="CQ7" s="34" t="e">
        <f>W7*$G$44</f>
        <v>#VALUE!</v>
      </c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34"/>
      <c r="DN7" s="26"/>
      <c r="DO7" s="38"/>
      <c r="DP7" s="24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D7" s="22"/>
      <c r="EE7" s="22"/>
    </row>
    <row r="8" spans="1:135" s="168" customFormat="1" x14ac:dyDescent="0.25">
      <c r="A8" s="528" t="s">
        <v>482</v>
      </c>
      <c r="B8" s="377">
        <f>Cost_4!D3</f>
        <v>6.07</v>
      </c>
      <c r="C8" s="377">
        <f>Cost_4!D3</f>
        <v>6.07</v>
      </c>
      <c r="D8" s="525">
        <f t="shared" ref="D8:D11" si="0">B8-C8</f>
        <v>0</v>
      </c>
      <c r="E8" s="927"/>
      <c r="F8" s="928"/>
      <c r="G8" s="928"/>
      <c r="H8" s="929"/>
      <c r="I8" s="492"/>
      <c r="J8" s="927"/>
      <c r="K8" s="928"/>
      <c r="L8" s="928"/>
      <c r="M8" s="41">
        <f>N8*$I$39</f>
        <v>0</v>
      </c>
      <c r="N8" s="41">
        <f t="shared" ref="N8:N11" si="1">F8-J8</f>
        <v>0</v>
      </c>
      <c r="O8" s="505" t="e">
        <f t="shared" ref="O8:O11" si="2">N8/F8</f>
        <v>#DIV/0!</v>
      </c>
      <c r="P8" s="42">
        <f>N8*(IF(H8="Yes",4,2))</f>
        <v>0</v>
      </c>
      <c r="Q8" s="42">
        <f>P8*$I$39</f>
        <v>0</v>
      </c>
      <c r="R8" s="411">
        <v>251</v>
      </c>
      <c r="S8" s="354">
        <f>P8*R8</f>
        <v>0</v>
      </c>
      <c r="T8" s="354">
        <f>Q8*R8</f>
        <v>0</v>
      </c>
      <c r="U8" s="412">
        <f>T8*$J$48</f>
        <v>0</v>
      </c>
      <c r="V8" s="356">
        <f>T8*$J$43</f>
        <v>0</v>
      </c>
      <c r="W8" s="356">
        <f>T8*$J$44</f>
        <v>0</v>
      </c>
      <c r="X8" s="360">
        <f>$T8*$J$45</f>
        <v>0</v>
      </c>
      <c r="Y8" s="360">
        <f>$T8*$J$46</f>
        <v>0</v>
      </c>
      <c r="Z8" s="65">
        <f>$D$48*S8</f>
        <v>0</v>
      </c>
      <c r="AA8" s="312"/>
      <c r="AB8" s="312"/>
      <c r="AC8" s="312"/>
      <c r="AD8" s="314"/>
      <c r="AE8" s="311"/>
      <c r="AF8" s="311"/>
      <c r="AG8" s="311"/>
      <c r="AH8" s="312"/>
      <c r="AI8" s="312"/>
      <c r="AJ8" s="312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2"/>
      <c r="AW8" s="114">
        <f>$G$42*'Inputs Worksheet'!U8</f>
        <v>0</v>
      </c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316"/>
      <c r="BI8" s="316"/>
      <c r="BJ8" s="316"/>
      <c r="BK8" s="316"/>
      <c r="BL8" s="316"/>
      <c r="BM8" s="316"/>
      <c r="BN8" s="316"/>
      <c r="BO8" s="316"/>
      <c r="BP8" s="316"/>
      <c r="BQ8" s="316"/>
      <c r="BR8" s="316"/>
      <c r="BS8" s="116"/>
      <c r="BT8" s="34">
        <f>V8*$G$43</f>
        <v>0</v>
      </c>
      <c r="BU8" s="313"/>
      <c r="BV8" s="313"/>
      <c r="BW8" s="313"/>
      <c r="BX8" s="313"/>
      <c r="BY8" s="313"/>
      <c r="BZ8" s="313"/>
      <c r="CA8" s="313"/>
      <c r="CB8" s="313"/>
      <c r="CC8" s="313"/>
      <c r="CD8" s="313"/>
      <c r="CE8" s="317"/>
      <c r="CF8" s="317"/>
      <c r="CG8" s="317"/>
      <c r="CH8" s="317"/>
      <c r="CI8" s="317"/>
      <c r="CJ8" s="317"/>
      <c r="CK8" s="317"/>
      <c r="CL8" s="317"/>
      <c r="CM8" s="317"/>
      <c r="CN8" s="317"/>
      <c r="CO8" s="317"/>
      <c r="CP8" s="313"/>
      <c r="CQ8" s="34">
        <f>W8*$G$44</f>
        <v>0</v>
      </c>
      <c r="CR8" s="313"/>
      <c r="CS8" s="313"/>
      <c r="CT8" s="313"/>
      <c r="CU8" s="313"/>
      <c r="CV8" s="313"/>
      <c r="CW8" s="313"/>
      <c r="CX8" s="313"/>
      <c r="CY8" s="313"/>
      <c r="CZ8" s="313"/>
      <c r="DA8" s="313"/>
      <c r="DB8" s="317"/>
      <c r="DC8" s="317"/>
      <c r="DD8" s="317"/>
      <c r="DE8" s="317"/>
      <c r="DF8" s="317"/>
      <c r="DG8" s="317"/>
      <c r="DH8" s="317"/>
      <c r="DI8" s="317"/>
      <c r="DJ8" s="317"/>
      <c r="DK8" s="317"/>
      <c r="DL8" s="317"/>
      <c r="DM8" s="313"/>
      <c r="DN8" s="312"/>
      <c r="DO8" s="311"/>
      <c r="DP8" s="318"/>
    </row>
    <row r="9" spans="1:135" x14ac:dyDescent="0.25">
      <c r="A9" s="528" t="s">
        <v>504</v>
      </c>
      <c r="B9" s="377"/>
      <c r="C9" s="378"/>
      <c r="D9" s="525">
        <f t="shared" si="0"/>
        <v>0</v>
      </c>
      <c r="E9" s="927"/>
      <c r="F9" s="928"/>
      <c r="G9" s="928"/>
      <c r="H9" s="929"/>
      <c r="I9" s="493"/>
      <c r="J9" s="927"/>
      <c r="K9" s="928"/>
      <c r="L9" s="928"/>
      <c r="M9" s="41">
        <f>N9*$I$39</f>
        <v>0</v>
      </c>
      <c r="N9" s="41">
        <f t="shared" si="1"/>
        <v>0</v>
      </c>
      <c r="O9" s="505" t="e">
        <f t="shared" si="2"/>
        <v>#DIV/0!</v>
      </c>
      <c r="P9" s="42">
        <f>N9*(IF(H9="Yes",4,2))</f>
        <v>0</v>
      </c>
      <c r="Q9" s="42">
        <f>P9*$I$39</f>
        <v>0</v>
      </c>
      <c r="R9" s="411">
        <v>251</v>
      </c>
      <c r="S9" s="354">
        <f>P9*R9</f>
        <v>0</v>
      </c>
      <c r="T9" s="354">
        <f>Q9*R9</f>
        <v>0</v>
      </c>
      <c r="U9" s="412">
        <f>T9*$J$48</f>
        <v>0</v>
      </c>
      <c r="V9" s="356">
        <f>T9*$J$43</f>
        <v>0</v>
      </c>
      <c r="W9" s="356">
        <f>T9*$J$44</f>
        <v>0</v>
      </c>
      <c r="X9" s="360">
        <f>$T9*$J$45</f>
        <v>0</v>
      </c>
      <c r="Y9" s="360">
        <f>$T9*$J$46</f>
        <v>0</v>
      </c>
      <c r="Z9" s="65">
        <f>$D$48*S9</f>
        <v>0</v>
      </c>
      <c r="AA9" s="26"/>
      <c r="AB9" s="26"/>
      <c r="AC9" s="26"/>
      <c r="AD9" s="44"/>
      <c r="AE9" s="38"/>
      <c r="AF9" s="38"/>
      <c r="AG9" s="38"/>
      <c r="AH9" s="26"/>
      <c r="AI9" s="26"/>
      <c r="AJ9" s="26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26"/>
      <c r="AW9" s="114">
        <f>$G$42*'Inputs Worksheet'!U9</f>
        <v>0</v>
      </c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43"/>
      <c r="BT9" s="34">
        <f>V9*$G$43</f>
        <v>0</v>
      </c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34"/>
      <c r="CQ9" s="34">
        <f>W9*$G$44</f>
        <v>0</v>
      </c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34"/>
      <c r="DN9" s="26"/>
      <c r="DO9" s="38"/>
      <c r="DP9" s="24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D9" s="22"/>
      <c r="EE9" s="22"/>
    </row>
    <row r="10" spans="1:135" x14ac:dyDescent="0.25">
      <c r="A10" s="528" t="s">
        <v>158</v>
      </c>
      <c r="B10" s="377"/>
      <c r="C10" s="378"/>
      <c r="D10" s="525">
        <f t="shared" si="0"/>
        <v>0</v>
      </c>
      <c r="E10" s="927"/>
      <c r="F10" s="928"/>
      <c r="G10" s="928"/>
      <c r="H10" s="929"/>
      <c r="I10" s="493"/>
      <c r="J10" s="927"/>
      <c r="K10" s="928"/>
      <c r="L10" s="928"/>
      <c r="M10" s="41">
        <f>N10*$I$39</f>
        <v>0</v>
      </c>
      <c r="N10" s="41">
        <f t="shared" si="1"/>
        <v>0</v>
      </c>
      <c r="O10" s="505" t="e">
        <f t="shared" si="2"/>
        <v>#DIV/0!</v>
      </c>
      <c r="P10" s="42">
        <f>N10*(IF(H10="Yes",4,2))</f>
        <v>0</v>
      </c>
      <c r="Q10" s="42">
        <f>P10*$I$39</f>
        <v>0</v>
      </c>
      <c r="R10" s="411">
        <v>251</v>
      </c>
      <c r="S10" s="354">
        <f>P10*R10</f>
        <v>0</v>
      </c>
      <c r="T10" s="354">
        <f>Q10*R10</f>
        <v>0</v>
      </c>
      <c r="U10" s="412">
        <f>T10*$J$48</f>
        <v>0</v>
      </c>
      <c r="V10" s="356">
        <f>T10*$J$43</f>
        <v>0</v>
      </c>
      <c r="W10" s="356">
        <f>T10*$J$44</f>
        <v>0</v>
      </c>
      <c r="X10" s="360">
        <f>$T10*$J$45</f>
        <v>0</v>
      </c>
      <c r="Y10" s="360">
        <f>$T10*$J$46</f>
        <v>0</v>
      </c>
      <c r="Z10" s="65">
        <f>$D$48*S10</f>
        <v>0</v>
      </c>
      <c r="AA10" s="26"/>
      <c r="AB10" s="26"/>
      <c r="AC10" s="26"/>
      <c r="AD10" s="44"/>
      <c r="AE10" s="38"/>
      <c r="AF10" s="38"/>
      <c r="AG10" s="38"/>
      <c r="AH10" s="26"/>
      <c r="AI10" s="26"/>
      <c r="AJ10" s="26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26"/>
      <c r="AW10" s="114">
        <f>$G$42*'Inputs Worksheet'!U10</f>
        <v>0</v>
      </c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43"/>
      <c r="BT10" s="34">
        <f>V10*$G$43</f>
        <v>0</v>
      </c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34"/>
      <c r="CQ10" s="34">
        <f>W10*$G$44</f>
        <v>0</v>
      </c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34"/>
      <c r="DN10" s="26"/>
      <c r="DO10" s="38"/>
      <c r="DP10" s="24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D10" s="22"/>
      <c r="EE10" s="22"/>
    </row>
    <row r="11" spans="1:135" x14ac:dyDescent="0.25">
      <c r="A11" s="528" t="s">
        <v>159</v>
      </c>
      <c r="B11" s="377"/>
      <c r="C11" s="378"/>
      <c r="D11" s="525">
        <f t="shared" si="0"/>
        <v>0</v>
      </c>
      <c r="E11" s="930"/>
      <c r="F11" s="931"/>
      <c r="G11" s="931"/>
      <c r="H11" s="932"/>
      <c r="I11" s="493"/>
      <c r="J11" s="930"/>
      <c r="K11" s="931"/>
      <c r="L11" s="931"/>
      <c r="M11" s="41">
        <f>N11*$I$39</f>
        <v>0</v>
      </c>
      <c r="N11" s="41">
        <f t="shared" si="1"/>
        <v>0</v>
      </c>
      <c r="O11" s="505" t="e">
        <f t="shared" si="2"/>
        <v>#DIV/0!</v>
      </c>
      <c r="P11" s="42">
        <f>N11*(IF(H11="Yes",4,2))</f>
        <v>0</v>
      </c>
      <c r="Q11" s="42">
        <f>P11*$I$39</f>
        <v>0</v>
      </c>
      <c r="R11" s="411">
        <v>251</v>
      </c>
      <c r="S11" s="354">
        <f>P11*R11</f>
        <v>0</v>
      </c>
      <c r="T11" s="354">
        <f>Q11*R11</f>
        <v>0</v>
      </c>
      <c r="U11" s="412">
        <f>T11*$J$48</f>
        <v>0</v>
      </c>
      <c r="V11" s="356">
        <f>T11*$J$43</f>
        <v>0</v>
      </c>
      <c r="W11" s="356">
        <f>T11*$J$44</f>
        <v>0</v>
      </c>
      <c r="X11" s="360">
        <f>$T11*$J$45</f>
        <v>0</v>
      </c>
      <c r="Y11" s="360">
        <f>$T11*$J$46</f>
        <v>0</v>
      </c>
      <c r="Z11" s="65">
        <f>$D$48*S11</f>
        <v>0</v>
      </c>
      <c r="AA11" s="26"/>
      <c r="AB11" s="26"/>
      <c r="AC11" s="26"/>
      <c r="AD11" s="44"/>
      <c r="AE11" s="38"/>
      <c r="AF11" s="38"/>
      <c r="AG11" s="38"/>
      <c r="AH11" s="26"/>
      <c r="AI11" s="26"/>
      <c r="AJ11" s="26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26"/>
      <c r="AW11" s="114">
        <f>$G$42*'Inputs Worksheet'!U11</f>
        <v>0</v>
      </c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43"/>
      <c r="BT11" s="34">
        <f>V11*$G$43</f>
        <v>0</v>
      </c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34"/>
      <c r="CQ11" s="34">
        <f>W11*$G$44</f>
        <v>0</v>
      </c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34"/>
      <c r="DN11" s="26"/>
      <c r="DO11" s="38"/>
      <c r="DP11" s="24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D11" s="22"/>
      <c r="EE11" s="22"/>
    </row>
    <row r="12" spans="1:135" x14ac:dyDescent="0.25">
      <c r="E12" s="21"/>
      <c r="F12" s="45"/>
      <c r="G12" s="22"/>
      <c r="L12" s="351"/>
      <c r="P12" s="22"/>
      <c r="U12" s="46"/>
      <c r="Y12" s="46"/>
      <c r="AF12" s="25"/>
      <c r="AH12" s="22"/>
      <c r="AJ12" s="23"/>
      <c r="AK12" s="24"/>
      <c r="AL12" s="24"/>
      <c r="AM12" s="24"/>
      <c r="AS12" s="22"/>
      <c r="AT12" s="22"/>
      <c r="AU12" s="22"/>
      <c r="AV12" s="22"/>
      <c r="BZ12" s="25"/>
      <c r="CA12" s="25"/>
      <c r="CB12" s="25"/>
      <c r="CC12" s="25"/>
      <c r="CD12" s="25"/>
      <c r="CE12" s="25"/>
      <c r="CF12" s="25"/>
      <c r="CG12" s="25"/>
      <c r="CH12" s="25"/>
      <c r="DT12" s="22"/>
      <c r="DU12" s="24"/>
      <c r="DV12" s="24"/>
      <c r="DW12" s="22"/>
      <c r="DX12" s="22"/>
      <c r="DY12" s="22"/>
      <c r="DZ12" s="22"/>
      <c r="EA12" s="22"/>
      <c r="EB12" s="22"/>
      <c r="ED12" s="22"/>
      <c r="EE12" s="22"/>
    </row>
    <row r="13" spans="1:135" x14ac:dyDescent="0.25">
      <c r="E13" s="21"/>
      <c r="F13" s="45"/>
      <c r="G13" s="22"/>
      <c r="L13" s="351"/>
      <c r="P13" s="22"/>
      <c r="U13" s="46"/>
      <c r="Y13" s="46"/>
      <c r="AF13" s="25"/>
      <c r="AH13" s="22"/>
      <c r="AJ13" s="23"/>
      <c r="AK13" s="24"/>
      <c r="AL13" s="24"/>
      <c r="AM13" s="24"/>
      <c r="AS13" s="22"/>
      <c r="AT13" s="22"/>
      <c r="AU13" s="22"/>
      <c r="AV13" s="22"/>
      <c r="BZ13" s="25"/>
      <c r="CA13" s="25"/>
      <c r="CB13" s="25"/>
      <c r="CC13" s="25"/>
      <c r="CD13" s="25"/>
      <c r="CE13" s="25"/>
      <c r="CF13" s="25"/>
      <c r="CG13" s="25"/>
      <c r="CH13" s="25"/>
      <c r="DT13" s="22"/>
      <c r="DU13" s="24"/>
      <c r="DV13" s="24"/>
      <c r="DW13" s="22"/>
      <c r="DX13" s="22"/>
      <c r="DY13" s="22"/>
      <c r="DZ13" s="22"/>
      <c r="EA13" s="22"/>
      <c r="EB13" s="22"/>
      <c r="ED13" s="22"/>
      <c r="EE13" s="22"/>
    </row>
    <row r="14" spans="1:135" x14ac:dyDescent="0.25">
      <c r="A14" s="27"/>
      <c r="B14" s="920" t="s">
        <v>219</v>
      </c>
      <c r="C14" s="915"/>
      <c r="D14" s="915"/>
      <c r="E14" s="915"/>
      <c r="F14" s="915"/>
      <c r="G14" s="915"/>
      <c r="H14" s="915"/>
      <c r="I14" s="915"/>
      <c r="J14" s="915"/>
      <c r="K14" s="915"/>
      <c r="L14" s="915"/>
      <c r="M14" s="915"/>
      <c r="N14" s="918"/>
      <c r="O14" s="920" t="s">
        <v>219</v>
      </c>
      <c r="P14" s="915"/>
      <c r="Q14" s="915"/>
      <c r="R14" s="915"/>
      <c r="S14" s="915"/>
      <c r="T14" s="915"/>
      <c r="U14" s="915"/>
      <c r="V14" s="915"/>
      <c r="W14" s="915"/>
      <c r="X14" s="915"/>
      <c r="Y14" s="915"/>
      <c r="Z14" s="915"/>
      <c r="AA14" s="915"/>
      <c r="AB14" s="915"/>
      <c r="AC14" s="915"/>
      <c r="AD14" s="915"/>
      <c r="AE14" s="918"/>
      <c r="AF14" s="959" t="s">
        <v>26</v>
      </c>
      <c r="AG14" s="915"/>
      <c r="AH14" s="915"/>
      <c r="AI14" s="915"/>
      <c r="AJ14" s="915"/>
      <c r="AK14" s="915"/>
      <c r="AL14" s="915"/>
      <c r="AM14" s="915"/>
      <c r="AN14" s="918"/>
      <c r="AO14" s="25"/>
    </row>
    <row r="15" spans="1:135" x14ac:dyDescent="0.25">
      <c r="A15" s="27" t="s">
        <v>141</v>
      </c>
      <c r="B15" s="356"/>
      <c r="C15" s="360"/>
      <c r="D15" s="360"/>
      <c r="E15" s="916" t="s">
        <v>143</v>
      </c>
      <c r="F15" s="910"/>
      <c r="G15" s="910"/>
      <c r="H15" s="910"/>
      <c r="I15" s="917" t="s">
        <v>144</v>
      </c>
      <c r="J15" s="915"/>
      <c r="K15" s="915"/>
      <c r="L15" s="915"/>
      <c r="M15" s="915"/>
      <c r="N15" s="918"/>
      <c r="O15" s="468"/>
      <c r="P15" s="914" t="s">
        <v>144</v>
      </c>
      <c r="Q15" s="915"/>
      <c r="R15" s="915"/>
      <c r="S15" s="915"/>
      <c r="T15" s="915"/>
      <c r="U15" s="915"/>
      <c r="V15" s="915"/>
      <c r="W15" s="915"/>
      <c r="X15" s="915"/>
      <c r="Y15" s="911"/>
      <c r="Z15" s="909" t="s">
        <v>224</v>
      </c>
      <c r="AA15" s="910"/>
      <c r="AB15" s="910"/>
      <c r="AC15" s="910"/>
      <c r="AD15" s="910"/>
      <c r="AE15" s="911"/>
      <c r="AF15" s="389"/>
      <c r="AG15" s="390"/>
      <c r="AH15" s="389"/>
      <c r="AI15" s="389"/>
      <c r="AJ15" s="389"/>
      <c r="AK15" s="389"/>
      <c r="AL15" s="78"/>
      <c r="AM15" s="78"/>
      <c r="AN15" s="25"/>
      <c r="AR15" s="23"/>
      <c r="AS15" s="24"/>
      <c r="AV15" s="22"/>
      <c r="CH15" s="25"/>
      <c r="EB15" s="22"/>
      <c r="EC15" s="24"/>
      <c r="EE15" s="22"/>
    </row>
    <row r="16" spans="1:135" x14ac:dyDescent="0.25">
      <c r="A16" s="326">
        <v>2046</v>
      </c>
      <c r="B16" s="357" t="s">
        <v>154</v>
      </c>
      <c r="C16" s="376" t="s">
        <v>142</v>
      </c>
      <c r="D16" s="379" t="s">
        <v>155</v>
      </c>
      <c r="E16" s="551" t="s">
        <v>117</v>
      </c>
      <c r="F16" s="465" t="s">
        <v>213</v>
      </c>
      <c r="G16" s="465"/>
      <c r="H16" s="465"/>
      <c r="I16" s="553" t="s">
        <v>117</v>
      </c>
      <c r="J16" s="466" t="s">
        <v>213</v>
      </c>
      <c r="K16" s="32"/>
      <c r="L16" s="466"/>
      <c r="M16" s="526"/>
      <c r="N16" s="527"/>
      <c r="O16" s="919" t="s">
        <v>213</v>
      </c>
      <c r="P16" s="910"/>
      <c r="Q16" s="911"/>
      <c r="R16" s="506"/>
      <c r="S16" s="40"/>
      <c r="T16" s="32"/>
      <c r="U16" s="516"/>
      <c r="V16" s="32"/>
      <c r="W16" s="330"/>
      <c r="X16" s="330"/>
      <c r="Y16" s="516"/>
      <c r="Z16" s="33"/>
      <c r="AA16" s="27"/>
      <c r="AB16" s="27"/>
      <c r="AC16" s="27"/>
      <c r="AD16" s="388"/>
      <c r="AE16" s="388"/>
      <c r="AF16" s="47"/>
      <c r="AG16" s="26"/>
      <c r="AH16" s="26"/>
      <c r="AI16" s="26"/>
      <c r="AJ16" s="44"/>
      <c r="AK16" s="38"/>
      <c r="AL16" s="38"/>
      <c r="AM16" s="38"/>
      <c r="AN16" s="34"/>
      <c r="AO16" s="26"/>
      <c r="AP16" s="26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26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2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37"/>
      <c r="DT16" s="26"/>
      <c r="DU16" s="38"/>
      <c r="DV16" s="24"/>
      <c r="DW16" s="22"/>
      <c r="DX16" s="22"/>
      <c r="DY16" s="22"/>
      <c r="DZ16" s="22"/>
      <c r="EA16" s="22"/>
      <c r="EB16" s="22"/>
      <c r="ED16" s="22"/>
      <c r="EE16" s="22"/>
    </row>
    <row r="17" spans="1:135" s="21" customFormat="1" x14ac:dyDescent="0.25">
      <c r="A17" s="27"/>
      <c r="B17" s="357"/>
      <c r="C17" s="376"/>
      <c r="D17" s="376"/>
      <c r="E17" s="551" t="s">
        <v>146</v>
      </c>
      <c r="F17" s="35" t="s">
        <v>217</v>
      </c>
      <c r="G17" s="465" t="s">
        <v>215</v>
      </c>
      <c r="H17" s="350" t="s">
        <v>214</v>
      </c>
      <c r="I17" s="554" t="s">
        <v>146</v>
      </c>
      <c r="J17" s="330" t="s">
        <v>217</v>
      </c>
      <c r="K17" s="466" t="s">
        <v>215</v>
      </c>
      <c r="L17" s="331" t="s">
        <v>214</v>
      </c>
      <c r="M17" s="33" t="s">
        <v>28</v>
      </c>
      <c r="N17" s="33" t="s">
        <v>29</v>
      </c>
      <c r="O17" s="33" t="s">
        <v>30</v>
      </c>
      <c r="P17" s="36" t="s">
        <v>31</v>
      </c>
      <c r="Q17" s="27" t="s">
        <v>32</v>
      </c>
      <c r="R17" s="355" t="s">
        <v>140</v>
      </c>
      <c r="S17" s="36" t="s">
        <v>33</v>
      </c>
      <c r="T17" s="27" t="s">
        <v>34</v>
      </c>
      <c r="U17" s="27" t="s">
        <v>116</v>
      </c>
      <c r="V17" s="27" t="s">
        <v>64</v>
      </c>
      <c r="W17" s="27" t="s">
        <v>65</v>
      </c>
      <c r="X17" s="27" t="s">
        <v>172</v>
      </c>
      <c r="Y17" s="27" t="s">
        <v>173</v>
      </c>
      <c r="Z17" s="33" t="s">
        <v>222</v>
      </c>
      <c r="AA17" s="27"/>
      <c r="AB17" s="27"/>
      <c r="AC17" s="27"/>
      <c r="AD17" s="44"/>
      <c r="AE17" s="44"/>
      <c r="AF17" s="44"/>
      <c r="AG17" s="44"/>
      <c r="AH17" s="27"/>
      <c r="AI17" s="27"/>
      <c r="AJ17" s="27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27"/>
      <c r="AW17" s="27" t="s">
        <v>35</v>
      </c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27"/>
      <c r="BT17" s="37" t="s">
        <v>36</v>
      </c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37"/>
      <c r="CQ17" s="37" t="s">
        <v>37</v>
      </c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37"/>
      <c r="DN17" s="27"/>
      <c r="DO17" s="27"/>
    </row>
    <row r="18" spans="1:135" s="21" customFormat="1" x14ac:dyDescent="0.25">
      <c r="A18" s="27" t="s">
        <v>156</v>
      </c>
      <c r="B18" s="357"/>
      <c r="C18" s="376"/>
      <c r="D18" s="376"/>
      <c r="E18" s="552" t="s">
        <v>122</v>
      </c>
      <c r="F18" s="35" t="s">
        <v>156</v>
      </c>
      <c r="G18" s="465" t="s">
        <v>216</v>
      </c>
      <c r="H18" s="350" t="s">
        <v>147</v>
      </c>
      <c r="I18" s="555" t="s">
        <v>122</v>
      </c>
      <c r="J18" s="330" t="s">
        <v>156</v>
      </c>
      <c r="K18" s="466" t="s">
        <v>216</v>
      </c>
      <c r="L18" s="366" t="s">
        <v>147</v>
      </c>
      <c r="M18" s="33"/>
      <c r="N18" s="33"/>
      <c r="O18" s="33"/>
      <c r="P18" s="36"/>
      <c r="Q18" s="27"/>
      <c r="R18" s="121"/>
      <c r="S18" s="36"/>
      <c r="T18" s="27"/>
      <c r="U18" s="27"/>
      <c r="V18" s="27"/>
      <c r="W18" s="27"/>
      <c r="X18" s="121"/>
      <c r="Y18" s="121"/>
      <c r="Z18" s="33"/>
      <c r="AA18" s="27"/>
      <c r="AB18" s="27"/>
      <c r="AC18" s="27"/>
      <c r="AD18" s="44"/>
      <c r="AE18" s="44"/>
      <c r="AF18" s="44"/>
      <c r="AG18" s="44"/>
      <c r="AH18" s="27"/>
      <c r="AI18" s="27"/>
      <c r="AJ18" s="27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2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37"/>
      <c r="DN18" s="27"/>
      <c r="DO18" s="27"/>
    </row>
    <row r="19" spans="1:135" s="21" customFormat="1" x14ac:dyDescent="0.25">
      <c r="A19" s="27"/>
      <c r="B19" s="357"/>
      <c r="C19" s="376"/>
      <c r="D19" s="376"/>
      <c r="E19" s="551" t="s">
        <v>118</v>
      </c>
      <c r="F19" s="35"/>
      <c r="G19" s="31"/>
      <c r="H19" s="350"/>
      <c r="I19" s="554" t="s">
        <v>118</v>
      </c>
      <c r="J19" s="330"/>
      <c r="K19" s="32"/>
      <c r="L19" s="330"/>
      <c r="M19" s="33"/>
      <c r="N19" s="33"/>
      <c r="O19" s="33"/>
      <c r="P19" s="36"/>
      <c r="Q19" s="27"/>
      <c r="R19" s="121"/>
      <c r="S19" s="36"/>
      <c r="T19" s="27"/>
      <c r="U19" s="27"/>
      <c r="V19" s="27"/>
      <c r="W19" s="27"/>
      <c r="X19" s="121"/>
      <c r="Y19" s="121"/>
      <c r="Z19" s="33"/>
      <c r="AA19" s="27"/>
      <c r="AB19" s="27"/>
      <c r="AC19" s="27"/>
      <c r="AD19" s="44"/>
      <c r="AE19" s="44"/>
      <c r="AF19" s="44"/>
      <c r="AG19" s="44"/>
      <c r="AH19" s="27"/>
      <c r="AI19" s="27"/>
      <c r="AJ19" s="27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2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37"/>
      <c r="DN19" s="27"/>
      <c r="DO19" s="27"/>
    </row>
    <row r="20" spans="1:135" x14ac:dyDescent="0.25">
      <c r="A20" s="27" t="str">
        <f>A7</f>
        <v>Not Used</v>
      </c>
      <c r="B20" s="524">
        <f>B7</f>
        <v>0</v>
      </c>
      <c r="C20" s="525">
        <f>C7</f>
        <v>0</v>
      </c>
      <c r="D20" s="525">
        <f>B20-C20</f>
        <v>0</v>
      </c>
      <c r="E20" s="924" t="s">
        <v>489</v>
      </c>
      <c r="F20" s="925"/>
      <c r="G20" s="925"/>
      <c r="H20" s="926"/>
      <c r="I20" s="556">
        <f t="shared" ref="I20" si="3">$W$42</f>
        <v>1.0101245902987583</v>
      </c>
      <c r="J20" s="936" t="s">
        <v>489</v>
      </c>
      <c r="K20" s="937"/>
      <c r="L20" s="938"/>
      <c r="M20" s="41" t="e">
        <f>N20*$I$39</f>
        <v>#VALUE!</v>
      </c>
      <c r="N20" s="365" t="e">
        <f>F20-J20</f>
        <v>#VALUE!</v>
      </c>
      <c r="O20" s="505" t="e">
        <f>N20/F20</f>
        <v>#VALUE!</v>
      </c>
      <c r="P20" s="354" t="e">
        <f>N20*(IF(H20="Yes",4,2))</f>
        <v>#VALUE!</v>
      </c>
      <c r="Q20" s="354" t="e">
        <f>P20*$I$39</f>
        <v>#VALUE!</v>
      </c>
      <c r="R20" s="411">
        <v>251</v>
      </c>
      <c r="S20" s="354" t="e">
        <f>P20*R20</f>
        <v>#VALUE!</v>
      </c>
      <c r="T20" s="354" t="e">
        <f>Q20*R20</f>
        <v>#VALUE!</v>
      </c>
      <c r="U20" s="354" t="e">
        <f>T20*$J$48</f>
        <v>#VALUE!</v>
      </c>
      <c r="V20" s="356" t="e">
        <f>T20*$J$43</f>
        <v>#VALUE!</v>
      </c>
      <c r="W20" s="356" t="e">
        <f>T20*$J$44</f>
        <v>#VALUE!</v>
      </c>
      <c r="X20" s="360" t="e">
        <f>$T20*$J$45</f>
        <v>#VALUE!</v>
      </c>
      <c r="Y20" s="360" t="e">
        <f>$T20*$J$46</f>
        <v>#VALUE!</v>
      </c>
      <c r="Z20" s="65" t="e">
        <f>$D$48*S20</f>
        <v>#VALUE!</v>
      </c>
      <c r="AA20" s="26"/>
      <c r="AB20" s="26"/>
      <c r="AC20" s="26"/>
      <c r="AD20" s="44"/>
      <c r="AE20" s="48"/>
      <c r="AF20" s="48"/>
      <c r="AG20" s="38"/>
      <c r="AH20" s="26"/>
      <c r="AI20" s="26"/>
      <c r="AJ20" s="26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26"/>
      <c r="AW20" s="114" t="e">
        <f>$G$42*'Inputs Worksheet'!U20</f>
        <v>#VALUE!</v>
      </c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43"/>
      <c r="BT20" s="34" t="e">
        <f>V20*$G$43</f>
        <v>#VALUE!</v>
      </c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34"/>
      <c r="CQ20" s="34" t="e">
        <f>W20*$G$44</f>
        <v>#VALUE!</v>
      </c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34"/>
      <c r="DN20" s="26"/>
      <c r="DO20" s="38"/>
      <c r="DP20" s="24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D20" s="22"/>
      <c r="EE20" s="22"/>
    </row>
    <row r="21" spans="1:135" s="168" customFormat="1" x14ac:dyDescent="0.25">
      <c r="A21" s="27" t="str">
        <f>A8</f>
        <v>I-205 Corridor Widening: Stafford Road to OR43</v>
      </c>
      <c r="B21" s="524">
        <f t="shared" ref="B21:C21" si="4">B8</f>
        <v>6.07</v>
      </c>
      <c r="C21" s="525">
        <f t="shared" si="4"/>
        <v>6.07</v>
      </c>
      <c r="D21" s="525">
        <f t="shared" ref="D21:D24" si="5">B21-C21</f>
        <v>0</v>
      </c>
      <c r="E21" s="927"/>
      <c r="F21" s="928"/>
      <c r="G21" s="928"/>
      <c r="H21" s="929"/>
      <c r="I21" s="556">
        <f>$W$42</f>
        <v>1.0101245902987583</v>
      </c>
      <c r="J21" s="939"/>
      <c r="K21" s="940"/>
      <c r="L21" s="941"/>
      <c r="M21" s="41">
        <f>N21*$I$39</f>
        <v>0</v>
      </c>
      <c r="N21" s="365">
        <f t="shared" ref="N21:N24" si="6">F21-J21</f>
        <v>0</v>
      </c>
      <c r="O21" s="505" t="e">
        <f t="shared" ref="O21:O24" si="7">N21/F21</f>
        <v>#DIV/0!</v>
      </c>
      <c r="P21" s="354">
        <f>N21*(IF(H21="Yes",4,2))</f>
        <v>0</v>
      </c>
      <c r="Q21" s="354">
        <f>P21*$I$39</f>
        <v>0</v>
      </c>
      <c r="R21" s="411">
        <v>251</v>
      </c>
      <c r="S21" s="354">
        <f>P21*R21</f>
        <v>0</v>
      </c>
      <c r="T21" s="354">
        <f>Q21*R21</f>
        <v>0</v>
      </c>
      <c r="U21" s="354">
        <f>T21*$J$48</f>
        <v>0</v>
      </c>
      <c r="V21" s="356">
        <f>T21*$J$43</f>
        <v>0</v>
      </c>
      <c r="W21" s="356">
        <f>T21*$J$44</f>
        <v>0</v>
      </c>
      <c r="X21" s="360">
        <f>$T21*$J$45</f>
        <v>0</v>
      </c>
      <c r="Y21" s="360">
        <f>$T21*$J$46</f>
        <v>0</v>
      </c>
      <c r="Z21" s="65">
        <f>$D$48*S21</f>
        <v>0</v>
      </c>
      <c r="AA21" s="312"/>
      <c r="AB21" s="312"/>
      <c r="AC21" s="312"/>
      <c r="AD21" s="314"/>
      <c r="AE21" s="311"/>
      <c r="AF21" s="311"/>
      <c r="AG21" s="311"/>
      <c r="AH21" s="313"/>
      <c r="AI21" s="312"/>
      <c r="AJ21" s="312"/>
      <c r="AK21" s="31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2"/>
      <c r="AW21" s="114">
        <f>$G$42*'Inputs Worksheet'!U21</f>
        <v>0</v>
      </c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316"/>
      <c r="BI21" s="316"/>
      <c r="BJ21" s="316"/>
      <c r="BK21" s="316"/>
      <c r="BL21" s="316"/>
      <c r="BM21" s="316"/>
      <c r="BN21" s="316"/>
      <c r="BO21" s="316"/>
      <c r="BP21" s="316"/>
      <c r="BQ21" s="316"/>
      <c r="BR21" s="316"/>
      <c r="BS21" s="116"/>
      <c r="BT21" s="34">
        <f>V21*$G$43</f>
        <v>0</v>
      </c>
      <c r="BU21" s="313"/>
      <c r="BV21" s="313"/>
      <c r="BW21" s="313"/>
      <c r="BX21" s="313"/>
      <c r="BY21" s="313"/>
      <c r="BZ21" s="313"/>
      <c r="CA21" s="313"/>
      <c r="CB21" s="313"/>
      <c r="CC21" s="313"/>
      <c r="CD21" s="313"/>
      <c r="CE21" s="317"/>
      <c r="CF21" s="317"/>
      <c r="CG21" s="317"/>
      <c r="CH21" s="317"/>
      <c r="CI21" s="317"/>
      <c r="CJ21" s="317"/>
      <c r="CK21" s="317"/>
      <c r="CL21" s="317"/>
      <c r="CM21" s="317"/>
      <c r="CN21" s="317"/>
      <c r="CO21" s="317"/>
      <c r="CP21" s="313"/>
      <c r="CQ21" s="34">
        <f>W21*$G$44</f>
        <v>0</v>
      </c>
      <c r="CR21" s="313"/>
      <c r="CS21" s="313"/>
      <c r="CT21" s="313"/>
      <c r="CU21" s="313"/>
      <c r="CV21" s="313"/>
      <c r="CW21" s="313"/>
      <c r="CX21" s="313"/>
      <c r="CY21" s="313"/>
      <c r="CZ21" s="313"/>
      <c r="DA21" s="313"/>
      <c r="DB21" s="317"/>
      <c r="DC21" s="317"/>
      <c r="DD21" s="317"/>
      <c r="DE21" s="317"/>
      <c r="DF21" s="317"/>
      <c r="DG21" s="317"/>
      <c r="DH21" s="317"/>
      <c r="DI21" s="317"/>
      <c r="DJ21" s="317"/>
      <c r="DK21" s="317"/>
      <c r="DL21" s="317"/>
      <c r="DM21" s="313"/>
      <c r="DN21" s="312"/>
      <c r="DO21" s="311"/>
      <c r="DP21" s="318"/>
    </row>
    <row r="22" spans="1:135" x14ac:dyDescent="0.25">
      <c r="A22" s="27" t="str">
        <f>A9</f>
        <v>Not Used</v>
      </c>
      <c r="B22" s="524">
        <f t="shared" ref="B22:C22" si="8">B9</f>
        <v>0</v>
      </c>
      <c r="C22" s="525">
        <f t="shared" si="8"/>
        <v>0</v>
      </c>
      <c r="D22" s="525">
        <f t="shared" si="5"/>
        <v>0</v>
      </c>
      <c r="E22" s="927"/>
      <c r="F22" s="928"/>
      <c r="G22" s="928"/>
      <c r="H22" s="929"/>
      <c r="I22" s="556">
        <f t="shared" ref="I22" si="9">$W$42</f>
        <v>1.0101245902987583</v>
      </c>
      <c r="J22" s="939"/>
      <c r="K22" s="940"/>
      <c r="L22" s="941"/>
      <c r="M22" s="41">
        <f>N22*$I$39</f>
        <v>0</v>
      </c>
      <c r="N22" s="365">
        <f t="shared" si="6"/>
        <v>0</v>
      </c>
      <c r="O22" s="505" t="e">
        <f t="shared" si="7"/>
        <v>#DIV/0!</v>
      </c>
      <c r="P22" s="354">
        <f>N22*(IF(H22="Yes",4,2))</f>
        <v>0</v>
      </c>
      <c r="Q22" s="354">
        <f>P22*$I$39</f>
        <v>0</v>
      </c>
      <c r="R22" s="411">
        <v>251</v>
      </c>
      <c r="S22" s="354">
        <f>P22*R22</f>
        <v>0</v>
      </c>
      <c r="T22" s="354">
        <f>Q22*R22</f>
        <v>0</v>
      </c>
      <c r="U22" s="354">
        <f>T22*$J$48</f>
        <v>0</v>
      </c>
      <c r="V22" s="356">
        <f>T22*$J$43</f>
        <v>0</v>
      </c>
      <c r="W22" s="356">
        <f>T22*$J$44</f>
        <v>0</v>
      </c>
      <c r="X22" s="360">
        <f>$T22*$J$45</f>
        <v>0</v>
      </c>
      <c r="Y22" s="360">
        <f>$T22*$J$46</f>
        <v>0</v>
      </c>
      <c r="Z22" s="65">
        <f>$D$48*S22</f>
        <v>0</v>
      </c>
      <c r="AA22" s="26"/>
      <c r="AB22" s="26"/>
      <c r="AC22" s="26"/>
      <c r="AD22" s="44"/>
      <c r="AE22" s="43"/>
      <c r="AF22" s="43"/>
      <c r="AG22" s="38"/>
      <c r="AH22" s="34"/>
      <c r="AI22" s="26"/>
      <c r="AJ22" s="26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26"/>
      <c r="AW22" s="114">
        <f>$G$42*'Inputs Worksheet'!U22</f>
        <v>0</v>
      </c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43"/>
      <c r="BT22" s="34">
        <f>V22*$G$43</f>
        <v>0</v>
      </c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34"/>
      <c r="CQ22" s="34">
        <f>W22*$G$44</f>
        <v>0</v>
      </c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34"/>
      <c r="DN22" s="26"/>
      <c r="DO22" s="38"/>
      <c r="DP22" s="24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D22" s="22"/>
      <c r="EE22" s="22"/>
    </row>
    <row r="23" spans="1:135" x14ac:dyDescent="0.25">
      <c r="A23" s="27" t="str">
        <f>A10</f>
        <v>Name #4</v>
      </c>
      <c r="B23" s="524">
        <f t="shared" ref="B23:C23" si="10">B10</f>
        <v>0</v>
      </c>
      <c r="C23" s="525">
        <f t="shared" si="10"/>
        <v>0</v>
      </c>
      <c r="D23" s="525">
        <f t="shared" si="5"/>
        <v>0</v>
      </c>
      <c r="E23" s="927"/>
      <c r="F23" s="928"/>
      <c r="G23" s="928"/>
      <c r="H23" s="929"/>
      <c r="I23" s="556"/>
      <c r="J23" s="939"/>
      <c r="K23" s="940"/>
      <c r="L23" s="941"/>
      <c r="M23" s="41">
        <f>N23*$I$39</f>
        <v>0</v>
      </c>
      <c r="N23" s="365">
        <f t="shared" si="6"/>
        <v>0</v>
      </c>
      <c r="O23" s="505" t="e">
        <f t="shared" si="7"/>
        <v>#DIV/0!</v>
      </c>
      <c r="P23" s="354">
        <f>N23*(IF(H23="Yes",4,2))</f>
        <v>0</v>
      </c>
      <c r="Q23" s="354">
        <f>P23*$I$39</f>
        <v>0</v>
      </c>
      <c r="R23" s="411">
        <v>251</v>
      </c>
      <c r="S23" s="354">
        <f>P23*R23</f>
        <v>0</v>
      </c>
      <c r="T23" s="354">
        <f>Q23*R23</f>
        <v>0</v>
      </c>
      <c r="U23" s="354">
        <f>T23*$J$48</f>
        <v>0</v>
      </c>
      <c r="V23" s="356">
        <f>T23*$J$43</f>
        <v>0</v>
      </c>
      <c r="W23" s="356">
        <f>T23*$J$44</f>
        <v>0</v>
      </c>
      <c r="X23" s="360">
        <f>$T23*$J$45</f>
        <v>0</v>
      </c>
      <c r="Y23" s="360">
        <f>$T23*$J$46</f>
        <v>0</v>
      </c>
      <c r="Z23" s="65">
        <f>$D$48*S23</f>
        <v>0</v>
      </c>
      <c r="AA23" s="26"/>
      <c r="AB23" s="26"/>
      <c r="AC23" s="26"/>
      <c r="AD23" s="44"/>
      <c r="AE23" s="38"/>
      <c r="AF23" s="38"/>
      <c r="AG23" s="38"/>
      <c r="AH23" s="26"/>
      <c r="AI23" s="26"/>
      <c r="AJ23" s="26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26"/>
      <c r="AW23" s="114">
        <f>$G$42*'Inputs Worksheet'!U23</f>
        <v>0</v>
      </c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8"/>
      <c r="BS23" s="43"/>
      <c r="BT23" s="34">
        <f>V23*$G$43</f>
        <v>0</v>
      </c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34"/>
      <c r="CQ23" s="34">
        <f>W23*$G$44</f>
        <v>0</v>
      </c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34"/>
      <c r="DN23" s="26"/>
      <c r="DO23" s="38"/>
      <c r="DP23" s="24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D23" s="22"/>
      <c r="EE23" s="22"/>
    </row>
    <row r="24" spans="1:135" x14ac:dyDescent="0.25">
      <c r="A24" s="27" t="str">
        <f>A11</f>
        <v>Name #5</v>
      </c>
      <c r="B24" s="524">
        <f t="shared" ref="B24:C24" si="11">B11</f>
        <v>0</v>
      </c>
      <c r="C24" s="525">
        <f t="shared" si="11"/>
        <v>0</v>
      </c>
      <c r="D24" s="525">
        <f t="shared" si="5"/>
        <v>0</v>
      </c>
      <c r="E24" s="930"/>
      <c r="F24" s="931"/>
      <c r="G24" s="931"/>
      <c r="H24" s="932"/>
      <c r="I24" s="556"/>
      <c r="J24" s="942"/>
      <c r="K24" s="943"/>
      <c r="L24" s="944"/>
      <c r="M24" s="41">
        <f>N24*$I$39</f>
        <v>0</v>
      </c>
      <c r="N24" s="365">
        <f t="shared" si="6"/>
        <v>0</v>
      </c>
      <c r="O24" s="505" t="e">
        <f t="shared" si="7"/>
        <v>#DIV/0!</v>
      </c>
      <c r="P24" s="354">
        <f>N24*(IF(H24="Yes",4,2))</f>
        <v>0</v>
      </c>
      <c r="Q24" s="354">
        <f>P24*$I$39</f>
        <v>0</v>
      </c>
      <c r="R24" s="411">
        <v>251</v>
      </c>
      <c r="S24" s="354">
        <f>P24*R24</f>
        <v>0</v>
      </c>
      <c r="T24" s="354">
        <f>Q24*R24</f>
        <v>0</v>
      </c>
      <c r="U24" s="354">
        <f>T24*$J$48</f>
        <v>0</v>
      </c>
      <c r="V24" s="356">
        <f>T24*$J$43</f>
        <v>0</v>
      </c>
      <c r="W24" s="356">
        <f>T24*$J$44</f>
        <v>0</v>
      </c>
      <c r="X24" s="360">
        <f>$T24*$J$45</f>
        <v>0</v>
      </c>
      <c r="Y24" s="360">
        <f>$T24*$J$46</f>
        <v>0</v>
      </c>
      <c r="Z24" s="65">
        <f>$D$48*S24</f>
        <v>0</v>
      </c>
      <c r="AA24" s="26"/>
      <c r="AB24" s="26"/>
      <c r="AC24" s="26"/>
      <c r="AD24" s="44"/>
      <c r="AE24" s="38"/>
      <c r="AF24" s="38"/>
      <c r="AG24" s="38"/>
      <c r="AH24" s="26"/>
      <c r="AI24" s="26"/>
      <c r="AJ24" s="26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26"/>
      <c r="AW24" s="114">
        <f>$G$42*'Inputs Worksheet'!U24</f>
        <v>0</v>
      </c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138"/>
      <c r="BI24" s="138"/>
      <c r="BJ24" s="138"/>
      <c r="BK24" s="138"/>
      <c r="BL24" s="138"/>
      <c r="BM24" s="138"/>
      <c r="BN24" s="138"/>
      <c r="BO24" s="138"/>
      <c r="BP24" s="138"/>
      <c r="BQ24" s="138"/>
      <c r="BR24" s="138"/>
      <c r="BS24" s="43"/>
      <c r="BT24" s="34">
        <f>V24*$G$43</f>
        <v>0</v>
      </c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34"/>
      <c r="CQ24" s="34">
        <f>W24*$G$44</f>
        <v>0</v>
      </c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34"/>
      <c r="DN24" s="26"/>
      <c r="DO24" s="38"/>
      <c r="DP24" s="24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D24" s="22"/>
      <c r="EE24" s="22"/>
    </row>
    <row r="25" spans="1:135" x14ac:dyDescent="0.25">
      <c r="E25" s="21"/>
      <c r="F25" s="45"/>
      <c r="G25" s="22"/>
      <c r="L25" s="351"/>
      <c r="P25" s="22"/>
      <c r="Z25" s="46"/>
      <c r="AD25" s="46"/>
      <c r="AH25" s="22"/>
      <c r="AK25" s="25"/>
      <c r="AO25" s="23"/>
      <c r="AP25" s="24"/>
      <c r="AQ25" s="24"/>
      <c r="AR25" s="24"/>
      <c r="AS25" s="22"/>
      <c r="AT25" s="22"/>
      <c r="AU25" s="22"/>
      <c r="AV25" s="22"/>
      <c r="CE25" s="25"/>
      <c r="CF25" s="25"/>
      <c r="CG25" s="25"/>
      <c r="CH25" s="25"/>
      <c r="DY25" s="22"/>
      <c r="DZ25" s="24"/>
      <c r="EA25" s="24"/>
      <c r="EB25" s="22"/>
      <c r="ED25" s="22"/>
      <c r="EE25" s="22"/>
    </row>
    <row r="26" spans="1:135" x14ac:dyDescent="0.25">
      <c r="E26" s="21"/>
      <c r="F26" s="45"/>
      <c r="G26" s="22"/>
      <c r="L26" s="351"/>
      <c r="P26" s="22"/>
      <c r="Z26" s="46"/>
      <c r="AD26" s="46"/>
      <c r="AH26" s="22"/>
      <c r="AK26" s="25"/>
      <c r="AO26" s="23"/>
      <c r="AP26" s="24"/>
      <c r="AQ26" s="24"/>
      <c r="AR26" s="24"/>
      <c r="AS26" s="22"/>
      <c r="AT26" s="22"/>
      <c r="AU26" s="22"/>
      <c r="AV26" s="22"/>
      <c r="CE26" s="25"/>
      <c r="CF26" s="25"/>
      <c r="CG26" s="25"/>
      <c r="CH26" s="25"/>
      <c r="DY26" s="22"/>
      <c r="DZ26" s="24"/>
      <c r="EA26" s="24"/>
      <c r="EB26" s="22"/>
      <c r="ED26" s="22"/>
      <c r="EE26" s="22"/>
    </row>
    <row r="27" spans="1:135" x14ac:dyDescent="0.25">
      <c r="A27" s="49"/>
      <c r="B27" s="920" t="s">
        <v>219</v>
      </c>
      <c r="C27" s="915"/>
      <c r="D27" s="915"/>
      <c r="E27" s="915"/>
      <c r="F27" s="915"/>
      <c r="G27" s="915"/>
      <c r="H27" s="915"/>
      <c r="I27" s="915"/>
      <c r="J27" s="915"/>
      <c r="K27" s="915"/>
      <c r="L27" s="915"/>
      <c r="M27" s="915"/>
      <c r="N27" s="915"/>
      <c r="O27" s="921" t="s">
        <v>219</v>
      </c>
      <c r="P27" s="915"/>
      <c r="Q27" s="915"/>
      <c r="R27" s="915"/>
      <c r="S27" s="915"/>
      <c r="T27" s="915"/>
      <c r="U27" s="915"/>
      <c r="V27" s="915"/>
      <c r="W27" s="915"/>
      <c r="X27" s="915"/>
      <c r="Y27" s="915"/>
      <c r="Z27" s="915"/>
      <c r="AA27" s="915"/>
      <c r="AB27" s="915"/>
      <c r="AC27" s="915"/>
      <c r="AD27" s="915"/>
      <c r="AE27" s="918"/>
      <c r="AF27" s="959" t="s">
        <v>26</v>
      </c>
      <c r="AG27" s="915"/>
      <c r="AH27" s="915"/>
      <c r="AI27" s="915"/>
      <c r="AJ27" s="915"/>
      <c r="AK27" s="915"/>
      <c r="AL27" s="915"/>
      <c r="AM27" s="915"/>
      <c r="AN27" s="918"/>
      <c r="AO27" s="25"/>
    </row>
    <row r="28" spans="1:135" x14ac:dyDescent="0.25">
      <c r="A28" s="27" t="s">
        <v>44</v>
      </c>
      <c r="B28" s="356"/>
      <c r="C28" s="360"/>
      <c r="D28" s="360"/>
      <c r="E28" s="27"/>
      <c r="F28" s="916" t="s">
        <v>143</v>
      </c>
      <c r="G28" s="915"/>
      <c r="H28" s="918"/>
      <c r="I28" s="914" t="s">
        <v>144</v>
      </c>
      <c r="J28" s="915"/>
      <c r="K28" s="915"/>
      <c r="L28" s="915"/>
      <c r="M28" s="915"/>
      <c r="N28" s="918"/>
      <c r="O28" s="468"/>
      <c r="P28" s="914" t="s">
        <v>144</v>
      </c>
      <c r="Q28" s="915"/>
      <c r="R28" s="915"/>
      <c r="S28" s="915"/>
      <c r="T28" s="915"/>
      <c r="U28" s="915"/>
      <c r="V28" s="915"/>
      <c r="W28" s="915"/>
      <c r="X28" s="915"/>
      <c r="Y28" s="911"/>
      <c r="Z28" s="909" t="s">
        <v>225</v>
      </c>
      <c r="AA28" s="910"/>
      <c r="AB28" s="910"/>
      <c r="AC28" s="910"/>
      <c r="AD28" s="910"/>
      <c r="AE28" s="911"/>
      <c r="AF28" s="122"/>
      <c r="AG28" s="42"/>
      <c r="AH28" s="26"/>
      <c r="AI28" s="26"/>
      <c r="AJ28" s="26"/>
      <c r="AK28" s="26"/>
      <c r="AL28" s="122"/>
      <c r="AM28" s="122"/>
      <c r="AN28" s="26"/>
      <c r="AO28" s="26"/>
      <c r="AP28" s="26"/>
      <c r="AQ28" s="26"/>
      <c r="AR28" s="44"/>
      <c r="AS28" s="38"/>
      <c r="AT28" s="38"/>
      <c r="AU28" s="38"/>
      <c r="AV28" s="26"/>
      <c r="AW28" s="26"/>
      <c r="AX28" s="26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122"/>
      <c r="BW28" s="122"/>
      <c r="BX28" s="122"/>
      <c r="BY28" s="122"/>
      <c r="BZ28" s="122"/>
      <c r="CA28" s="122"/>
      <c r="CB28" s="122"/>
      <c r="CC28" s="122"/>
      <c r="CD28" s="122"/>
      <c r="CE28" s="122"/>
      <c r="CF28" s="122"/>
      <c r="CG28" s="26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140"/>
      <c r="CT28" s="140"/>
      <c r="CU28" s="140"/>
      <c r="CV28" s="140"/>
      <c r="CW28" s="140"/>
      <c r="CX28" s="140"/>
      <c r="CY28" s="140"/>
      <c r="CZ28" s="140"/>
      <c r="DA28" s="140"/>
      <c r="DB28" s="140"/>
      <c r="DC28" s="140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34"/>
      <c r="EB28" s="26"/>
      <c r="EC28" s="115"/>
      <c r="EE28" s="22"/>
    </row>
    <row r="29" spans="1:135" x14ac:dyDescent="0.25">
      <c r="A29" s="531">
        <v>2027</v>
      </c>
      <c r="B29" s="357" t="s">
        <v>154</v>
      </c>
      <c r="C29" s="376" t="s">
        <v>142</v>
      </c>
      <c r="D29" s="379" t="s">
        <v>155</v>
      </c>
      <c r="E29" s="27"/>
      <c r="F29" s="350" t="s">
        <v>213</v>
      </c>
      <c r="G29" s="350"/>
      <c r="H29" s="350"/>
      <c r="I29" s="467"/>
      <c r="J29" s="331" t="s">
        <v>213</v>
      </c>
      <c r="K29" s="32"/>
      <c r="L29" s="466"/>
      <c r="M29" s="466"/>
      <c r="N29" s="40"/>
      <c r="O29" s="914" t="s">
        <v>213</v>
      </c>
      <c r="P29" s="915"/>
      <c r="Q29" s="918"/>
      <c r="R29" s="40"/>
      <c r="S29" s="40"/>
      <c r="T29" s="40"/>
      <c r="U29" s="32"/>
      <c r="V29" s="330"/>
      <c r="W29" s="330"/>
      <c r="X29" s="516"/>
      <c r="Y29" s="32"/>
      <c r="Z29" s="33"/>
      <c r="AA29" s="33"/>
      <c r="AB29" s="33"/>
      <c r="AC29" s="515"/>
      <c r="AD29" s="515"/>
      <c r="AE29" s="513" t="s">
        <v>79</v>
      </c>
      <c r="AF29" s="513"/>
      <c r="AG29" s="513"/>
      <c r="AH29" s="513"/>
      <c r="AI29" s="513"/>
      <c r="AJ29" s="513"/>
      <c r="AK29" s="513"/>
      <c r="AL29" s="513"/>
      <c r="AM29" s="513"/>
      <c r="AN29" s="513"/>
      <c r="AO29" s="513"/>
      <c r="AP29" s="514"/>
      <c r="AQ29" s="514"/>
      <c r="AR29" s="514"/>
      <c r="AS29" s="514"/>
      <c r="AT29" s="514"/>
      <c r="AU29" s="514"/>
      <c r="AV29" s="514"/>
      <c r="AW29" s="520"/>
      <c r="AX29" s="520"/>
      <c r="AY29" s="520"/>
      <c r="AZ29" s="520"/>
      <c r="BA29" s="521"/>
      <c r="BB29" s="510" t="s">
        <v>183</v>
      </c>
      <c r="BC29" s="511"/>
      <c r="BD29" s="511"/>
      <c r="BE29" s="511"/>
      <c r="BF29" s="511"/>
      <c r="BG29" s="511"/>
      <c r="BH29" s="511"/>
      <c r="BI29" s="511"/>
      <c r="BJ29" s="511"/>
      <c r="BK29" s="511"/>
      <c r="BL29" s="511"/>
      <c r="BM29" s="512"/>
      <c r="BN29" s="512"/>
      <c r="BO29" s="512"/>
      <c r="BP29" s="512"/>
      <c r="BQ29" s="512"/>
      <c r="BR29" s="512"/>
      <c r="BS29" s="512"/>
      <c r="BT29" s="508"/>
      <c r="BU29" s="508"/>
      <c r="BV29" s="508"/>
      <c r="BW29" s="508"/>
      <c r="BX29" s="509"/>
      <c r="BY29" s="967" t="s">
        <v>186</v>
      </c>
      <c r="BZ29" s="968"/>
      <c r="CA29" s="968"/>
      <c r="CB29" s="968"/>
      <c r="CC29" s="968"/>
      <c r="CD29" s="968"/>
      <c r="CE29" s="968"/>
      <c r="CF29" s="968"/>
      <c r="CG29" s="968"/>
      <c r="CH29" s="968"/>
      <c r="CI29" s="968"/>
      <c r="CJ29" s="969"/>
      <c r="CK29" s="969"/>
      <c r="CL29" s="969"/>
      <c r="CM29" s="969"/>
      <c r="CN29" s="969"/>
      <c r="CO29" s="969"/>
      <c r="CP29" s="969"/>
      <c r="CQ29" s="969"/>
      <c r="CR29" s="969"/>
      <c r="CS29" s="969"/>
      <c r="CT29" s="969"/>
      <c r="CU29" s="970"/>
      <c r="CV29" s="26"/>
      <c r="CW29" s="115"/>
      <c r="CX29" s="24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D29" s="22"/>
      <c r="EE29" s="22"/>
    </row>
    <row r="30" spans="1:135" x14ac:dyDescent="0.25">
      <c r="A30" s="27"/>
      <c r="B30" s="357"/>
      <c r="C30" s="376"/>
      <c r="D30" s="376"/>
      <c r="E30" s="27"/>
      <c r="F30" s="350" t="s">
        <v>217</v>
      </c>
      <c r="G30" s="350"/>
      <c r="H30" s="350"/>
      <c r="I30" s="495"/>
      <c r="J30" s="330" t="s">
        <v>217</v>
      </c>
      <c r="K30" s="28"/>
      <c r="L30" s="332"/>
      <c r="M30" s="33"/>
      <c r="N30" s="29"/>
      <c r="O30" s="29"/>
      <c r="P30" s="26"/>
      <c r="Q30" s="27"/>
      <c r="R30" s="121"/>
      <c r="S30" s="42"/>
      <c r="T30" s="27"/>
      <c r="U30" s="27"/>
      <c r="V30" s="27"/>
      <c r="W30" s="27"/>
      <c r="X30" s="121"/>
      <c r="Y30" s="12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145"/>
      <c r="AL30" s="145"/>
      <c r="AM30" s="145"/>
      <c r="AN30" s="145"/>
      <c r="AO30" s="145"/>
      <c r="AP30" s="145"/>
      <c r="AQ30" s="145"/>
      <c r="AR30" s="145"/>
      <c r="AS30" s="145"/>
      <c r="AT30" s="254"/>
      <c r="AU30" s="254"/>
      <c r="AV30" s="51"/>
      <c r="AW30" s="52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139"/>
      <c r="BI30" s="139"/>
      <c r="BJ30" s="139"/>
      <c r="BK30" s="139"/>
      <c r="BL30" s="139"/>
      <c r="BM30" s="139"/>
      <c r="BN30" s="139"/>
      <c r="BO30" s="139"/>
      <c r="BP30" s="139"/>
      <c r="BQ30" s="255"/>
      <c r="BR30" s="255"/>
      <c r="BS30" s="54"/>
      <c r="BT30" s="55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142"/>
      <c r="CF30" s="142"/>
      <c r="CG30" s="142"/>
      <c r="CH30" s="142"/>
      <c r="CI30" s="142"/>
      <c r="CJ30" s="142"/>
      <c r="CK30" s="142"/>
      <c r="CL30" s="142"/>
      <c r="CM30" s="142"/>
      <c r="CN30" s="256"/>
      <c r="CO30" s="256"/>
      <c r="CP30" s="57"/>
      <c r="CQ30" s="26"/>
      <c r="CR30" s="115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D30" s="22"/>
      <c r="EE30" s="22"/>
    </row>
    <row r="31" spans="1:135" x14ac:dyDescent="0.25">
      <c r="A31" s="27" t="s">
        <v>156</v>
      </c>
      <c r="B31" s="357"/>
      <c r="C31" s="376"/>
      <c r="D31" s="376"/>
      <c r="E31" s="27"/>
      <c r="F31" s="350" t="s">
        <v>156</v>
      </c>
      <c r="G31" s="350"/>
      <c r="H31" s="350" t="s">
        <v>249</v>
      </c>
      <c r="I31" s="495"/>
      <c r="J31" s="330" t="s">
        <v>156</v>
      </c>
      <c r="K31" s="28"/>
      <c r="L31" s="331" t="s">
        <v>214</v>
      </c>
      <c r="M31" s="33"/>
      <c r="N31" s="29"/>
      <c r="O31" s="29"/>
      <c r="P31" s="26"/>
      <c r="Q31" s="27"/>
      <c r="R31" s="121"/>
      <c r="S31" s="42"/>
      <c r="T31" s="27"/>
      <c r="U31" s="27"/>
      <c r="V31" s="27"/>
      <c r="W31" s="27"/>
      <c r="X31" s="121"/>
      <c r="Y31" s="121"/>
      <c r="Z31" s="51"/>
      <c r="AA31" s="51"/>
      <c r="AB31" s="51"/>
      <c r="AC31" s="51"/>
      <c r="AD31" s="51"/>
      <c r="AE31" s="51"/>
      <c r="AF31" s="51"/>
      <c r="AG31" s="51"/>
      <c r="AH31" s="51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257"/>
      <c r="AU31" s="257"/>
      <c r="AV31" s="51"/>
      <c r="AW31" s="52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139"/>
      <c r="BI31" s="139"/>
      <c r="BJ31" s="139"/>
      <c r="BK31" s="139"/>
      <c r="BL31" s="139"/>
      <c r="BM31" s="139"/>
      <c r="BN31" s="139"/>
      <c r="BO31" s="139"/>
      <c r="BP31" s="139"/>
      <c r="BQ31" s="255"/>
      <c r="BR31" s="255"/>
      <c r="BS31" s="54"/>
      <c r="BT31" s="55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142"/>
      <c r="CF31" s="142"/>
      <c r="CG31" s="142"/>
      <c r="CH31" s="142"/>
      <c r="CI31" s="142"/>
      <c r="CJ31" s="142"/>
      <c r="CK31" s="142"/>
      <c r="CL31" s="142"/>
      <c r="CM31" s="142"/>
      <c r="CN31" s="256"/>
      <c r="CO31" s="256"/>
      <c r="CP31" s="57"/>
      <c r="CQ31" s="26"/>
      <c r="CR31" s="38"/>
      <c r="CS31" s="24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D31" s="22"/>
      <c r="EE31" s="22"/>
    </row>
    <row r="32" spans="1:135" s="21" customFormat="1" x14ac:dyDescent="0.25">
      <c r="B32" s="357"/>
      <c r="C32" s="376"/>
      <c r="D32" s="376"/>
      <c r="E32" s="27"/>
      <c r="F32" s="35"/>
      <c r="G32" s="31"/>
      <c r="H32" s="350" t="s">
        <v>248</v>
      </c>
      <c r="I32" s="330"/>
      <c r="J32" s="330"/>
      <c r="K32" s="32"/>
      <c r="L32" s="366" t="s">
        <v>147</v>
      </c>
      <c r="M32" s="33" t="s">
        <v>28</v>
      </c>
      <c r="N32" s="33" t="s">
        <v>29</v>
      </c>
      <c r="O32" s="33" t="s">
        <v>30</v>
      </c>
      <c r="P32" s="36" t="s">
        <v>31</v>
      </c>
      <c r="Q32" s="27" t="s">
        <v>32</v>
      </c>
      <c r="R32" s="355" t="s">
        <v>140</v>
      </c>
      <c r="S32" s="36" t="s">
        <v>33</v>
      </c>
      <c r="T32" s="27" t="s">
        <v>34</v>
      </c>
      <c r="U32" s="27" t="s">
        <v>116</v>
      </c>
      <c r="V32" s="27" t="s">
        <v>64</v>
      </c>
      <c r="W32" s="27" t="s">
        <v>65</v>
      </c>
      <c r="X32" s="27" t="s">
        <v>172</v>
      </c>
      <c r="Y32" s="27" t="s">
        <v>173</v>
      </c>
      <c r="Z32" s="58">
        <f>$A$29</f>
        <v>2027</v>
      </c>
      <c r="AA32" s="33">
        <f>Z32+1</f>
        <v>2028</v>
      </c>
      <c r="AB32" s="33">
        <f t="shared" ref="AB32:AJ32" si="12">AA32+1</f>
        <v>2029</v>
      </c>
      <c r="AC32" s="33">
        <f t="shared" si="12"/>
        <v>2030</v>
      </c>
      <c r="AD32" s="33">
        <f t="shared" si="12"/>
        <v>2031</v>
      </c>
      <c r="AE32" s="33">
        <f t="shared" si="12"/>
        <v>2032</v>
      </c>
      <c r="AF32" s="33">
        <f t="shared" si="12"/>
        <v>2033</v>
      </c>
      <c r="AG32" s="33">
        <f t="shared" si="12"/>
        <v>2034</v>
      </c>
      <c r="AH32" s="33">
        <f t="shared" si="12"/>
        <v>2035</v>
      </c>
      <c r="AI32" s="33">
        <f t="shared" si="12"/>
        <v>2036</v>
      </c>
      <c r="AJ32" s="33">
        <f t="shared" si="12"/>
        <v>2037</v>
      </c>
      <c r="AK32" s="33">
        <f t="shared" ref="AK32" si="13">AJ32+1</f>
        <v>2038</v>
      </c>
      <c r="AL32" s="33">
        <f t="shared" ref="AL32" si="14">AK32+1</f>
        <v>2039</v>
      </c>
      <c r="AM32" s="33">
        <f t="shared" ref="AM32" si="15">AL32+1</f>
        <v>2040</v>
      </c>
      <c r="AN32" s="33">
        <f t="shared" ref="AN32" si="16">AM32+1</f>
        <v>2041</v>
      </c>
      <c r="AO32" s="33">
        <f t="shared" ref="AO32" si="17">AN32+1</f>
        <v>2042</v>
      </c>
      <c r="AP32" s="33">
        <f t="shared" ref="AP32" si="18">AO32+1</f>
        <v>2043</v>
      </c>
      <c r="AQ32" s="33">
        <f t="shared" ref="AQ32" si="19">AP32+1</f>
        <v>2044</v>
      </c>
      <c r="AR32" s="33">
        <f t="shared" ref="AR32" si="20">AQ32+1</f>
        <v>2045</v>
      </c>
      <c r="AS32" s="33">
        <f>AR32+1</f>
        <v>2046</v>
      </c>
      <c r="AT32" s="33">
        <f t="shared" ref="AT32:AU32" si="21">AS32+1</f>
        <v>2047</v>
      </c>
      <c r="AU32" s="33">
        <f t="shared" si="21"/>
        <v>2048</v>
      </c>
      <c r="AV32" s="33" t="s">
        <v>45</v>
      </c>
      <c r="AW32" s="59">
        <f>$A$29</f>
        <v>2027</v>
      </c>
      <c r="AX32" s="60">
        <f>AW32+1</f>
        <v>2028</v>
      </c>
      <c r="AY32" s="60">
        <f t="shared" ref="AY32:BF32" si="22">AX32+1</f>
        <v>2029</v>
      </c>
      <c r="AZ32" s="60">
        <f t="shared" si="22"/>
        <v>2030</v>
      </c>
      <c r="BA32" s="60">
        <f t="shared" si="22"/>
        <v>2031</v>
      </c>
      <c r="BB32" s="60">
        <f t="shared" si="22"/>
        <v>2032</v>
      </c>
      <c r="BC32" s="60">
        <f t="shared" si="22"/>
        <v>2033</v>
      </c>
      <c r="BD32" s="60">
        <f t="shared" si="22"/>
        <v>2034</v>
      </c>
      <c r="BE32" s="60">
        <f t="shared" si="22"/>
        <v>2035</v>
      </c>
      <c r="BF32" s="60">
        <f t="shared" si="22"/>
        <v>2036</v>
      </c>
      <c r="BG32" s="60">
        <f>BF32+1</f>
        <v>2037</v>
      </c>
      <c r="BH32" s="60">
        <f t="shared" ref="BH32:BI32" si="23">BG32+1</f>
        <v>2038</v>
      </c>
      <c r="BI32" s="60">
        <f t="shared" si="23"/>
        <v>2039</v>
      </c>
      <c r="BJ32" s="60">
        <f t="shared" ref="BJ32:BK32" si="24">BI32+1</f>
        <v>2040</v>
      </c>
      <c r="BK32" s="60">
        <f t="shared" si="24"/>
        <v>2041</v>
      </c>
      <c r="BL32" s="60">
        <f t="shared" ref="BL32:BM32" si="25">BK32+1</f>
        <v>2042</v>
      </c>
      <c r="BM32" s="60">
        <f t="shared" si="25"/>
        <v>2043</v>
      </c>
      <c r="BN32" s="60">
        <f t="shared" ref="BN32:BO32" si="26">BM32+1</f>
        <v>2044</v>
      </c>
      <c r="BO32" s="60">
        <f t="shared" si="26"/>
        <v>2045</v>
      </c>
      <c r="BP32" s="60">
        <f t="shared" ref="BP32" si="27">BO32+1</f>
        <v>2046</v>
      </c>
      <c r="BQ32" s="60">
        <f t="shared" ref="BQ32" si="28">BP32+1</f>
        <v>2047</v>
      </c>
      <c r="BR32" s="60">
        <f t="shared" ref="BR32" si="29">BQ32+1</f>
        <v>2048</v>
      </c>
      <c r="BS32" s="60" t="s">
        <v>45</v>
      </c>
      <c r="BT32" s="63">
        <f>$A$29</f>
        <v>2027</v>
      </c>
      <c r="BU32" s="64">
        <f>BT32+1</f>
        <v>2028</v>
      </c>
      <c r="BV32" s="64">
        <f t="shared" ref="BV32:CC32" si="30">BU32+1</f>
        <v>2029</v>
      </c>
      <c r="BW32" s="64">
        <f t="shared" si="30"/>
        <v>2030</v>
      </c>
      <c r="BX32" s="64">
        <f t="shared" si="30"/>
        <v>2031</v>
      </c>
      <c r="BY32" s="64">
        <f t="shared" si="30"/>
        <v>2032</v>
      </c>
      <c r="BZ32" s="64">
        <f t="shared" si="30"/>
        <v>2033</v>
      </c>
      <c r="CA32" s="64">
        <f t="shared" si="30"/>
        <v>2034</v>
      </c>
      <c r="CB32" s="64">
        <f t="shared" si="30"/>
        <v>2035</v>
      </c>
      <c r="CC32" s="64">
        <f t="shared" si="30"/>
        <v>2036</v>
      </c>
      <c r="CD32" s="64">
        <f>CC32+1</f>
        <v>2037</v>
      </c>
      <c r="CE32" s="64">
        <f t="shared" ref="CE32:CF32" si="31">CD32+1</f>
        <v>2038</v>
      </c>
      <c r="CF32" s="64">
        <f t="shared" si="31"/>
        <v>2039</v>
      </c>
      <c r="CG32" s="64">
        <f t="shared" ref="CG32:CH32" si="32">CF32+1</f>
        <v>2040</v>
      </c>
      <c r="CH32" s="64">
        <f t="shared" si="32"/>
        <v>2041</v>
      </c>
      <c r="CI32" s="64">
        <f t="shared" ref="CI32:CJ32" si="33">CH32+1</f>
        <v>2042</v>
      </c>
      <c r="CJ32" s="64">
        <f t="shared" si="33"/>
        <v>2043</v>
      </c>
      <c r="CK32" s="64">
        <f t="shared" ref="CK32:CL32" si="34">CJ32+1</f>
        <v>2044</v>
      </c>
      <c r="CL32" s="64">
        <f t="shared" si="34"/>
        <v>2045</v>
      </c>
      <c r="CM32" s="64">
        <f t="shared" ref="CM32" si="35">CL32+1</f>
        <v>2046</v>
      </c>
      <c r="CN32" s="64">
        <f t="shared" ref="CN32" si="36">CM32+1</f>
        <v>2047</v>
      </c>
      <c r="CO32" s="64">
        <f t="shared" ref="CO32" si="37">CN32+1</f>
        <v>2048</v>
      </c>
      <c r="CP32" s="64" t="s">
        <v>45</v>
      </c>
      <c r="CQ32" s="27"/>
      <c r="CR32" s="27"/>
    </row>
    <row r="33" spans="1:139" ht="15" customHeight="1" x14ac:dyDescent="0.25">
      <c r="A33" s="27" t="str">
        <f>A7</f>
        <v>Not Used</v>
      </c>
      <c r="B33" s="524">
        <f>B7</f>
        <v>0</v>
      </c>
      <c r="C33" s="525">
        <f>C7</f>
        <v>0</v>
      </c>
      <c r="D33" s="525">
        <f>B33-C33</f>
        <v>0</v>
      </c>
      <c r="E33" s="39"/>
      <c r="F33" s="340" t="s">
        <v>120</v>
      </c>
      <c r="G33" s="340"/>
      <c r="H33" s="497" t="s">
        <v>149</v>
      </c>
      <c r="I33" s="330"/>
      <c r="J33" s="519" t="s">
        <v>120</v>
      </c>
      <c r="K33" s="519"/>
      <c r="L33" s="496" t="s">
        <v>148</v>
      </c>
      <c r="M33" s="41" t="e">
        <f>N33*$I$39</f>
        <v>#VALUE!</v>
      </c>
      <c r="N33" s="41" t="e">
        <f>N7-(N7*$W41^($A$29-$A$3))+N7</f>
        <v>#VALUE!</v>
      </c>
      <c r="O33" s="341" t="s">
        <v>120</v>
      </c>
      <c r="P33" s="42" t="e">
        <f>N33*(IF(H33="Yes",4,2))</f>
        <v>#VALUE!</v>
      </c>
      <c r="Q33" s="42" t="e">
        <f>P33*$I$39</f>
        <v>#VALUE!</v>
      </c>
      <c r="R33" s="411">
        <v>251</v>
      </c>
      <c r="S33" s="945" t="s">
        <v>489</v>
      </c>
      <c r="T33" s="946"/>
      <c r="U33" s="946"/>
      <c r="V33" s="946"/>
      <c r="W33" s="946"/>
      <c r="X33" s="946"/>
      <c r="Y33" s="947"/>
      <c r="Z33" s="65" t="e">
        <f>'Inputs Worksheet'!$D$48*'Inputs Worksheet'!$S$33</f>
        <v>#VALUE!</v>
      </c>
      <c r="AA33" s="65" t="e">
        <f>$D$48*($S$33+5974*0.4)</f>
        <v>#VALUE!</v>
      </c>
      <c r="AB33" s="65" t="e">
        <f>$D$48*($S$33+5974*0.4+5974*0.5)</f>
        <v>#VALUE!</v>
      </c>
      <c r="AC33" s="65" t="e">
        <f>$D$48*($S$33+5974*0.4+5974*0.5+5974*0.6)</f>
        <v>#VALUE!</v>
      </c>
      <c r="AD33" s="65" t="e">
        <f>$D$48*($S$33+5974*0.4+5924*0.5+5974*0.6+5974+0.7)</f>
        <v>#VALUE!</v>
      </c>
      <c r="AE33" s="65" t="e">
        <f>$D$48*($S$33+5974*0.4+5974*0.5+5924*0.6+5974*0.7+5974*0.8)</f>
        <v>#VALUE!</v>
      </c>
      <c r="AF33" s="65" t="e">
        <f>$D$48*($S$33+5974*0.4+5974*0.5+5974*0.6+5974*0.7+5974*0.8+5974*0.9)</f>
        <v>#VALUE!</v>
      </c>
      <c r="AG33" s="65" t="e">
        <f>$D$48*($S$33+5974*0.4+5974*0.5+5974*0.6+5974*0.7+5974*0.8+5974*0.9+5974*1)</f>
        <v>#VALUE!</v>
      </c>
      <c r="AH33" s="65" t="e">
        <f>$D$48*($S$33+5974*0.4+5974*0.5+5974*0.6+5974*0.7+5974*0.8+5974*0.9+5974*1+5974*1.1)</f>
        <v>#VALUE!</v>
      </c>
      <c r="AI33" s="65" t="e">
        <f>$D$48*($S$33+5974*0.4+5974*0.5+5974*0.6+5974*0.7+5974*0.8+5974*0.9+5974*1+5974*1.1+5974*1.2)</f>
        <v>#VALUE!</v>
      </c>
      <c r="AJ33" s="65" t="e">
        <f>$D$48*($S$33+5974*0.4+5924*0.5+5974*0.6+5974*0.7+5974*0.8+5974*0.9+5974*1+5974*1.1+5974*1.2+5974*1.3)</f>
        <v>#VALUE!</v>
      </c>
      <c r="AK33" s="65" t="e">
        <f>$D$48*($S$33+5974*0.4+5924*0.5+5974*0.6+5974*0.7+5974*0.8+5974*0.9+5974*1+5974*1.1+5974*1.2+5974*1.3+5974*1.4)</f>
        <v>#VALUE!</v>
      </c>
      <c r="AL33" s="65" t="e">
        <f>$D$48*($S$33+5974*0.4+5924*0.5+5974*0.6+5974*0.7+5974*0.8+5974*0.9+5974*1+5974*1.1+5974*1.2+5974*1.3+5974*1.4+5974*1.5)</f>
        <v>#VALUE!</v>
      </c>
      <c r="AM33" s="65" t="e">
        <f>$D$48*($S$33+5974*0.4+5924*0.5+5974*0.6+5974*0.7+5974*0.8+5974*0.9+5974*1+5974*1.1+5974*1.2+5974*1.3+5974*1.4+5974*1.5+5974*1.6)</f>
        <v>#VALUE!</v>
      </c>
      <c r="AN33" s="65" t="e">
        <f>$D$48*($S$33+5974*0.4+5974*0.5+5974*0.6+5974*0.7+5974*0.8+5974*0.9+5974*1+5974*1.1+5974*1.2+5974*1.3+5974*1.4+5974*1.5+5974*1.6+5974*1.7)</f>
        <v>#VALUE!</v>
      </c>
      <c r="AO33" s="65" t="e">
        <f>$D$48*($S$33+5974*0.4+5974*0.5+5974*0.6+5974*0.7+5974*0.8+5974*0.9+5974*1+5974*1.1+5974*1.2+5974*1.3+5974*1.4+5974*1.5+5974*1.6+5974*1.7+5974*1.8)</f>
        <v>#VALUE!</v>
      </c>
      <c r="AP33" s="65" t="e">
        <f>$D$48*($S$33+5974*0.4+5974*0.5+5974*0.6+5974*0.7+5974*0.8+5974*0.9+5974*1+5974*1.1+5974*1.2+5974*1.3+5974*1.4+5974*1.5+5974*1.6+5974*1.7+5974*1.8+5974*1.9)</f>
        <v>#VALUE!</v>
      </c>
      <c r="AQ33" s="65" t="e">
        <f>$D$48*S20</f>
        <v>#VALUE!</v>
      </c>
      <c r="AR33" s="65" t="e">
        <f>$D$48*($S$33+5974*0.4+5974*0.5+5974*0.6+5974*0.7+5974*0.8+5974*0.9+5974*1+5974*1.1+5974*1.2+5974*1.3+5974*1.4+5974*1.5+5974*1.6+5974*1.7+5974*1.8+5974*1.9+5974*2+5974*2.1)</f>
        <v>#VALUE!</v>
      </c>
      <c r="AS33" s="65" t="e">
        <f>$D$48*($S$33+5974*0.4+5974*0.5+5974*0.6+5974*0.7+5974*0.8+5974*0.9+5974*1+5974*1.1+5974*1.2+5974*1.3+5974*1.4+5974*1.5+5974*1.6+5974*1.7+5974*1.8+5974*1.9+5974*2+5974*2.1+5974*2.2)</f>
        <v>#VALUE!</v>
      </c>
      <c r="AT33" s="65"/>
      <c r="AU33" s="65"/>
      <c r="AV33" s="65" t="e">
        <f>AVERAGE(Z33:AU33)</f>
        <v>#VALUE!</v>
      </c>
      <c r="AW33" s="66">
        <f>$AW$70*'Inputs Worksheet'!$U33</f>
        <v>0</v>
      </c>
      <c r="AX33" s="66" t="e">
        <f>($AA$33/$D$48)*$I$39*$J$48*$AX$70</f>
        <v>#VALUE!</v>
      </c>
      <c r="AY33" s="66" t="e">
        <f>(AB$33/$D$48)*$I$39*$J$48*AY70</f>
        <v>#VALUE!</v>
      </c>
      <c r="AZ33" s="66" t="e">
        <f>(AC$33/$D$48)*$I$39*$J$48*AZ70</f>
        <v>#VALUE!</v>
      </c>
      <c r="BA33" s="66" t="e">
        <f>(AD$33/$D$48)*$I$39*$J$48*BA70</f>
        <v>#VALUE!</v>
      </c>
      <c r="BB33" s="66" t="e">
        <f t="shared" ref="BB33:BP33" si="38">(AE$33/$D$48)*$I$39*$J$48*BB70</f>
        <v>#VALUE!</v>
      </c>
      <c r="BC33" s="66" t="e">
        <f t="shared" si="38"/>
        <v>#VALUE!</v>
      </c>
      <c r="BD33" s="66" t="e">
        <f t="shared" si="38"/>
        <v>#VALUE!</v>
      </c>
      <c r="BE33" s="66" t="e">
        <f t="shared" si="38"/>
        <v>#VALUE!</v>
      </c>
      <c r="BF33" s="66" t="e">
        <f t="shared" si="38"/>
        <v>#VALUE!</v>
      </c>
      <c r="BG33" s="66" t="e">
        <f t="shared" si="38"/>
        <v>#VALUE!</v>
      </c>
      <c r="BH33" s="66" t="e">
        <f t="shared" si="38"/>
        <v>#VALUE!</v>
      </c>
      <c r="BI33" s="66" t="e">
        <f t="shared" si="38"/>
        <v>#VALUE!</v>
      </c>
      <c r="BJ33" s="66" t="e">
        <f t="shared" si="38"/>
        <v>#VALUE!</v>
      </c>
      <c r="BK33" s="66" t="e">
        <f t="shared" si="38"/>
        <v>#VALUE!</v>
      </c>
      <c r="BL33" s="66" t="e">
        <f t="shared" si="38"/>
        <v>#VALUE!</v>
      </c>
      <c r="BM33" s="66" t="e">
        <f t="shared" si="38"/>
        <v>#VALUE!</v>
      </c>
      <c r="BN33" s="66" t="e">
        <f t="shared" si="38"/>
        <v>#VALUE!</v>
      </c>
      <c r="BO33" s="66" t="e">
        <f t="shared" si="38"/>
        <v>#VALUE!</v>
      </c>
      <c r="BP33" s="66" t="e">
        <f t="shared" si="38"/>
        <v>#VALUE!</v>
      </c>
      <c r="BQ33" s="66"/>
      <c r="BR33" s="66"/>
      <c r="BS33" s="66" t="e">
        <f>AVERAGE(AW33:BR33)</f>
        <v>#VALUE!</v>
      </c>
      <c r="BT33" s="67">
        <f>W33*AW73</f>
        <v>0</v>
      </c>
      <c r="BU33" s="543" t="e">
        <f>($AA$33/$D$48)*$I$39*$J$44*AX73</f>
        <v>#VALUE!</v>
      </c>
      <c r="BV33" s="543" t="e">
        <f t="shared" ref="BV33:CM33" si="39">(AB$33/$D$48)*$I$39*$J$44*AY73</f>
        <v>#VALUE!</v>
      </c>
      <c r="BW33" s="543" t="e">
        <f t="shared" si="39"/>
        <v>#VALUE!</v>
      </c>
      <c r="BX33" s="543" t="e">
        <f t="shared" si="39"/>
        <v>#VALUE!</v>
      </c>
      <c r="BY33" s="543" t="e">
        <f t="shared" si="39"/>
        <v>#VALUE!</v>
      </c>
      <c r="BZ33" s="543" t="e">
        <f t="shared" si="39"/>
        <v>#VALUE!</v>
      </c>
      <c r="CA33" s="543" t="e">
        <f t="shared" si="39"/>
        <v>#VALUE!</v>
      </c>
      <c r="CB33" s="543" t="e">
        <f t="shared" si="39"/>
        <v>#VALUE!</v>
      </c>
      <c r="CC33" s="543" t="e">
        <f t="shared" si="39"/>
        <v>#VALUE!</v>
      </c>
      <c r="CD33" s="543" t="e">
        <f t="shared" si="39"/>
        <v>#VALUE!</v>
      </c>
      <c r="CE33" s="543" t="e">
        <f t="shared" si="39"/>
        <v>#VALUE!</v>
      </c>
      <c r="CF33" s="543" t="e">
        <f t="shared" si="39"/>
        <v>#VALUE!</v>
      </c>
      <c r="CG33" s="543" t="e">
        <f t="shared" si="39"/>
        <v>#VALUE!</v>
      </c>
      <c r="CH33" s="543" t="e">
        <f t="shared" si="39"/>
        <v>#VALUE!</v>
      </c>
      <c r="CI33" s="543" t="e">
        <f t="shared" si="39"/>
        <v>#VALUE!</v>
      </c>
      <c r="CJ33" s="543" t="e">
        <f t="shared" si="39"/>
        <v>#VALUE!</v>
      </c>
      <c r="CK33" s="543" t="e">
        <f t="shared" si="39"/>
        <v>#VALUE!</v>
      </c>
      <c r="CL33" s="543" t="e">
        <f t="shared" si="39"/>
        <v>#VALUE!</v>
      </c>
      <c r="CM33" s="543" t="e">
        <f t="shared" si="39"/>
        <v>#VALUE!</v>
      </c>
      <c r="CN33" s="543"/>
      <c r="CO33" s="543"/>
      <c r="CP33" s="67" t="e">
        <f>AVERAGE(BT33:CO33)</f>
        <v>#VALUE!</v>
      </c>
      <c r="CQ33" s="38"/>
      <c r="CR33" s="38"/>
      <c r="CS33" s="24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D33" s="22"/>
      <c r="EE33" s="22"/>
    </row>
    <row r="34" spans="1:139" s="168" customFormat="1" ht="15" customHeight="1" x14ac:dyDescent="0.25">
      <c r="A34" s="27" t="str">
        <f>A8</f>
        <v>I-205 Corridor Widening: Stafford Road to OR43</v>
      </c>
      <c r="B34" s="524">
        <f t="shared" ref="B34:C34" si="40">B8</f>
        <v>6.07</v>
      </c>
      <c r="C34" s="525">
        <f t="shared" si="40"/>
        <v>6.07</v>
      </c>
      <c r="D34" s="525">
        <f t="shared" ref="D34:D37" si="41">B34-C34</f>
        <v>0</v>
      </c>
      <c r="E34" s="39"/>
      <c r="F34" s="340" t="s">
        <v>120</v>
      </c>
      <c r="G34" s="340"/>
      <c r="H34" s="497" t="s">
        <v>149</v>
      </c>
      <c r="I34" s="492"/>
      <c r="J34" s="519" t="s">
        <v>120</v>
      </c>
      <c r="K34" s="519"/>
      <c r="L34" s="496" t="s">
        <v>149</v>
      </c>
      <c r="M34" s="41">
        <f>N34*$I$39</f>
        <v>0</v>
      </c>
      <c r="N34" s="41">
        <f>N8*$W42^($A$29-$A$3)</f>
        <v>0</v>
      </c>
      <c r="O34" s="341" t="s">
        <v>120</v>
      </c>
      <c r="P34" s="42">
        <f>N34*(IF(H34="Yes",4,2))</f>
        <v>0</v>
      </c>
      <c r="Q34" s="42">
        <f>P34*$I$39</f>
        <v>0</v>
      </c>
      <c r="R34" s="411">
        <v>251</v>
      </c>
      <c r="S34" s="948"/>
      <c r="T34" s="949"/>
      <c r="U34" s="949"/>
      <c r="V34" s="949"/>
      <c r="W34" s="949"/>
      <c r="X34" s="949"/>
      <c r="Y34" s="950"/>
      <c r="Z34" s="65">
        <v>16692724.398539398</v>
      </c>
      <c r="AA34" s="65">
        <v>16692724.398539398</v>
      </c>
      <c r="AB34" s="65">
        <v>16692724.398539398</v>
      </c>
      <c r="AC34" s="65">
        <v>16692724.398539398</v>
      </c>
      <c r="AD34" s="65">
        <v>16692724.398539398</v>
      </c>
      <c r="AE34" s="65">
        <v>16692724.398539398</v>
      </c>
      <c r="AF34" s="65">
        <v>16692724.398539398</v>
      </c>
      <c r="AG34" s="65">
        <v>16692724.398539398</v>
      </c>
      <c r="AH34" s="65">
        <v>16692724.398539398</v>
      </c>
      <c r="AI34" s="65">
        <v>16692724.398539398</v>
      </c>
      <c r="AJ34" s="65">
        <v>16692724.398539398</v>
      </c>
      <c r="AK34" s="65">
        <v>16692724.398539398</v>
      </c>
      <c r="AL34" s="65">
        <v>16692724.398539398</v>
      </c>
      <c r="AM34" s="65">
        <v>16692724.398539398</v>
      </c>
      <c r="AN34" s="65">
        <v>16692724.398539398</v>
      </c>
      <c r="AO34" s="65">
        <v>16692724.398539398</v>
      </c>
      <c r="AP34" s="65">
        <v>16692724.398539398</v>
      </c>
      <c r="AQ34" s="65">
        <v>16692724.398539398</v>
      </c>
      <c r="AR34" s="65">
        <v>16692724.398539398</v>
      </c>
      <c r="AS34" s="65">
        <v>16692724.398539398</v>
      </c>
      <c r="AT34" s="65"/>
      <c r="AU34" s="65"/>
      <c r="AV34" s="65">
        <f>AVERAGE(Z34:AU34)</f>
        <v>16692724.3985394</v>
      </c>
      <c r="AW34" s="66">
        <f>AW70*($J$48*'VHD Savings'!F56)*251</f>
        <v>187052.9204829571</v>
      </c>
      <c r="AX34" s="66">
        <f>AX70*($J$48*'VHD Savings'!G56)*251</f>
        <v>195052.8140869418</v>
      </c>
      <c r="AY34" s="66">
        <f>AY70*($J$48*'VHD Savings'!H56)*251</f>
        <v>200449.97542162245</v>
      </c>
      <c r="AZ34" s="66">
        <f>AZ70*($J$48*'VHD Savings'!I56)*251</f>
        <v>209426.8987430289</v>
      </c>
      <c r="BA34" s="66">
        <f>BA70*($J$48*'VHD Savings'!J56)*251</f>
        <v>215038.78124216525</v>
      </c>
      <c r="BB34" s="66">
        <f>BB70*($J$48*'VHD Savings'!K56)*251</f>
        <v>220742.99582729285</v>
      </c>
      <c r="BC34" s="66">
        <f>BC70*($J$48*'VHD Savings'!L56)*251</f>
        <v>226540.9002831243</v>
      </c>
      <c r="BD34" s="66">
        <f>BD70*($J$48*'VHD Savings'!M56)*251</f>
        <v>232433.87159304629</v>
      </c>
      <c r="BE34" s="66">
        <f>BE70*($J$48*'VHD Savings'!N56)*251</f>
        <v>238423.30620597486</v>
      </c>
      <c r="BF34" s="66">
        <f>BF70*($J$48*'VHD Savings'!O56)*251</f>
        <v>244510.62030688449</v>
      </c>
      <c r="BG34" s="66">
        <f>BG70*($J$48*'VHD Savings'!P56)*251</f>
        <v>250697.25009106292</v>
      </c>
      <c r="BH34" s="66">
        <f>BH70*($J$48*'VHD Savings'!Q56)*251</f>
        <v>260763.83810158464</v>
      </c>
      <c r="BI34" s="66">
        <f>BI70*($J$48*'VHD Savings'!R56)*251</f>
        <v>267191.3221011117</v>
      </c>
      <c r="BJ34" s="66">
        <f>BJ70*($J$48*'VHD Savings'!S56)*251</f>
        <v>273722.95439507446</v>
      </c>
      <c r="BK34" s="66">
        <f>BK70*($J$48*'VHD Savings'!T56)*251</f>
        <v>280360.25848341489</v>
      </c>
      <c r="BL34" s="66">
        <f>BL70*($J$48*'VHD Savings'!U56)*251</f>
        <v>287104.77935619169</v>
      </c>
      <c r="BM34" s="66">
        <f>BM70*($J$48*'VHD Savings'!V56)*251</f>
        <v>293958.08379187592</v>
      </c>
      <c r="BN34" s="66">
        <f>BN70*($J$48*'VHD Savings'!W56)*251</f>
        <v>300921.7606597495</v>
      </c>
      <c r="BO34" s="66">
        <f>BO70*($J$48*'VHD Savings'!X56)*251</f>
        <v>312050.01887418056</v>
      </c>
      <c r="BP34" s="66">
        <f>BP70*($J$48*'VHD Savings'!Y56)*251</f>
        <v>319280.03322612558</v>
      </c>
      <c r="BQ34" s="66"/>
      <c r="BR34" s="66"/>
      <c r="BS34" s="66">
        <f>AVERAGE(AW34:BR34)</f>
        <v>250786.16916367048</v>
      </c>
      <c r="BT34" s="543">
        <f>($J$44*'VHD Savings'!F56*251)*AW73</f>
        <v>108616.91691691308</v>
      </c>
      <c r="BU34" s="543">
        <f>(($J$44*'VHD Savings'!F56*251)*($W$42^(BU32-2025)))*AX73</f>
        <v>113984.98321312523</v>
      </c>
      <c r="BV34" s="543">
        <f>(($J$44*'VHD Savings'!G56*251)*($W$42^(BV32-2025)))*AY73</f>
        <v>120063.3094972446</v>
      </c>
      <c r="BW34" s="543">
        <f>(($J$44*'VHD Savings'!H56*251)*($W$42^(BW32-2025)))*AZ73</f>
        <v>124634.71958461961</v>
      </c>
      <c r="BX34" s="543">
        <f>(($J$44*'VHD Savings'!I56*251)*($W$42^(BX32-2025)))*BA73</f>
        <v>129342.48484139025</v>
      </c>
      <c r="BY34" s="543">
        <f>(($J$44*'VHD Savings'!J56*251)*($W$42^(BY32-2025)))*BB73</f>
        <v>134935.8023960391</v>
      </c>
      <c r="BZ34" s="543">
        <f>(($J$44*'VHD Savings'!K56*251)*($W$42^(BZ32-2025)))*BC73</f>
        <v>137660.84384862494</v>
      </c>
      <c r="CA34" s="543">
        <f>(($J$44*'VHD Savings'!L56*251)*($W$42^(CA32-2025)))*BD73</f>
        <v>140441.73978896829</v>
      </c>
      <c r="CB34" s="543">
        <f>(($J$44*'VHD Savings'!M56*251)*($W$42^(CB32-2025)))*BE73</f>
        <v>143279.6506984843</v>
      </c>
      <c r="CC34" s="543">
        <f>(($J$44*'VHD Savings'!N56*251)*($W$42^(CC32-2025)))*BF73</f>
        <v>146175.76146591714</v>
      </c>
      <c r="CD34" s="543">
        <f>(($J$44*'VHD Savings'!O56*251)*($W$42^(CD32-2025)))*BG73</f>
        <v>149131.28190626146</v>
      </c>
      <c r="CE34" s="543">
        <f>(($J$44*'VHD Savings'!P56*251)*($W$42^(CE32-2025)))*BH73</f>
        <v>152147.44729082179</v>
      </c>
      <c r="CF34" s="543">
        <f>(($J$44*'VHD Savings'!Q56*251)*($W$42^(CF32-2025)))*BI73</f>
        <v>155225.51888865032</v>
      </c>
      <c r="CG34" s="543">
        <f>(($J$44*'VHD Savings'!R56*251)*($W$42^(CG32-2025)))*BJ73</f>
        <v>158366.78451961055</v>
      </c>
      <c r="CH34" s="543">
        <f>(($J$44*'VHD Savings'!S56*251)*($W$42^(CH32-2025)))*BK73</f>
        <v>161572.55911931748</v>
      </c>
      <c r="CI34" s="543">
        <f>(($J$44*'VHD Savings'!T56*251)*($W$42^(CI32-2025)))*BL73</f>
        <v>164844.18531621151</v>
      </c>
      <c r="CJ34" s="543">
        <f>(($J$44*'VHD Savings'!U56*251)*($W$42^(CJ32-2025)))*BM73</f>
        <v>168183.03402102945</v>
      </c>
      <c r="CK34" s="543">
        <f>(($J$44*'VHD Savings'!V56*251)*($W$42^(CK32-2025)))*BN73</f>
        <v>171590.50502894065</v>
      </c>
      <c r="CL34" s="543">
        <f>(($J$44*'VHD Savings'!W56*251)*($W$42^(CL32-2025)))*BO73</f>
        <v>175068.02763462259</v>
      </c>
      <c r="CM34" s="543">
        <f>(($J$44*'VHD Savings'!X56*251)*($W$42^(CM32-2025)))*BP73</f>
        <v>178617.0612605561</v>
      </c>
      <c r="CN34" s="543"/>
      <c r="CO34" s="543"/>
      <c r="CP34" s="67">
        <f>AVERAGE(BT34:CO34)</f>
        <v>146694.13086186739</v>
      </c>
      <c r="CQ34" s="311"/>
      <c r="CR34" s="311"/>
      <c r="CS34" s="318"/>
    </row>
    <row r="35" spans="1:139" ht="15" customHeight="1" x14ac:dyDescent="0.25">
      <c r="A35" s="27" t="str">
        <f>A9</f>
        <v>Not Used</v>
      </c>
      <c r="B35" s="524">
        <f t="shared" ref="B35:C35" si="42">B9</f>
        <v>0</v>
      </c>
      <c r="C35" s="525">
        <f t="shared" si="42"/>
        <v>0</v>
      </c>
      <c r="D35" s="525">
        <f t="shared" si="41"/>
        <v>0</v>
      </c>
      <c r="E35" s="39"/>
      <c r="F35" s="340" t="s">
        <v>120</v>
      </c>
      <c r="G35" s="340"/>
      <c r="H35" s="497" t="s">
        <v>149</v>
      </c>
      <c r="I35" s="492"/>
      <c r="J35" s="519" t="s">
        <v>120</v>
      </c>
      <c r="K35" s="519"/>
      <c r="L35" s="496" t="s">
        <v>148</v>
      </c>
      <c r="M35" s="41" t="e">
        <f>N35*$I$39</f>
        <v>#DIV/0!</v>
      </c>
      <c r="N35" s="41" t="e">
        <f>N9*$W43^($A$29-$A$3)</f>
        <v>#DIV/0!</v>
      </c>
      <c r="O35" s="341" t="s">
        <v>120</v>
      </c>
      <c r="P35" s="42" t="e">
        <f>N35*(IF(H35="Yes",4,2))</f>
        <v>#DIV/0!</v>
      </c>
      <c r="Q35" s="42" t="e">
        <f>P35*$I$39</f>
        <v>#DIV/0!</v>
      </c>
      <c r="R35" s="411">
        <v>251</v>
      </c>
      <c r="S35" s="948"/>
      <c r="T35" s="949"/>
      <c r="U35" s="949"/>
      <c r="V35" s="949"/>
      <c r="W35" s="949"/>
      <c r="X35" s="949"/>
      <c r="Y35" s="950"/>
      <c r="Z35" s="65">
        <f>'Inputs Worksheet'!$D$48*'Inputs Worksheet'!S35</f>
        <v>0</v>
      </c>
      <c r="AA35" s="65" t="e">
        <f t="shared" ref="AA35:AS35" si="43">Z35*$W$43</f>
        <v>#DIV/0!</v>
      </c>
      <c r="AB35" s="65" t="e">
        <f t="shared" si="43"/>
        <v>#DIV/0!</v>
      </c>
      <c r="AC35" s="65" t="e">
        <f t="shared" si="43"/>
        <v>#DIV/0!</v>
      </c>
      <c r="AD35" s="65" t="e">
        <f t="shared" si="43"/>
        <v>#DIV/0!</v>
      </c>
      <c r="AE35" s="65" t="e">
        <f t="shared" si="43"/>
        <v>#DIV/0!</v>
      </c>
      <c r="AF35" s="65" t="e">
        <f t="shared" si="43"/>
        <v>#DIV/0!</v>
      </c>
      <c r="AG35" s="65" t="e">
        <f t="shared" si="43"/>
        <v>#DIV/0!</v>
      </c>
      <c r="AH35" s="65" t="e">
        <f t="shared" si="43"/>
        <v>#DIV/0!</v>
      </c>
      <c r="AI35" s="65" t="e">
        <f t="shared" si="43"/>
        <v>#DIV/0!</v>
      </c>
      <c r="AJ35" s="65" t="e">
        <f t="shared" si="43"/>
        <v>#DIV/0!</v>
      </c>
      <c r="AK35" s="65" t="e">
        <f t="shared" si="43"/>
        <v>#DIV/0!</v>
      </c>
      <c r="AL35" s="65" t="e">
        <f t="shared" si="43"/>
        <v>#DIV/0!</v>
      </c>
      <c r="AM35" s="65" t="e">
        <f t="shared" si="43"/>
        <v>#DIV/0!</v>
      </c>
      <c r="AN35" s="65" t="e">
        <f t="shared" si="43"/>
        <v>#DIV/0!</v>
      </c>
      <c r="AO35" s="65" t="e">
        <f t="shared" si="43"/>
        <v>#DIV/0!</v>
      </c>
      <c r="AP35" s="65" t="e">
        <f t="shared" si="43"/>
        <v>#DIV/0!</v>
      </c>
      <c r="AQ35" s="65" t="e">
        <f t="shared" si="43"/>
        <v>#DIV/0!</v>
      </c>
      <c r="AR35" s="65" t="e">
        <f t="shared" si="43"/>
        <v>#DIV/0!</v>
      </c>
      <c r="AS35" s="65" t="e">
        <f t="shared" si="43"/>
        <v>#DIV/0!</v>
      </c>
      <c r="AT35" s="65"/>
      <c r="AU35" s="65"/>
      <c r="AV35" s="65" t="e">
        <f>AVERAGE(Z35:AU35)</f>
        <v>#DIV/0!</v>
      </c>
      <c r="AW35" s="66">
        <f>AW70*'Inputs Worksheet'!$U35</f>
        <v>0</v>
      </c>
      <c r="AX35" s="66" t="e">
        <f>('Inputs Worksheet'!$U35*($W$43^(AX32-2025)))*AX70</f>
        <v>#DIV/0!</v>
      </c>
      <c r="AY35" s="66" t="e">
        <f>('Inputs Worksheet'!$U35*($W$43^(AY32-2025)))*AY70</f>
        <v>#DIV/0!</v>
      </c>
      <c r="AZ35" s="66" t="e">
        <f>('Inputs Worksheet'!$U35*($W$43^(AZ32-2025)))*AZ70</f>
        <v>#DIV/0!</v>
      </c>
      <c r="BA35" s="66" t="e">
        <f>('Inputs Worksheet'!$U35*($W$43^(BA32-2025)))*BA70</f>
        <v>#DIV/0!</v>
      </c>
      <c r="BB35" s="66" t="e">
        <f>('Inputs Worksheet'!$U35*($W$43^(BB32-2025)))*BB70</f>
        <v>#DIV/0!</v>
      </c>
      <c r="BC35" s="66" t="e">
        <f>('Inputs Worksheet'!$U35*($W$43^(BC32-2025)))*BC70</f>
        <v>#DIV/0!</v>
      </c>
      <c r="BD35" s="66" t="e">
        <f>('Inputs Worksheet'!$U35*($W$43^(BD32-2025)))*BD70</f>
        <v>#DIV/0!</v>
      </c>
      <c r="BE35" s="66" t="e">
        <f>('Inputs Worksheet'!$U35*($W$43^(BE32-2025)))*BE70</f>
        <v>#DIV/0!</v>
      </c>
      <c r="BF35" s="66" t="e">
        <f>('Inputs Worksheet'!$U35*($W$43^(BF32-2025)))*BF70</f>
        <v>#DIV/0!</v>
      </c>
      <c r="BG35" s="66" t="e">
        <f>('Inputs Worksheet'!$U35*($W$43^(BG32-2025)))*BG70</f>
        <v>#DIV/0!</v>
      </c>
      <c r="BH35" s="66" t="e">
        <f>('Inputs Worksheet'!$U35*($W$43^(BH32-2025)))*BH70</f>
        <v>#DIV/0!</v>
      </c>
      <c r="BI35" s="66" t="e">
        <f>('Inputs Worksheet'!$U35*($W$43^(BI32-2025)))*BI70</f>
        <v>#DIV/0!</v>
      </c>
      <c r="BJ35" s="66" t="e">
        <f>('Inputs Worksheet'!$U35*($W$43^(BJ32-2025)))*BJ70</f>
        <v>#DIV/0!</v>
      </c>
      <c r="BK35" s="66" t="e">
        <f>('Inputs Worksheet'!$U35*($W$43^(BK32-2025)))*BK70</f>
        <v>#DIV/0!</v>
      </c>
      <c r="BL35" s="66" t="e">
        <f>('Inputs Worksheet'!$U35*($W$43^(BL32-2025)))*BL70</f>
        <v>#DIV/0!</v>
      </c>
      <c r="BM35" s="66" t="e">
        <f>('Inputs Worksheet'!$U35*($W$43^(BM32-2025)))*BM70</f>
        <v>#DIV/0!</v>
      </c>
      <c r="BN35" s="66" t="e">
        <f>('Inputs Worksheet'!$U35*($W$43^(BN32-2025)))*BN70</f>
        <v>#DIV/0!</v>
      </c>
      <c r="BO35" s="66" t="e">
        <f>('Inputs Worksheet'!$U35*($W$43^(BO32-2025)))*BO70</f>
        <v>#DIV/0!</v>
      </c>
      <c r="BP35" s="66" t="e">
        <f>('Inputs Worksheet'!$U35*($W$43^(BP32-2025)))*BP70</f>
        <v>#DIV/0!</v>
      </c>
      <c r="BQ35" s="66"/>
      <c r="BR35" s="66"/>
      <c r="BS35" s="66" t="e">
        <f t="shared" ref="BS35:BS37" si="44">AVERAGE(AW35:BR35)</f>
        <v>#DIV/0!</v>
      </c>
      <c r="BT35" s="543" t="e">
        <f>($W$35*($W$43^(BT32-2025)))*AW73</f>
        <v>#DIV/0!</v>
      </c>
      <c r="BU35" s="543" t="e">
        <f>($W$35*($W$43^(BU32-2025)))*AX73</f>
        <v>#DIV/0!</v>
      </c>
      <c r="BV35" s="543" t="e">
        <f t="shared" ref="BV35:CM35" si="45">($W$35*($W$43^(BV32-2025)))*AY73</f>
        <v>#DIV/0!</v>
      </c>
      <c r="BW35" s="543" t="e">
        <f t="shared" si="45"/>
        <v>#DIV/0!</v>
      </c>
      <c r="BX35" s="543" t="e">
        <f t="shared" si="45"/>
        <v>#DIV/0!</v>
      </c>
      <c r="BY35" s="543" t="e">
        <f t="shared" si="45"/>
        <v>#DIV/0!</v>
      </c>
      <c r="BZ35" s="543" t="e">
        <f t="shared" si="45"/>
        <v>#DIV/0!</v>
      </c>
      <c r="CA35" s="543" t="e">
        <f t="shared" si="45"/>
        <v>#DIV/0!</v>
      </c>
      <c r="CB35" s="543" t="e">
        <f t="shared" si="45"/>
        <v>#DIV/0!</v>
      </c>
      <c r="CC35" s="543" t="e">
        <f t="shared" si="45"/>
        <v>#DIV/0!</v>
      </c>
      <c r="CD35" s="543" t="e">
        <f t="shared" si="45"/>
        <v>#DIV/0!</v>
      </c>
      <c r="CE35" s="543" t="e">
        <f t="shared" si="45"/>
        <v>#DIV/0!</v>
      </c>
      <c r="CF35" s="543" t="e">
        <f t="shared" si="45"/>
        <v>#DIV/0!</v>
      </c>
      <c r="CG35" s="543" t="e">
        <f t="shared" si="45"/>
        <v>#DIV/0!</v>
      </c>
      <c r="CH35" s="543" t="e">
        <f t="shared" si="45"/>
        <v>#DIV/0!</v>
      </c>
      <c r="CI35" s="543" t="e">
        <f t="shared" si="45"/>
        <v>#DIV/0!</v>
      </c>
      <c r="CJ35" s="543" t="e">
        <f t="shared" si="45"/>
        <v>#DIV/0!</v>
      </c>
      <c r="CK35" s="543" t="e">
        <f t="shared" si="45"/>
        <v>#DIV/0!</v>
      </c>
      <c r="CL35" s="543" t="e">
        <f t="shared" si="45"/>
        <v>#DIV/0!</v>
      </c>
      <c r="CM35" s="543" t="e">
        <f t="shared" si="45"/>
        <v>#DIV/0!</v>
      </c>
      <c r="CN35" s="543"/>
      <c r="CO35" s="543"/>
      <c r="CP35" s="67" t="e">
        <f t="shared" ref="CP35:CP37" si="46">AVERAGE(BT35:CO35)</f>
        <v>#DIV/0!</v>
      </c>
      <c r="CQ35" s="38"/>
      <c r="CR35" s="38"/>
      <c r="CS35" s="24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D35" s="22"/>
      <c r="EE35" s="22"/>
    </row>
    <row r="36" spans="1:139" ht="15" customHeight="1" x14ac:dyDescent="0.25">
      <c r="A36" s="27" t="str">
        <f>A10</f>
        <v>Name #4</v>
      </c>
      <c r="B36" s="524">
        <f t="shared" ref="B36:C36" si="47">B10</f>
        <v>0</v>
      </c>
      <c r="C36" s="525">
        <f t="shared" si="47"/>
        <v>0</v>
      </c>
      <c r="D36" s="525">
        <f t="shared" si="41"/>
        <v>0</v>
      </c>
      <c r="E36" s="39"/>
      <c r="F36" s="340" t="s">
        <v>120</v>
      </c>
      <c r="G36" s="340"/>
      <c r="H36" s="497"/>
      <c r="I36" s="492"/>
      <c r="J36" s="519" t="s">
        <v>120</v>
      </c>
      <c r="K36" s="519"/>
      <c r="L36" s="496"/>
      <c r="M36" s="41" t="e">
        <f>N36*$I$39</f>
        <v>#DIV/0!</v>
      </c>
      <c r="N36" s="41" t="e">
        <f>N10*$W44^($A$29-$A$3)</f>
        <v>#DIV/0!</v>
      </c>
      <c r="O36" s="341" t="s">
        <v>120</v>
      </c>
      <c r="P36" s="42" t="e">
        <f>N36*(IF(H36="Yes",4,2))</f>
        <v>#DIV/0!</v>
      </c>
      <c r="Q36" s="42" t="e">
        <f>P36*$I$39</f>
        <v>#DIV/0!</v>
      </c>
      <c r="R36" s="411">
        <v>251</v>
      </c>
      <c r="S36" s="948"/>
      <c r="T36" s="949"/>
      <c r="U36" s="949"/>
      <c r="V36" s="949"/>
      <c r="W36" s="949"/>
      <c r="X36" s="949"/>
      <c r="Y36" s="950"/>
      <c r="Z36" s="65">
        <f>'Inputs Worksheet'!$D$48*'Inputs Worksheet'!S36</f>
        <v>0</v>
      </c>
      <c r="AA36" s="65" t="e">
        <f t="shared" ref="AA36:AU36" si="48">Z36*$W$44</f>
        <v>#DIV/0!</v>
      </c>
      <c r="AB36" s="65" t="e">
        <f t="shared" si="48"/>
        <v>#DIV/0!</v>
      </c>
      <c r="AC36" s="65" t="e">
        <f t="shared" si="48"/>
        <v>#DIV/0!</v>
      </c>
      <c r="AD36" s="65" t="e">
        <f t="shared" si="48"/>
        <v>#DIV/0!</v>
      </c>
      <c r="AE36" s="65" t="e">
        <f t="shared" si="48"/>
        <v>#DIV/0!</v>
      </c>
      <c r="AF36" s="65" t="e">
        <f t="shared" si="48"/>
        <v>#DIV/0!</v>
      </c>
      <c r="AG36" s="65" t="e">
        <f t="shared" si="48"/>
        <v>#DIV/0!</v>
      </c>
      <c r="AH36" s="65" t="e">
        <f t="shared" si="48"/>
        <v>#DIV/0!</v>
      </c>
      <c r="AI36" s="65" t="e">
        <f t="shared" si="48"/>
        <v>#DIV/0!</v>
      </c>
      <c r="AJ36" s="65" t="e">
        <f t="shared" si="48"/>
        <v>#DIV/0!</v>
      </c>
      <c r="AK36" s="65" t="e">
        <f t="shared" si="48"/>
        <v>#DIV/0!</v>
      </c>
      <c r="AL36" s="65" t="e">
        <f t="shared" si="48"/>
        <v>#DIV/0!</v>
      </c>
      <c r="AM36" s="65" t="e">
        <f t="shared" si="48"/>
        <v>#DIV/0!</v>
      </c>
      <c r="AN36" s="65" t="e">
        <f t="shared" si="48"/>
        <v>#DIV/0!</v>
      </c>
      <c r="AO36" s="65" t="e">
        <f t="shared" si="48"/>
        <v>#DIV/0!</v>
      </c>
      <c r="AP36" s="65" t="e">
        <f t="shared" si="48"/>
        <v>#DIV/0!</v>
      </c>
      <c r="AQ36" s="65" t="e">
        <f t="shared" si="48"/>
        <v>#DIV/0!</v>
      </c>
      <c r="AR36" s="65" t="e">
        <f t="shared" si="48"/>
        <v>#DIV/0!</v>
      </c>
      <c r="AS36" s="65" t="e">
        <f t="shared" si="48"/>
        <v>#DIV/0!</v>
      </c>
      <c r="AT36" s="65" t="e">
        <f t="shared" si="48"/>
        <v>#DIV/0!</v>
      </c>
      <c r="AU36" s="65" t="e">
        <f t="shared" si="48"/>
        <v>#DIV/0!</v>
      </c>
      <c r="AV36" s="65" t="e">
        <f t="shared" ref="AV36:AV37" si="49">AVERAGE(Z36:AU36)</f>
        <v>#DIV/0!</v>
      </c>
      <c r="AW36" s="66">
        <f>$G$42*'Inputs Worksheet'!$U36</f>
        <v>0</v>
      </c>
      <c r="AX36" s="66" t="e">
        <f t="shared" ref="AX36:BR36" si="50">AW36*$W$44</f>
        <v>#DIV/0!</v>
      </c>
      <c r="AY36" s="66" t="e">
        <f t="shared" si="50"/>
        <v>#DIV/0!</v>
      </c>
      <c r="AZ36" s="66" t="e">
        <f t="shared" si="50"/>
        <v>#DIV/0!</v>
      </c>
      <c r="BA36" s="66" t="e">
        <f t="shared" si="50"/>
        <v>#DIV/0!</v>
      </c>
      <c r="BB36" s="66" t="e">
        <f t="shared" si="50"/>
        <v>#DIV/0!</v>
      </c>
      <c r="BC36" s="66" t="e">
        <f t="shared" si="50"/>
        <v>#DIV/0!</v>
      </c>
      <c r="BD36" s="66" t="e">
        <f t="shared" si="50"/>
        <v>#DIV/0!</v>
      </c>
      <c r="BE36" s="66" t="e">
        <f t="shared" si="50"/>
        <v>#DIV/0!</v>
      </c>
      <c r="BF36" s="66" t="e">
        <f t="shared" si="50"/>
        <v>#DIV/0!</v>
      </c>
      <c r="BG36" s="66" t="e">
        <f t="shared" si="50"/>
        <v>#DIV/0!</v>
      </c>
      <c r="BH36" s="66" t="e">
        <f t="shared" si="50"/>
        <v>#DIV/0!</v>
      </c>
      <c r="BI36" s="66" t="e">
        <f t="shared" si="50"/>
        <v>#DIV/0!</v>
      </c>
      <c r="BJ36" s="66" t="e">
        <f t="shared" si="50"/>
        <v>#DIV/0!</v>
      </c>
      <c r="BK36" s="66" t="e">
        <f t="shared" si="50"/>
        <v>#DIV/0!</v>
      </c>
      <c r="BL36" s="66" t="e">
        <f t="shared" si="50"/>
        <v>#DIV/0!</v>
      </c>
      <c r="BM36" s="66" t="e">
        <f t="shared" si="50"/>
        <v>#DIV/0!</v>
      </c>
      <c r="BN36" s="66" t="e">
        <f t="shared" si="50"/>
        <v>#DIV/0!</v>
      </c>
      <c r="BO36" s="66" t="e">
        <f t="shared" si="50"/>
        <v>#DIV/0!</v>
      </c>
      <c r="BP36" s="66" t="e">
        <f t="shared" si="50"/>
        <v>#DIV/0!</v>
      </c>
      <c r="BQ36" s="66" t="e">
        <f t="shared" si="50"/>
        <v>#DIV/0!</v>
      </c>
      <c r="BR36" s="66" t="e">
        <f t="shared" si="50"/>
        <v>#DIV/0!</v>
      </c>
      <c r="BS36" s="66" t="e">
        <f t="shared" si="44"/>
        <v>#DIV/0!</v>
      </c>
      <c r="BT36" s="67">
        <f>W36*$G$44</f>
        <v>0</v>
      </c>
      <c r="BU36" s="67" t="e">
        <f t="shared" ref="BU36:CM36" si="51">BT36*$W$44</f>
        <v>#DIV/0!</v>
      </c>
      <c r="BV36" s="67" t="e">
        <f t="shared" si="51"/>
        <v>#DIV/0!</v>
      </c>
      <c r="BW36" s="67" t="e">
        <f t="shared" si="51"/>
        <v>#DIV/0!</v>
      </c>
      <c r="BX36" s="67" t="e">
        <f t="shared" si="51"/>
        <v>#DIV/0!</v>
      </c>
      <c r="BY36" s="67" t="e">
        <f t="shared" si="51"/>
        <v>#DIV/0!</v>
      </c>
      <c r="BZ36" s="67" t="e">
        <f t="shared" si="51"/>
        <v>#DIV/0!</v>
      </c>
      <c r="CA36" s="67" t="e">
        <f t="shared" si="51"/>
        <v>#DIV/0!</v>
      </c>
      <c r="CB36" s="67" t="e">
        <f t="shared" si="51"/>
        <v>#DIV/0!</v>
      </c>
      <c r="CC36" s="67" t="e">
        <f t="shared" si="51"/>
        <v>#DIV/0!</v>
      </c>
      <c r="CD36" s="67" t="e">
        <f t="shared" si="51"/>
        <v>#DIV/0!</v>
      </c>
      <c r="CE36" s="67" t="e">
        <f t="shared" si="51"/>
        <v>#DIV/0!</v>
      </c>
      <c r="CF36" s="67" t="e">
        <f t="shared" si="51"/>
        <v>#DIV/0!</v>
      </c>
      <c r="CG36" s="67" t="e">
        <f t="shared" si="51"/>
        <v>#DIV/0!</v>
      </c>
      <c r="CH36" s="67" t="e">
        <f t="shared" si="51"/>
        <v>#DIV/0!</v>
      </c>
      <c r="CI36" s="67" t="e">
        <f t="shared" si="51"/>
        <v>#DIV/0!</v>
      </c>
      <c r="CJ36" s="67" t="e">
        <f t="shared" si="51"/>
        <v>#DIV/0!</v>
      </c>
      <c r="CK36" s="67" t="e">
        <f t="shared" si="51"/>
        <v>#DIV/0!</v>
      </c>
      <c r="CL36" s="67" t="e">
        <f t="shared" si="51"/>
        <v>#DIV/0!</v>
      </c>
      <c r="CM36" s="67" t="e">
        <f t="shared" si="51"/>
        <v>#DIV/0!</v>
      </c>
      <c r="CN36" s="67"/>
      <c r="CO36" s="67"/>
      <c r="CP36" s="67" t="e">
        <f t="shared" si="46"/>
        <v>#DIV/0!</v>
      </c>
      <c r="CQ36" s="38"/>
      <c r="CR36" s="38"/>
      <c r="CS36" s="24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D36" s="22"/>
      <c r="EE36" s="22"/>
    </row>
    <row r="37" spans="1:139" ht="15" customHeight="1" x14ac:dyDescent="0.25">
      <c r="A37" s="27" t="str">
        <f>A11</f>
        <v>Name #5</v>
      </c>
      <c r="B37" s="524">
        <f t="shared" ref="B37:C37" si="52">B11</f>
        <v>0</v>
      </c>
      <c r="C37" s="525">
        <f t="shared" si="52"/>
        <v>0</v>
      </c>
      <c r="D37" s="525">
        <f t="shared" si="41"/>
        <v>0</v>
      </c>
      <c r="E37" s="39"/>
      <c r="F37" s="340" t="s">
        <v>120</v>
      </c>
      <c r="G37" s="340"/>
      <c r="H37" s="497"/>
      <c r="I37" s="492"/>
      <c r="J37" s="519" t="s">
        <v>120</v>
      </c>
      <c r="K37" s="519"/>
      <c r="L37" s="496"/>
      <c r="M37" s="41" t="e">
        <f>N37*$I$39</f>
        <v>#DIV/0!</v>
      </c>
      <c r="N37" s="41" t="e">
        <f>N11*$W45^($A$29-$A$3)</f>
        <v>#DIV/0!</v>
      </c>
      <c r="O37" s="341" t="s">
        <v>120</v>
      </c>
      <c r="P37" s="42" t="e">
        <f>N37*(IF(H37="Yes",4,2))</f>
        <v>#DIV/0!</v>
      </c>
      <c r="Q37" s="42" t="e">
        <f>P37*$I$39</f>
        <v>#DIV/0!</v>
      </c>
      <c r="R37" s="411">
        <v>251</v>
      </c>
      <c r="S37" s="951"/>
      <c r="T37" s="952"/>
      <c r="U37" s="952"/>
      <c r="V37" s="952"/>
      <c r="W37" s="952"/>
      <c r="X37" s="952"/>
      <c r="Y37" s="953"/>
      <c r="Z37" s="65">
        <f>'Inputs Worksheet'!$D$48*'Inputs Worksheet'!S37</f>
        <v>0</v>
      </c>
      <c r="AA37" s="65" t="e">
        <f t="shared" ref="AA37:AU37" si="53">Z37*$W$45</f>
        <v>#DIV/0!</v>
      </c>
      <c r="AB37" s="65" t="e">
        <f t="shared" si="53"/>
        <v>#DIV/0!</v>
      </c>
      <c r="AC37" s="65" t="e">
        <f t="shared" si="53"/>
        <v>#DIV/0!</v>
      </c>
      <c r="AD37" s="65" t="e">
        <f t="shared" si="53"/>
        <v>#DIV/0!</v>
      </c>
      <c r="AE37" s="65" t="e">
        <f t="shared" si="53"/>
        <v>#DIV/0!</v>
      </c>
      <c r="AF37" s="65" t="e">
        <f t="shared" si="53"/>
        <v>#DIV/0!</v>
      </c>
      <c r="AG37" s="65" t="e">
        <f t="shared" si="53"/>
        <v>#DIV/0!</v>
      </c>
      <c r="AH37" s="65" t="e">
        <f t="shared" si="53"/>
        <v>#DIV/0!</v>
      </c>
      <c r="AI37" s="65" t="e">
        <f t="shared" si="53"/>
        <v>#DIV/0!</v>
      </c>
      <c r="AJ37" s="65" t="e">
        <f t="shared" si="53"/>
        <v>#DIV/0!</v>
      </c>
      <c r="AK37" s="65" t="e">
        <f t="shared" si="53"/>
        <v>#DIV/0!</v>
      </c>
      <c r="AL37" s="65" t="e">
        <f t="shared" si="53"/>
        <v>#DIV/0!</v>
      </c>
      <c r="AM37" s="65" t="e">
        <f t="shared" si="53"/>
        <v>#DIV/0!</v>
      </c>
      <c r="AN37" s="65" t="e">
        <f t="shared" si="53"/>
        <v>#DIV/0!</v>
      </c>
      <c r="AO37" s="65" t="e">
        <f t="shared" si="53"/>
        <v>#DIV/0!</v>
      </c>
      <c r="AP37" s="65" t="e">
        <f t="shared" si="53"/>
        <v>#DIV/0!</v>
      </c>
      <c r="AQ37" s="65" t="e">
        <f t="shared" si="53"/>
        <v>#DIV/0!</v>
      </c>
      <c r="AR37" s="65" t="e">
        <f t="shared" si="53"/>
        <v>#DIV/0!</v>
      </c>
      <c r="AS37" s="65" t="e">
        <f t="shared" si="53"/>
        <v>#DIV/0!</v>
      </c>
      <c r="AT37" s="65" t="e">
        <f t="shared" si="53"/>
        <v>#DIV/0!</v>
      </c>
      <c r="AU37" s="65" t="e">
        <f t="shared" si="53"/>
        <v>#DIV/0!</v>
      </c>
      <c r="AV37" s="65" t="e">
        <f t="shared" si="49"/>
        <v>#DIV/0!</v>
      </c>
      <c r="AW37" s="66">
        <f>$G$42*'Inputs Worksheet'!$U37</f>
        <v>0</v>
      </c>
      <c r="AX37" s="66" t="e">
        <f t="shared" ref="AX37:BR37" si="54">AW37*$W$45</f>
        <v>#DIV/0!</v>
      </c>
      <c r="AY37" s="66" t="e">
        <f t="shared" si="54"/>
        <v>#DIV/0!</v>
      </c>
      <c r="AZ37" s="66" t="e">
        <f t="shared" si="54"/>
        <v>#DIV/0!</v>
      </c>
      <c r="BA37" s="66" t="e">
        <f t="shared" si="54"/>
        <v>#DIV/0!</v>
      </c>
      <c r="BB37" s="66" t="e">
        <f t="shared" si="54"/>
        <v>#DIV/0!</v>
      </c>
      <c r="BC37" s="66" t="e">
        <f t="shared" si="54"/>
        <v>#DIV/0!</v>
      </c>
      <c r="BD37" s="66" t="e">
        <f t="shared" si="54"/>
        <v>#DIV/0!</v>
      </c>
      <c r="BE37" s="66" t="e">
        <f t="shared" si="54"/>
        <v>#DIV/0!</v>
      </c>
      <c r="BF37" s="66" t="e">
        <f t="shared" si="54"/>
        <v>#DIV/0!</v>
      </c>
      <c r="BG37" s="66" t="e">
        <f t="shared" si="54"/>
        <v>#DIV/0!</v>
      </c>
      <c r="BH37" s="66" t="e">
        <f t="shared" si="54"/>
        <v>#DIV/0!</v>
      </c>
      <c r="BI37" s="66" t="e">
        <f t="shared" si="54"/>
        <v>#DIV/0!</v>
      </c>
      <c r="BJ37" s="66" t="e">
        <f t="shared" si="54"/>
        <v>#DIV/0!</v>
      </c>
      <c r="BK37" s="66" t="e">
        <f t="shared" si="54"/>
        <v>#DIV/0!</v>
      </c>
      <c r="BL37" s="66" t="e">
        <f t="shared" si="54"/>
        <v>#DIV/0!</v>
      </c>
      <c r="BM37" s="66" t="e">
        <f t="shared" si="54"/>
        <v>#DIV/0!</v>
      </c>
      <c r="BN37" s="66" t="e">
        <f t="shared" si="54"/>
        <v>#DIV/0!</v>
      </c>
      <c r="BO37" s="66" t="e">
        <f t="shared" si="54"/>
        <v>#DIV/0!</v>
      </c>
      <c r="BP37" s="66" t="e">
        <f t="shared" si="54"/>
        <v>#DIV/0!</v>
      </c>
      <c r="BQ37" s="66" t="e">
        <f t="shared" si="54"/>
        <v>#DIV/0!</v>
      </c>
      <c r="BR37" s="66" t="e">
        <f t="shared" si="54"/>
        <v>#DIV/0!</v>
      </c>
      <c r="BS37" s="66" t="e">
        <f t="shared" si="44"/>
        <v>#DIV/0!</v>
      </c>
      <c r="BT37" s="67">
        <f>W37*$G$44</f>
        <v>0</v>
      </c>
      <c r="BU37" s="67" t="e">
        <f t="shared" ref="BU37:CO37" si="55">BT37*$W$45</f>
        <v>#DIV/0!</v>
      </c>
      <c r="BV37" s="67" t="e">
        <f t="shared" si="55"/>
        <v>#DIV/0!</v>
      </c>
      <c r="BW37" s="67" t="e">
        <f t="shared" si="55"/>
        <v>#DIV/0!</v>
      </c>
      <c r="BX37" s="67" t="e">
        <f t="shared" si="55"/>
        <v>#DIV/0!</v>
      </c>
      <c r="BY37" s="67" t="e">
        <f t="shared" si="55"/>
        <v>#DIV/0!</v>
      </c>
      <c r="BZ37" s="67" t="e">
        <f t="shared" si="55"/>
        <v>#DIV/0!</v>
      </c>
      <c r="CA37" s="67" t="e">
        <f t="shared" si="55"/>
        <v>#DIV/0!</v>
      </c>
      <c r="CB37" s="67" t="e">
        <f t="shared" si="55"/>
        <v>#DIV/0!</v>
      </c>
      <c r="CC37" s="67" t="e">
        <f t="shared" si="55"/>
        <v>#DIV/0!</v>
      </c>
      <c r="CD37" s="67" t="e">
        <f t="shared" si="55"/>
        <v>#DIV/0!</v>
      </c>
      <c r="CE37" s="67" t="e">
        <f t="shared" si="55"/>
        <v>#DIV/0!</v>
      </c>
      <c r="CF37" s="67" t="e">
        <f t="shared" si="55"/>
        <v>#DIV/0!</v>
      </c>
      <c r="CG37" s="67" t="e">
        <f t="shared" si="55"/>
        <v>#DIV/0!</v>
      </c>
      <c r="CH37" s="67" t="e">
        <f t="shared" si="55"/>
        <v>#DIV/0!</v>
      </c>
      <c r="CI37" s="67" t="e">
        <f t="shared" si="55"/>
        <v>#DIV/0!</v>
      </c>
      <c r="CJ37" s="67" t="e">
        <f t="shared" si="55"/>
        <v>#DIV/0!</v>
      </c>
      <c r="CK37" s="67" t="e">
        <f t="shared" si="55"/>
        <v>#DIV/0!</v>
      </c>
      <c r="CL37" s="67" t="e">
        <f t="shared" si="55"/>
        <v>#DIV/0!</v>
      </c>
      <c r="CM37" s="67" t="e">
        <f t="shared" si="55"/>
        <v>#DIV/0!</v>
      </c>
      <c r="CN37" s="67" t="e">
        <f t="shared" si="55"/>
        <v>#DIV/0!</v>
      </c>
      <c r="CO37" s="67" t="e">
        <f t="shared" si="55"/>
        <v>#DIV/0!</v>
      </c>
      <c r="CP37" s="67" t="e">
        <f t="shared" si="46"/>
        <v>#DIV/0!</v>
      </c>
      <c r="CQ37" s="38"/>
      <c r="CR37" s="38"/>
      <c r="CS37" s="24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D37" s="22"/>
      <c r="EE37" s="22"/>
    </row>
    <row r="38" spans="1:139" x14ac:dyDescent="0.25">
      <c r="G38" s="557" t="s">
        <v>250</v>
      </c>
      <c r="AI38" s="46"/>
      <c r="AO38" s="25"/>
      <c r="EI38" s="24"/>
    </row>
    <row r="39" spans="1:139" x14ac:dyDescent="0.25">
      <c r="F39" s="45"/>
      <c r="G39" s="22"/>
      <c r="I39" s="372">
        <v>0.54200000000000004</v>
      </c>
      <c r="J39" s="370"/>
      <c r="O39" s="351"/>
      <c r="P39" s="22"/>
      <c r="AG39" s="46"/>
      <c r="AH39" s="22"/>
      <c r="AR39" s="23"/>
      <c r="AS39" s="24"/>
      <c r="AV39" s="22"/>
      <c r="CH39" s="25"/>
      <c r="EB39" s="22"/>
      <c r="EC39" s="24"/>
      <c r="EE39" s="22"/>
      <c r="EH39" s="24"/>
    </row>
    <row r="40" spans="1:139" x14ac:dyDescent="0.25">
      <c r="A40" s="21" t="s">
        <v>251</v>
      </c>
      <c r="F40" s="22"/>
      <c r="G40" s="22"/>
      <c r="I40" s="370" t="s">
        <v>63</v>
      </c>
      <c r="J40" s="370"/>
      <c r="K40" s="518" t="s">
        <v>226</v>
      </c>
      <c r="M40" s="408" t="s">
        <v>253</v>
      </c>
      <c r="N40" s="409"/>
      <c r="O40" s="9" t="s">
        <v>342</v>
      </c>
      <c r="P40" s="195"/>
      <c r="Q40" s="195"/>
      <c r="R40" s="507" t="s">
        <v>119</v>
      </c>
      <c r="S40" s="78"/>
      <c r="U40" s="21" t="s">
        <v>178</v>
      </c>
      <c r="AG40" s="46"/>
      <c r="AH40" s="22"/>
      <c r="AK40" s="170"/>
      <c r="AL40" s="170"/>
      <c r="AM40" s="170"/>
      <c r="AN40" s="26">
        <v>1</v>
      </c>
      <c r="AO40" s="26">
        <v>2</v>
      </c>
      <c r="AP40" s="26">
        <v>3</v>
      </c>
      <c r="AQ40" s="26">
        <v>4</v>
      </c>
      <c r="AR40" s="26">
        <v>5</v>
      </c>
      <c r="AS40" s="26">
        <v>6</v>
      </c>
      <c r="AT40" s="26">
        <v>7</v>
      </c>
      <c r="AU40" s="26">
        <v>8</v>
      </c>
      <c r="AV40" s="26">
        <v>9</v>
      </c>
      <c r="AW40" s="26">
        <v>10</v>
      </c>
      <c r="AX40" s="26">
        <v>11</v>
      </c>
      <c r="AY40" s="26">
        <v>12</v>
      </c>
      <c r="AZ40" s="26">
        <v>13</v>
      </c>
      <c r="BA40" s="26">
        <v>14</v>
      </c>
      <c r="BB40" s="26">
        <v>15</v>
      </c>
      <c r="BC40" s="26">
        <v>16</v>
      </c>
      <c r="BD40" s="26">
        <v>17</v>
      </c>
      <c r="BE40" s="26">
        <v>18</v>
      </c>
      <c r="BF40" s="26">
        <v>19</v>
      </c>
      <c r="BG40" s="26">
        <v>20</v>
      </c>
      <c r="BH40" s="122"/>
      <c r="BI40" s="122"/>
      <c r="BJ40" s="26"/>
      <c r="BK40" s="26">
        <v>1</v>
      </c>
      <c r="BL40" s="26">
        <v>2</v>
      </c>
      <c r="BM40" s="26">
        <v>3</v>
      </c>
      <c r="BN40" s="26">
        <v>4</v>
      </c>
      <c r="BO40" s="26">
        <v>5</v>
      </c>
      <c r="BP40" s="26">
        <v>6</v>
      </c>
      <c r="BQ40" s="26">
        <v>7</v>
      </c>
      <c r="BR40" s="26">
        <v>8</v>
      </c>
      <c r="BS40" s="26">
        <v>9</v>
      </c>
      <c r="BT40" s="26">
        <v>10</v>
      </c>
      <c r="BU40" s="26">
        <v>11</v>
      </c>
      <c r="BV40" s="26">
        <v>12</v>
      </c>
      <c r="BW40" s="26">
        <v>13</v>
      </c>
      <c r="BX40" s="26">
        <v>14</v>
      </c>
      <c r="BY40" s="26">
        <v>15</v>
      </c>
      <c r="BZ40" s="26">
        <v>16</v>
      </c>
      <c r="CA40" s="26">
        <v>17</v>
      </c>
      <c r="CB40" s="26">
        <v>18</v>
      </c>
      <c r="CC40" s="26">
        <v>19</v>
      </c>
      <c r="CD40" s="26">
        <v>20</v>
      </c>
      <c r="CE40" s="26">
        <v>21</v>
      </c>
      <c r="CF40" s="26">
        <v>22</v>
      </c>
      <c r="CG40" s="26">
        <v>0</v>
      </c>
      <c r="CH40" s="172">
        <v>1</v>
      </c>
      <c r="CI40" s="172">
        <v>2</v>
      </c>
      <c r="CJ40" s="172">
        <v>3</v>
      </c>
      <c r="CK40" s="172">
        <v>4</v>
      </c>
      <c r="CL40" s="172">
        <v>5</v>
      </c>
      <c r="CM40" s="172">
        <v>6</v>
      </c>
      <c r="CN40" s="172">
        <v>7</v>
      </c>
      <c r="CO40" s="172">
        <v>8</v>
      </c>
      <c r="CP40" s="172">
        <v>9</v>
      </c>
      <c r="CQ40" s="172">
        <v>10</v>
      </c>
      <c r="CR40" s="172">
        <v>11</v>
      </c>
      <c r="CS40" s="172">
        <v>12</v>
      </c>
      <c r="CT40" s="172">
        <v>13</v>
      </c>
      <c r="CU40" s="172">
        <v>14</v>
      </c>
      <c r="CV40" s="172">
        <v>15</v>
      </c>
      <c r="CW40" s="172">
        <v>16</v>
      </c>
      <c r="CX40" s="172">
        <v>17</v>
      </c>
      <c r="CY40" s="172">
        <v>18</v>
      </c>
      <c r="CZ40" s="172">
        <v>19</v>
      </c>
      <c r="DA40" s="172">
        <v>20</v>
      </c>
      <c r="DB40" s="172">
        <v>21</v>
      </c>
      <c r="DC40" s="172">
        <v>22</v>
      </c>
      <c r="DD40" s="34"/>
      <c r="DE40" s="26"/>
      <c r="DF40" s="115"/>
      <c r="DG40" s="24"/>
      <c r="DH40" s="22"/>
      <c r="DI40" s="22"/>
      <c r="DJ40" s="22"/>
      <c r="DK40" s="24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D40" s="22"/>
      <c r="EE40" s="22"/>
    </row>
    <row r="41" spans="1:139" x14ac:dyDescent="0.25">
      <c r="A41" s="461" t="s">
        <v>205</v>
      </c>
      <c r="B41" s="358"/>
      <c r="C41" s="358"/>
      <c r="D41" s="499">
        <v>9</v>
      </c>
      <c r="F41" s="21" t="s">
        <v>157</v>
      </c>
      <c r="G41" s="578" t="s">
        <v>257</v>
      </c>
      <c r="H41" s="371"/>
      <c r="I41" s="369"/>
      <c r="J41" s="369"/>
      <c r="K41" s="21"/>
      <c r="L41" s="21"/>
      <c r="M41" s="455" t="s">
        <v>343</v>
      </c>
      <c r="N41" s="581">
        <f>7305*1.0244/99.3603577162785*100</f>
        <v>7531.4161220798414</v>
      </c>
      <c r="O41" s="580">
        <f>7305*1.0244/99.3603577162785*100</f>
        <v>7531.4161220798414</v>
      </c>
      <c r="P41" s="205" t="s">
        <v>344</v>
      </c>
      <c r="Q41" s="323">
        <v>44685</v>
      </c>
      <c r="R41" s="336">
        <f>4.636/Q70*100</f>
        <v>3.8466995603845047</v>
      </c>
      <c r="U41" s="80" t="str">
        <f>A7</f>
        <v>Not Used</v>
      </c>
      <c r="V41" s="78"/>
      <c r="W41" s="517">
        <f>I20</f>
        <v>1.0101245902987583</v>
      </c>
      <c r="AD41" s="78"/>
      <c r="AE41" s="78"/>
      <c r="AF41" s="78"/>
      <c r="AG41" s="248"/>
      <c r="AH41" s="78"/>
      <c r="AN41" s="886" t="s">
        <v>80</v>
      </c>
      <c r="AO41" s="886"/>
      <c r="AP41" s="886"/>
      <c r="AQ41" s="886"/>
      <c r="AR41" s="886"/>
      <c r="AS41" s="886"/>
      <c r="AT41" s="886"/>
      <c r="AU41" s="886"/>
      <c r="AV41" s="886"/>
      <c r="AW41" s="886"/>
      <c r="AX41" s="886"/>
      <c r="AY41" s="887"/>
      <c r="AZ41" s="887"/>
      <c r="BA41" s="887"/>
      <c r="BB41" s="887"/>
      <c r="BC41" s="887"/>
      <c r="BD41" s="887"/>
      <c r="BE41" s="887"/>
      <c r="BF41" s="887"/>
      <c r="BG41" s="887"/>
      <c r="BH41" s="887"/>
      <c r="BI41" s="887"/>
      <c r="BJ41" s="886"/>
      <c r="BK41" s="971" t="s">
        <v>182</v>
      </c>
      <c r="BL41" s="972"/>
      <c r="BM41" s="972"/>
      <c r="BN41" s="972"/>
      <c r="BO41" s="972"/>
      <c r="BP41" s="972"/>
      <c r="BQ41" s="972"/>
      <c r="BR41" s="972"/>
      <c r="BS41" s="972"/>
      <c r="BT41" s="972"/>
      <c r="BU41" s="972"/>
      <c r="BV41" s="973"/>
      <c r="BW41" s="973"/>
      <c r="BX41" s="973"/>
      <c r="BY41" s="973"/>
      <c r="BZ41" s="973"/>
      <c r="CA41" s="973"/>
      <c r="CB41" s="973"/>
      <c r="CC41" s="973"/>
      <c r="CD41" s="973"/>
      <c r="CE41" s="973"/>
      <c r="CF41" s="973"/>
      <c r="CG41" s="974"/>
      <c r="CH41" s="967" t="s">
        <v>187</v>
      </c>
      <c r="CI41" s="968"/>
      <c r="CJ41" s="968"/>
      <c r="CK41" s="968"/>
      <c r="CL41" s="968"/>
      <c r="CM41" s="968"/>
      <c r="CN41" s="968"/>
      <c r="CO41" s="968"/>
      <c r="CP41" s="968"/>
      <c r="CQ41" s="968"/>
      <c r="CR41" s="968"/>
      <c r="CS41" s="969"/>
      <c r="CT41" s="969"/>
      <c r="CU41" s="969"/>
      <c r="CV41" s="969"/>
      <c r="CW41" s="969"/>
      <c r="CX41" s="969"/>
      <c r="CY41" s="969"/>
      <c r="CZ41" s="969"/>
      <c r="DA41" s="969"/>
      <c r="DB41" s="969"/>
      <c r="DC41" s="969"/>
      <c r="DD41" s="970"/>
      <c r="DE41" s="26"/>
      <c r="DF41" s="115"/>
      <c r="DG41" s="24"/>
      <c r="DH41" s="22"/>
      <c r="DI41" s="22"/>
      <c r="DJ41" s="22"/>
      <c r="DK41" s="24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D41" s="22"/>
      <c r="EE41" s="22"/>
    </row>
    <row r="42" spans="1:139" x14ac:dyDescent="0.25">
      <c r="A42" s="21" t="s">
        <v>190</v>
      </c>
      <c r="B42" s="358"/>
      <c r="C42" s="358"/>
      <c r="D42" s="500">
        <f>1.67*17.8</f>
        <v>29.725999999999999</v>
      </c>
      <c r="F42" s="21" t="s">
        <v>38</v>
      </c>
      <c r="G42" s="579">
        <f>1</f>
        <v>1</v>
      </c>
      <c r="H42" s="374" t="s">
        <v>113</v>
      </c>
      <c r="I42" s="370" t="s">
        <v>114</v>
      </c>
      <c r="J42" s="373"/>
      <c r="K42" s="118"/>
      <c r="L42" s="118"/>
      <c r="M42" s="676"/>
      <c r="N42" s="410"/>
      <c r="O42" s="349"/>
      <c r="P42" s="196"/>
      <c r="Q42" s="324" t="s">
        <v>339</v>
      </c>
      <c r="R42" s="324"/>
      <c r="S42" s="322"/>
      <c r="U42" s="80" t="str">
        <f>A8</f>
        <v>I-205 Corridor Widening: Stafford Road to OR43</v>
      </c>
      <c r="V42" s="78"/>
      <c r="W42" s="698">
        <f>1+'VHD Savings'!C14</f>
        <v>1.0101245902987583</v>
      </c>
      <c r="X42" s="417" t="s">
        <v>350</v>
      </c>
      <c r="AD42" s="78"/>
      <c r="AE42" s="78"/>
      <c r="AF42" s="78"/>
      <c r="AG42" s="80"/>
      <c r="AH42" s="78"/>
      <c r="AN42" s="58">
        <f>$A$29</f>
        <v>2027</v>
      </c>
      <c r="AO42" s="33">
        <f>AN42+1</f>
        <v>2028</v>
      </c>
      <c r="AP42" s="33">
        <f t="shared" ref="AP42" si="56">AO42+1</f>
        <v>2029</v>
      </c>
      <c r="AQ42" s="33">
        <f t="shared" ref="AQ42" si="57">AP42+1</f>
        <v>2030</v>
      </c>
      <c r="AR42" s="33">
        <f t="shared" ref="AR42" si="58">AQ42+1</f>
        <v>2031</v>
      </c>
      <c r="AS42" s="33">
        <f t="shared" ref="AS42" si="59">AR42+1</f>
        <v>2032</v>
      </c>
      <c r="AT42" s="33">
        <f t="shared" ref="AT42" si="60">AS42+1</f>
        <v>2033</v>
      </c>
      <c r="AU42" s="33">
        <f t="shared" ref="AU42" si="61">AT42+1</f>
        <v>2034</v>
      </c>
      <c r="AV42" s="33">
        <f t="shared" ref="AV42" si="62">AU42+1</f>
        <v>2035</v>
      </c>
      <c r="AW42" s="33">
        <f t="shared" ref="AW42" si="63">AV42+1</f>
        <v>2036</v>
      </c>
      <c r="AX42" s="33">
        <f t="shared" ref="AX42" si="64">AW42+1</f>
        <v>2037</v>
      </c>
      <c r="AY42" s="33">
        <f t="shared" ref="AY42" si="65">AX42+1</f>
        <v>2038</v>
      </c>
      <c r="AZ42" s="33">
        <f t="shared" ref="AZ42" si="66">AY42+1</f>
        <v>2039</v>
      </c>
      <c r="BA42" s="33">
        <f t="shared" ref="BA42" si="67">AZ42+1</f>
        <v>2040</v>
      </c>
      <c r="BB42" s="33">
        <f t="shared" ref="BB42" si="68">BA42+1</f>
        <v>2041</v>
      </c>
      <c r="BC42" s="33">
        <f t="shared" ref="BC42" si="69">BB42+1</f>
        <v>2042</v>
      </c>
      <c r="BD42" s="33">
        <f t="shared" ref="BD42" si="70">BC42+1</f>
        <v>2043</v>
      </c>
      <c r="BE42" s="33">
        <f t="shared" ref="BE42" si="71">BD42+1</f>
        <v>2044</v>
      </c>
      <c r="BF42" s="33">
        <f t="shared" ref="BF42" si="72">BE42+1</f>
        <v>2045</v>
      </c>
      <c r="BG42" s="33">
        <f>BF42+1</f>
        <v>2046</v>
      </c>
      <c r="BH42" s="33">
        <f t="shared" ref="BH42:BI42" si="73">BG42+1</f>
        <v>2047</v>
      </c>
      <c r="BI42" s="33">
        <f t="shared" si="73"/>
        <v>2048</v>
      </c>
      <c r="BJ42" s="33" t="s">
        <v>45</v>
      </c>
      <c r="BK42" s="59">
        <f>$A$29</f>
        <v>2027</v>
      </c>
      <c r="BL42" s="60">
        <f>BK42+1</f>
        <v>2028</v>
      </c>
      <c r="BM42" s="60">
        <f t="shared" ref="BM42" si="74">BL42+1</f>
        <v>2029</v>
      </c>
      <c r="BN42" s="60">
        <f t="shared" ref="BN42" si="75">BM42+1</f>
        <v>2030</v>
      </c>
      <c r="BO42" s="60">
        <f t="shared" ref="BO42" si="76">BN42+1</f>
        <v>2031</v>
      </c>
      <c r="BP42" s="60">
        <f t="shared" ref="BP42" si="77">BO42+1</f>
        <v>2032</v>
      </c>
      <c r="BQ42" s="60">
        <f t="shared" ref="BQ42" si="78">BP42+1</f>
        <v>2033</v>
      </c>
      <c r="BR42" s="60">
        <f t="shared" ref="BR42" si="79">BQ42+1</f>
        <v>2034</v>
      </c>
      <c r="BS42" s="60">
        <f t="shared" ref="BS42" si="80">BR42+1</f>
        <v>2035</v>
      </c>
      <c r="BT42" s="60">
        <f t="shared" ref="BT42" si="81">BS42+1</f>
        <v>2036</v>
      </c>
      <c r="BU42" s="60">
        <f>BT42+1</f>
        <v>2037</v>
      </c>
      <c r="BV42" s="60">
        <f t="shared" ref="BV42" si="82">BU42+1</f>
        <v>2038</v>
      </c>
      <c r="BW42" s="60">
        <f t="shared" ref="BW42" si="83">BV42+1</f>
        <v>2039</v>
      </c>
      <c r="BX42" s="60">
        <f t="shared" ref="BX42" si="84">BW42+1</f>
        <v>2040</v>
      </c>
      <c r="BY42" s="60">
        <f t="shared" ref="BY42" si="85">BX42+1</f>
        <v>2041</v>
      </c>
      <c r="BZ42" s="60">
        <f t="shared" ref="BZ42" si="86">BY42+1</f>
        <v>2042</v>
      </c>
      <c r="CA42" s="60">
        <f t="shared" ref="CA42" si="87">BZ42+1</f>
        <v>2043</v>
      </c>
      <c r="CB42" s="60">
        <f t="shared" ref="CB42" si="88">CA42+1</f>
        <v>2044</v>
      </c>
      <c r="CC42" s="60">
        <f t="shared" ref="CC42" si="89">CB42+1</f>
        <v>2045</v>
      </c>
      <c r="CD42" s="60">
        <f t="shared" ref="CD42" si="90">CC42+1</f>
        <v>2046</v>
      </c>
      <c r="CE42" s="60">
        <f t="shared" ref="CE42" si="91">CD42+1</f>
        <v>2047</v>
      </c>
      <c r="CF42" s="60">
        <f t="shared" ref="CF42" si="92">CE42+1</f>
        <v>2048</v>
      </c>
      <c r="CG42" s="60" t="s">
        <v>45</v>
      </c>
      <c r="CH42" s="63">
        <f>$A$29</f>
        <v>2027</v>
      </c>
      <c r="CI42" s="64">
        <f>CH42+1</f>
        <v>2028</v>
      </c>
      <c r="CJ42" s="64">
        <f t="shared" ref="CJ42" si="93">CI42+1</f>
        <v>2029</v>
      </c>
      <c r="CK42" s="64">
        <f t="shared" ref="CK42" si="94">CJ42+1</f>
        <v>2030</v>
      </c>
      <c r="CL42" s="64">
        <f t="shared" ref="CL42" si="95">CK42+1</f>
        <v>2031</v>
      </c>
      <c r="CM42" s="64">
        <f t="shared" ref="CM42" si="96">CL42+1</f>
        <v>2032</v>
      </c>
      <c r="CN42" s="64">
        <f t="shared" ref="CN42" si="97">CM42+1</f>
        <v>2033</v>
      </c>
      <c r="CO42" s="64">
        <f t="shared" ref="CO42" si="98">CN42+1</f>
        <v>2034</v>
      </c>
      <c r="CP42" s="64">
        <f t="shared" ref="CP42" si="99">CO42+1</f>
        <v>2035</v>
      </c>
      <c r="CQ42" s="64">
        <f t="shared" ref="CQ42" si="100">CP42+1</f>
        <v>2036</v>
      </c>
      <c r="CR42" s="64">
        <f>CQ42+1</f>
        <v>2037</v>
      </c>
      <c r="CS42" s="64">
        <f t="shared" ref="CS42" si="101">CR42+1</f>
        <v>2038</v>
      </c>
      <c r="CT42" s="64">
        <f t="shared" ref="CT42" si="102">CS42+1</f>
        <v>2039</v>
      </c>
      <c r="CU42" s="64">
        <f t="shared" ref="CU42" si="103">CT42+1</f>
        <v>2040</v>
      </c>
      <c r="CV42" s="64">
        <f t="shared" ref="CV42" si="104">CU42+1</f>
        <v>2041</v>
      </c>
      <c r="CW42" s="64">
        <f t="shared" ref="CW42" si="105">CV42+1</f>
        <v>2042</v>
      </c>
      <c r="CX42" s="64">
        <f t="shared" ref="CX42" si="106">CW42+1</f>
        <v>2043</v>
      </c>
      <c r="CY42" s="64">
        <f t="shared" ref="CY42" si="107">CX42+1</f>
        <v>2044</v>
      </c>
      <c r="CZ42" s="64">
        <f t="shared" ref="CZ42" si="108">CY42+1</f>
        <v>2045</v>
      </c>
      <c r="DA42" s="64">
        <f t="shared" ref="DA42" si="109">CZ42+1</f>
        <v>2046</v>
      </c>
      <c r="DB42" s="64">
        <f t="shared" ref="DB42" si="110">DA42+1</f>
        <v>2047</v>
      </c>
      <c r="DC42" s="64">
        <f t="shared" ref="DC42" si="111">DB42+1</f>
        <v>2048</v>
      </c>
      <c r="DD42" s="64" t="s">
        <v>45</v>
      </c>
      <c r="DE42" s="27"/>
      <c r="DF42" s="27"/>
      <c r="DG42" s="24"/>
      <c r="DH42" s="22"/>
      <c r="DI42" s="22"/>
      <c r="DJ42" s="22"/>
      <c r="DK42" s="24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D42" s="22"/>
      <c r="EE42" s="22"/>
    </row>
    <row r="43" spans="1:139" ht="30" customHeight="1" x14ac:dyDescent="0.25">
      <c r="B43" s="358"/>
      <c r="C43" s="358"/>
      <c r="D43" s="500"/>
      <c r="F43" s="494" t="s">
        <v>40</v>
      </c>
      <c r="G43" s="579">
        <f>2100</f>
        <v>2100</v>
      </c>
      <c r="H43" s="374" t="s">
        <v>113</v>
      </c>
      <c r="I43" s="374" t="s">
        <v>61</v>
      </c>
      <c r="J43" s="582">
        <f>(0.000002255+0.000007433)*1.1015</f>
        <v>1.0671331999999998E-5</v>
      </c>
      <c r="K43" s="118"/>
      <c r="L43" s="118"/>
      <c r="M43" s="565" t="s">
        <v>255</v>
      </c>
      <c r="N43" s="498">
        <v>0</v>
      </c>
      <c r="O43" s="352"/>
      <c r="P43" s="148"/>
      <c r="Q43" s="674" t="s">
        <v>340</v>
      </c>
      <c r="R43" s="675" t="s">
        <v>341</v>
      </c>
      <c r="U43" s="80" t="str">
        <f>A9</f>
        <v>Not Used</v>
      </c>
      <c r="V43" s="78"/>
      <c r="W43" s="517" t="e">
        <f>(N22/N9)^(1/($A$16-$A$3))</f>
        <v>#DIV/0!</v>
      </c>
      <c r="AD43" s="78"/>
      <c r="AE43" s="78"/>
      <c r="AF43" s="78"/>
      <c r="AG43" s="80"/>
      <c r="AH43" s="78"/>
      <c r="AN43" s="65">
        <f>(($H59*$AC$59)+($I59*$AC$60)+($J59*$AC$61)+($K59*$AC$62)+($L59*$AC$64))*$D$48</f>
        <v>0</v>
      </c>
      <c r="AO43" s="65">
        <f>AN43*$I$20</f>
        <v>0</v>
      </c>
      <c r="AP43" s="65">
        <f t="shared" ref="AP43:BI43" si="112">AO43*$I$20</f>
        <v>0</v>
      </c>
      <c r="AQ43" s="65">
        <f t="shared" si="112"/>
        <v>0</v>
      </c>
      <c r="AR43" s="65">
        <f t="shared" si="112"/>
        <v>0</v>
      </c>
      <c r="AS43" s="65">
        <f t="shared" si="112"/>
        <v>0</v>
      </c>
      <c r="AT43" s="65">
        <f t="shared" si="112"/>
        <v>0</v>
      </c>
      <c r="AU43" s="65">
        <f t="shared" si="112"/>
        <v>0</v>
      </c>
      <c r="AV43" s="65">
        <f t="shared" si="112"/>
        <v>0</v>
      </c>
      <c r="AW43" s="65">
        <f t="shared" si="112"/>
        <v>0</v>
      </c>
      <c r="AX43" s="65">
        <f t="shared" si="112"/>
        <v>0</v>
      </c>
      <c r="AY43" s="65">
        <f t="shared" si="112"/>
        <v>0</v>
      </c>
      <c r="AZ43" s="65">
        <f t="shared" si="112"/>
        <v>0</v>
      </c>
      <c r="BA43" s="65">
        <f t="shared" si="112"/>
        <v>0</v>
      </c>
      <c r="BB43" s="65">
        <f t="shared" si="112"/>
        <v>0</v>
      </c>
      <c r="BC43" s="65">
        <f t="shared" si="112"/>
        <v>0</v>
      </c>
      <c r="BD43" s="65">
        <f t="shared" si="112"/>
        <v>0</v>
      </c>
      <c r="BE43" s="65">
        <f t="shared" si="112"/>
        <v>0</v>
      </c>
      <c r="BF43" s="65">
        <f t="shared" si="112"/>
        <v>0</v>
      </c>
      <c r="BG43" s="65">
        <f t="shared" si="112"/>
        <v>0</v>
      </c>
      <c r="BH43" s="65">
        <f t="shared" si="112"/>
        <v>0</v>
      </c>
      <c r="BI43" s="65">
        <f t="shared" si="112"/>
        <v>0</v>
      </c>
      <c r="BJ43" s="65">
        <f>AVERAGE(AN43:BI43)</f>
        <v>0</v>
      </c>
      <c r="BK43" s="66">
        <f>((($H59*$AE$59)+($I59*$AE$60)+($J59*$AE$61)+($K59*$AE$62)+($L59*$AE$64))*AW70)</f>
        <v>0</v>
      </c>
      <c r="BL43" s="573" t="e">
        <f>((($H59*$AE$59)+($I59*$AE$60)+($J59*$AE$61)+($K59*$AE$62)+($L59*$AE$64)))*AX70*$E$20^(BL42-2025)</f>
        <v>#VALUE!</v>
      </c>
      <c r="BM43" s="573" t="e">
        <f t="shared" ref="BM43:CD43" si="113">((($H59*$AE$59)+($I59*$AE$60)+($J59*$AE$61)+($K59*$AE$62)+($L59*$AE$64)))*AY70*$E$20^(BM42-2025)</f>
        <v>#VALUE!</v>
      </c>
      <c r="BN43" s="573" t="e">
        <f t="shared" si="113"/>
        <v>#VALUE!</v>
      </c>
      <c r="BO43" s="573" t="e">
        <f t="shared" si="113"/>
        <v>#VALUE!</v>
      </c>
      <c r="BP43" s="573" t="e">
        <f t="shared" si="113"/>
        <v>#VALUE!</v>
      </c>
      <c r="BQ43" s="573" t="e">
        <f t="shared" si="113"/>
        <v>#VALUE!</v>
      </c>
      <c r="BR43" s="573" t="e">
        <f t="shared" si="113"/>
        <v>#VALUE!</v>
      </c>
      <c r="BS43" s="573" t="e">
        <f t="shared" si="113"/>
        <v>#VALUE!</v>
      </c>
      <c r="BT43" s="573" t="e">
        <f t="shared" si="113"/>
        <v>#VALUE!</v>
      </c>
      <c r="BU43" s="573" t="e">
        <f t="shared" si="113"/>
        <v>#VALUE!</v>
      </c>
      <c r="BV43" s="573" t="e">
        <f t="shared" si="113"/>
        <v>#VALUE!</v>
      </c>
      <c r="BW43" s="573" t="e">
        <f t="shared" si="113"/>
        <v>#VALUE!</v>
      </c>
      <c r="BX43" s="573" t="e">
        <f t="shared" si="113"/>
        <v>#VALUE!</v>
      </c>
      <c r="BY43" s="573" t="e">
        <f t="shared" si="113"/>
        <v>#VALUE!</v>
      </c>
      <c r="BZ43" s="573" t="e">
        <f t="shared" si="113"/>
        <v>#VALUE!</v>
      </c>
      <c r="CA43" s="573" t="e">
        <f t="shared" si="113"/>
        <v>#VALUE!</v>
      </c>
      <c r="CB43" s="573" t="e">
        <f t="shared" si="113"/>
        <v>#VALUE!</v>
      </c>
      <c r="CC43" s="573" t="e">
        <f t="shared" si="113"/>
        <v>#VALUE!</v>
      </c>
      <c r="CD43" s="573" t="e">
        <f t="shared" si="113"/>
        <v>#VALUE!</v>
      </c>
      <c r="CE43" s="573"/>
      <c r="CF43" s="573"/>
      <c r="CG43" s="66" t="e">
        <f>AVERAGE(BK43:CF43)</f>
        <v>#VALUE!</v>
      </c>
      <c r="CH43" s="543" t="e">
        <f>(((($H59*$AD$59)+($I59*$AD$60)+($J59*$AD$61)+($K59*$AD$62))*AW73*$J$44)+(($L59*$AD$64)*AW73*$J$44))*($E$20^(CH42-2025))</f>
        <v>#VALUE!</v>
      </c>
      <c r="CI43" s="543" t="e">
        <f t="shared" ref="CI43:DA43" si="114">(((($H59*$AD$59)+($I59*$AD$60)+($J59*$AD$61)+($K59*$AD$62))*AX73*$J$44)+(($L59*$AD$64)*AX73*$J$44))*($E$20^(CI42-2025))</f>
        <v>#VALUE!</v>
      </c>
      <c r="CJ43" s="543" t="e">
        <f t="shared" si="114"/>
        <v>#VALUE!</v>
      </c>
      <c r="CK43" s="543" t="e">
        <f t="shared" si="114"/>
        <v>#VALUE!</v>
      </c>
      <c r="CL43" s="543" t="e">
        <f t="shared" si="114"/>
        <v>#VALUE!</v>
      </c>
      <c r="CM43" s="543" t="e">
        <f t="shared" si="114"/>
        <v>#VALUE!</v>
      </c>
      <c r="CN43" s="543" t="e">
        <f t="shared" si="114"/>
        <v>#VALUE!</v>
      </c>
      <c r="CO43" s="543" t="e">
        <f t="shared" si="114"/>
        <v>#VALUE!</v>
      </c>
      <c r="CP43" s="543" t="e">
        <f t="shared" si="114"/>
        <v>#VALUE!</v>
      </c>
      <c r="CQ43" s="543" t="e">
        <f t="shared" si="114"/>
        <v>#VALUE!</v>
      </c>
      <c r="CR43" s="543" t="e">
        <f t="shared" si="114"/>
        <v>#VALUE!</v>
      </c>
      <c r="CS43" s="543" t="e">
        <f t="shared" si="114"/>
        <v>#VALUE!</v>
      </c>
      <c r="CT43" s="543" t="e">
        <f t="shared" si="114"/>
        <v>#VALUE!</v>
      </c>
      <c r="CU43" s="543" t="e">
        <f t="shared" si="114"/>
        <v>#VALUE!</v>
      </c>
      <c r="CV43" s="543" t="e">
        <f t="shared" si="114"/>
        <v>#VALUE!</v>
      </c>
      <c r="CW43" s="543" t="e">
        <f t="shared" si="114"/>
        <v>#VALUE!</v>
      </c>
      <c r="CX43" s="543" t="e">
        <f t="shared" si="114"/>
        <v>#VALUE!</v>
      </c>
      <c r="CY43" s="543" t="e">
        <f t="shared" si="114"/>
        <v>#VALUE!</v>
      </c>
      <c r="CZ43" s="543" t="e">
        <f t="shared" si="114"/>
        <v>#VALUE!</v>
      </c>
      <c r="DA43" s="543" t="e">
        <f t="shared" si="114"/>
        <v>#VALUE!</v>
      </c>
      <c r="DB43" s="543"/>
      <c r="DC43" s="543"/>
      <c r="DD43" s="67" t="e">
        <f>AVERAGE(CH43:DC43)</f>
        <v>#VALUE!</v>
      </c>
      <c r="DE43" s="38"/>
      <c r="DF43" s="38"/>
      <c r="DG43" s="24"/>
      <c r="DH43" s="22"/>
      <c r="DI43" s="22"/>
      <c r="DJ43" s="22"/>
      <c r="DK43" s="24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D43" s="22"/>
      <c r="EE43" s="22"/>
    </row>
    <row r="44" spans="1:139" x14ac:dyDescent="0.25">
      <c r="A44" s="21" t="s">
        <v>39</v>
      </c>
      <c r="B44" s="359"/>
      <c r="C44" s="359"/>
      <c r="D44" s="500">
        <f>32</f>
        <v>32</v>
      </c>
      <c r="F44" s="21" t="s">
        <v>42</v>
      </c>
      <c r="G44" s="579">
        <f>8600</f>
        <v>8600</v>
      </c>
      <c r="H44" s="374" t="s">
        <v>113</v>
      </c>
      <c r="I44" s="374" t="s">
        <v>59</v>
      </c>
      <c r="J44" s="582">
        <f>(0.000001789+0.000017865)*1.1015</f>
        <v>2.1648880999999997E-5</v>
      </c>
      <c r="K44" s="118"/>
      <c r="L44" s="118"/>
      <c r="N44" s="148"/>
      <c r="O44" s="352"/>
      <c r="P44" s="148"/>
      <c r="Q44" s="148"/>
      <c r="R44" s="197"/>
      <c r="U44" s="80" t="str">
        <f>A10</f>
        <v>Name #4</v>
      </c>
      <c r="V44" s="78"/>
      <c r="W44" s="517" t="e">
        <f>(N23/N10)^(1/($A$16-$A$3))</f>
        <v>#DIV/0!</v>
      </c>
      <c r="AD44" s="78"/>
      <c r="AE44" s="78"/>
      <c r="AF44" s="78"/>
      <c r="AG44" s="80"/>
      <c r="AH44" s="78"/>
      <c r="AN44" s="65">
        <f>(($H60*$AC$59)+($I60*$AC$60)+($J60*$AC$61)+($K60*$AC$62)+($L60*$AC$64))*$D$48</f>
        <v>433997.38209106849</v>
      </c>
      <c r="AO44" s="65">
        <f>AN44*$I$21</f>
        <v>438391.42777547427</v>
      </c>
      <c r="AP44" s="65">
        <f t="shared" ref="AP44:BI44" si="115">AO44*$I$21</f>
        <v>442829.96137218864</v>
      </c>
      <c r="AQ44" s="65">
        <f t="shared" si="115"/>
        <v>447313.43330309703</v>
      </c>
      <c r="AR44" s="65">
        <f t="shared" si="115"/>
        <v>451842.29855042184</v>
      </c>
      <c r="AS44" s="65">
        <f t="shared" si="115"/>
        <v>456417.01670289412</v>
      </c>
      <c r="AT44" s="65">
        <f t="shared" si="115"/>
        <v>461038.05200239248</v>
      </c>
      <c r="AU44" s="65">
        <f t="shared" si="115"/>
        <v>465705.87339105434</v>
      </c>
      <c r="AV44" s="65">
        <f t="shared" si="115"/>
        <v>470420.95455886418</v>
      </c>
      <c r="AW44" s="65">
        <f t="shared" si="115"/>
        <v>475183.77399172349</v>
      </c>
      <c r="AX44" s="65">
        <f t="shared" si="115"/>
        <v>479994.81502000749</v>
      </c>
      <c r="AY44" s="65">
        <f t="shared" si="115"/>
        <v>484854.56586761336</v>
      </c>
      <c r="AZ44" s="65">
        <f t="shared" si="115"/>
        <v>489763.51970150531</v>
      </c>
      <c r="BA44" s="65">
        <f t="shared" si="115"/>
        <v>494722.17468176089</v>
      </c>
      <c r="BB44" s="65">
        <f t="shared" si="115"/>
        <v>499731.03401212447</v>
      </c>
      <c r="BC44" s="65">
        <f t="shared" si="115"/>
        <v>504790.60599107208</v>
      </c>
      <c r="BD44" s="65">
        <f t="shared" si="115"/>
        <v>509901.40406339365</v>
      </c>
      <c r="BE44" s="65">
        <f t="shared" si="115"/>
        <v>515063.94687229715</v>
      </c>
      <c r="BF44" s="65">
        <f t="shared" si="115"/>
        <v>520278.75831204059</v>
      </c>
      <c r="BG44" s="65">
        <f t="shared" si="115"/>
        <v>525546.36758109671</v>
      </c>
      <c r="BH44" s="65">
        <f t="shared" si="115"/>
        <v>530867.30923585594</v>
      </c>
      <c r="BI44" s="65">
        <f t="shared" si="115"/>
        <v>536242.12324487325</v>
      </c>
      <c r="BJ44" s="65">
        <f t="shared" ref="BJ44:BJ47" si="116">AVERAGE(AN44:BI44)</f>
        <v>483404.39992376452</v>
      </c>
      <c r="BK44" s="573">
        <f>((($H60*$AE$59)+($I60*$AE$60)+($J60*$AE$61)+($K60*$AE$62)+($L60*$AE$64)))*AW70*(1+'VHD Savings'!$C$14)^(BK42-2027)</f>
        <v>15445.825765852747</v>
      </c>
      <c r="BL44" s="573">
        <f>((($H60*$AE$59)+($I60*$AE$60)+($J60*$AE$61)+($K60*$AE$62)+($L60*$AE$64)))*AX70*(1+'VHD Savings'!$C$14)^(BL42-2025)</f>
        <v>16204.020766432086</v>
      </c>
      <c r="BM44" s="573">
        <f>((($H60*$AE$59)+($I60*$AE$60)+($J60*$AE$61)+($K60*$AE$62)+($L60*$AE$64)))*AY70*(1+'VHD Savings'!$C$14)^(BM42-2027)</f>
        <v>16323.03776273103</v>
      </c>
      <c r="BN44" s="573">
        <f>((($H60*$AE$59)+($I60*$AE$60)+($J60*$AE$61)+($K60*$AE$62)+($L60*$AE$64)))*AZ70*(1+'VHD Savings'!$C$14)^(BN42-2025)</f>
        <v>17403.999937074452</v>
      </c>
      <c r="BO44" s="573">
        <f>((($H60*$AE$59)+($I60*$AE$60)+($J60*$AE$61)+($K60*$AE$62)+($L60*$AE$64)))*BA70*(1+'VHD Savings'!$C$14)^(BO42-2027)</f>
        <v>17516.717019490734</v>
      </c>
      <c r="BP44" s="573">
        <f>((($H60*$AE$59)+($I60*$AE$60)+($J60*$AE$61)+($K60*$AE$62)+($L60*$AE$64)))*BB70*(1+'VHD Savings'!$C$14)^(BP42-2025)</f>
        <v>18350.140736210731</v>
      </c>
      <c r="BQ44" s="573">
        <f>((($H60*$AE$59)+($I60*$AE$60)+($J60*$AE$61)+($K60*$AE$62)+($L60*$AE$64)))*BC70*(1+'VHD Savings'!$C$14)^(BQ42-2027)</f>
        <v>18459.218721296802</v>
      </c>
      <c r="BR44" s="573">
        <f>((($H60*$AE$59)+($I60*$AE$60)+($J60*$AE$61)+($K60*$AE$62)+($L60*$AE$64)))*BD70*(1+'VHD Savings'!$C$14)^(BR42-2025)</f>
        <v>19327.584076259689</v>
      </c>
      <c r="BS44" s="573">
        <f>((($H60*$AE$59)+($I60*$AE$60)+($J60*$AE$61)+($K60*$AE$62)+($L60*$AE$64)))*BE70*(1+'VHD Savings'!$C$14)^(BS42-2027)</f>
        <v>19432.828154045364</v>
      </c>
      <c r="BT44" s="573">
        <f>((($H60*$AE$59)+($I60*$AE$60)+($J60*$AE$61)+($K60*$AE$62)+($L60*$AE$64)))*BF70*(1+'VHD Savings'!$C$14)^(BT42-2025)</f>
        <v>20337.212193114905</v>
      </c>
      <c r="BU44" s="573">
        <f>((($H60*$AE$59)+($I60*$AE$60)+($J60*$AE$61)+($K60*$AE$62)+($L60*$AE$64)))*BG70*(1+'VHD Savings'!$C$14)^(BU42-2027)</f>
        <v>20438.421131488656</v>
      </c>
      <c r="BV44" s="573">
        <f>((($H60*$AE$59)+($I60*$AE$60)+($J60*$AE$61)+($K60*$AE$62)+($L60*$AE$64)))*BH70*(1+'VHD Savings'!$C$14)^(BV42-2025)</f>
        <v>21694.341006638733</v>
      </c>
      <c r="BW44" s="573">
        <f>((($H60*$AE$59)+($I60*$AE$60)+($J60*$AE$61)+($K60*$AE$62)+($L60*$AE$64)))*BI70*(1+'VHD Savings'!$C$14)^(BW42-2027)</f>
        <v>21788.155597079352</v>
      </c>
      <c r="BX44" s="573">
        <f>((($H60*$AE$59)+($I60*$AE$60)+($J60*$AE$61)+($K60*$AE$62)+($L60*$AE$64)))*BJ70*(1+'VHD Savings'!$C$14)^(BX42-2025)</f>
        <v>22777.476521515247</v>
      </c>
      <c r="BY44" s="573">
        <f>((($H60*$AE$59)+($I60*$AE$60)+($J60*$AE$61)+($K60*$AE$62)+($L60*$AE$64)))*BK70*(1+'VHD Savings'!$C$14)^(BY42-2027)</f>
        <v>22866.769378573048</v>
      </c>
      <c r="BZ44" s="573">
        <f>((($H60*$AE$59)+($I60*$AE$60)+($J60*$AE$61)+($K60*$AE$62)+($L60*$AE$64)))*BL70*(1+'VHD Savings'!$C$14)^(BZ42-2025)</f>
        <v>23895.713703186801</v>
      </c>
      <c r="CA44" s="573">
        <f>((($H60*$AE$59)+($I60*$AE$60)+($J60*$AE$61)+($K60*$AE$62)+($L60*$AE$64)))*BM70*(1+'VHD Savings'!$C$14)^(CA42-2027)</f>
        <v>23980.261919870471</v>
      </c>
      <c r="CB44" s="573">
        <f>((($H60*$AE$59)+($I60*$AE$60)+($J60*$AE$61)+($K60*$AE$62)+($L60*$AE$64)))*BN70*(1+'VHD Savings'!$C$14)^(CB42-2025)</f>
        <v>25050.032682789759</v>
      </c>
      <c r="CC44" s="573">
        <f>((($H60*$AE$59)+($I60*$AE$60)+($J60*$AE$61)+($K60*$AE$62)+($L60*$AE$64)))*BO70*(1+'VHD Savings'!$C$14)^(CC42-2027)</f>
        <v>25460.258864428157</v>
      </c>
      <c r="CD44" s="573">
        <f>((($H60*$AE$59)+($I60*$AE$60)+($J60*$AE$61)+($K60*$AE$62)+($L60*$AE$64)))*BP70*(1+'VHD Savings'!$C$14)^(CD42-2025)</f>
        <v>26582.236855711544</v>
      </c>
      <c r="CE44" s="573"/>
      <c r="CF44" s="573"/>
      <c r="CG44" s="66">
        <f t="shared" ref="CG44:CG47" si="117">AVERAGE(BK44:CF44)</f>
        <v>20666.712639689515</v>
      </c>
      <c r="CH44" s="67">
        <f>(((($H60*$AD$59)+($I60*$AD$60)+($J60*$AD$61)+($K60*$AD$62))*AW73*$J$44)+(($L60*$AD$64)*AW73*$J$44))*((1+'VHD Savings'!$C$14)^(CH42-2027))</f>
        <v>8969.0017648005705</v>
      </c>
      <c r="CI44" s="67">
        <f>(((($H60*$AD$59)+($I60*$AD$60)+($J60*$AD$61)+($K60*$AD$62))*AX73*$J$44)+(($L60*$AD$64)*AX73*$J$44))*((1+'VHD Savings'!$C$14)^(CI42-2027))</f>
        <v>9224.533037295434</v>
      </c>
      <c r="CJ44" s="67">
        <f>(((($H60*$AD$59)+($I60*$AD$60)+($J60*$AD$61)+($K60*$AD$62))*AY73*$J$44)+(($L60*$AD$64)*AY73*$J$44))*((1+'VHD Savings'!$C$14)^(CJ42-2027))</f>
        <v>9484.319220263189</v>
      </c>
      <c r="CK44" s="67">
        <f>(((($H60*$AD$59)+($I60*$AD$60)+($J60*$AD$61)+($K60*$AD$62))*AZ73*$J$44)+(($L60*$AD$64)*AZ73*$J$44))*((1+'VHD Savings'!$C$14)^(CK42-2027))</f>
        <v>9748.4202783262735</v>
      </c>
      <c r="CL44" s="67">
        <f>(((($H60*$AD$59)+($I60*$AD$60)+($J60*$AD$61)+($K60*$AD$62))*BA73*$J$44)+(($L60*$AD$64)*BA73*$J$44))*((1+'VHD Savings'!$C$14)^(CL42-2027))</f>
        <v>10016.896954182097</v>
      </c>
      <c r="CM44" s="67">
        <f>(((($H60*$AD$59)+($I60*$AD$60)+($J60*$AD$61)+($K60*$AD$62))*BB73*$J$44)+(($L60*$AD$64)*BB73*$J$44))*((1+'VHD Savings'!$C$14)^(CM42-2027))</f>
        <v>10346.976393646106</v>
      </c>
      <c r="CN44" s="67">
        <f>(((($H60*$AD$59)+($I60*$AD$60)+($J60*$AD$61)+($K60*$AD$62))*BC73*$J$44)+(($L60*$AD$64)*BC73*$J$44))*((1+'VHD Savings'!$C$14)^(CN42-2027))</f>
        <v>10451.735290462699</v>
      </c>
      <c r="CO44" s="67">
        <f>(((($H60*$AD$59)+($I60*$AD$60)+($J60*$AD$61)+($K60*$AD$62))*BD73*$J$44)+(($L60*$AD$64)*BD73*$J$44))*((1+'VHD Savings'!$C$14)^(CO42-2027))</f>
        <v>10557.554828189706</v>
      </c>
      <c r="CP44" s="67">
        <f>(((($H60*$AD$59)+($I60*$AD$60)+($J60*$AD$61)+($K60*$AD$62))*BE73*$J$44)+(($L60*$AD$64)*BE73*$J$44))*((1+'VHD Savings'!$C$14)^(CP42-2027))</f>
        <v>10664.445745381807</v>
      </c>
      <c r="CQ44" s="67">
        <f>(((($H60*$AD$59)+($I60*$AD$60)+($J60*$AD$61)+($K60*$AD$62))*BF73*$J$44)+(($L60*$AD$64)*BF73*$J$44))*((1+'VHD Savings'!$C$14)^(CQ42-2027))</f>
        <v>10772.418889317132</v>
      </c>
      <c r="CR44" s="67">
        <f>(((($H60*$AD$59)+($I60*$AD$60)+($J60*$AD$61)+($K60*$AD$62))*BG73*$J$44)+(($L60*$AD$64)*BG73*$J$44))*((1+'VHD Savings'!$C$14)^(CR42-2027))</f>
        <v>10881.485217098076</v>
      </c>
      <c r="CS44" s="67">
        <f>(((($H60*$AD$59)+($I60*$AD$60)+($J60*$AD$61)+($K60*$AD$62))*BH73*$J$44)+(($L60*$AD$64)*BH73*$J$44))*((1+'VHD Savings'!$C$14)^(CS42-2027))</f>
        <v>10991.655796763189</v>
      </c>
      <c r="CT44" s="67">
        <f>(((($H60*$AD$59)+($I60*$AD$60)+($J60*$AD$61)+($K60*$AD$62))*BI73*$J$44)+(($L60*$AD$64)*BI73*$J$44))*((1+'VHD Savings'!$C$14)^(CT42-2027))</f>
        <v>11102.941808410387</v>
      </c>
      <c r="CU44" s="67">
        <f>(((($H60*$AD$59)+($I60*$AD$60)+($J60*$AD$61)+($K60*$AD$62))*BJ73*$J$44)+(($L60*$AD$64)*BJ73*$J$44))*((1+'VHD Savings'!$C$14)^(CU42-2027))</f>
        <v>11215.354545331498</v>
      </c>
      <c r="CV44" s="67">
        <f>(((($H60*$AD$59)+($I60*$AD$60)+($J60*$AD$61)+($K60*$AD$62))*BK73*$J$44)+(($L60*$AD$64)*BK73*$J$44))*((1+'VHD Savings'!$C$14)^(CV42-2027))</f>
        <v>11328.905415158299</v>
      </c>
      <c r="CW44" s="67">
        <f>(((($H60*$AD$59)+($I60*$AD$60)+($J60*$AD$61)+($K60*$AD$62))*BL73*$J$44)+(($L60*$AD$64)*BL73*$J$44))*((1+'VHD Savings'!$C$14)^(CW42-2027))</f>
        <v>11443.60594102016</v>
      </c>
      <c r="CX44" s="67">
        <f>(((($H60*$AD$59)+($I60*$AD$60)+($J60*$AD$61)+($K60*$AD$62))*BM73*$J$44)+(($L60*$AD$64)*BM73*$J$44))*((1+'VHD Savings'!$C$14)^(CX42-2027))</f>
        <v>11559.467762713428</v>
      </c>
      <c r="CY44" s="67">
        <f>(((($H60*$AD$59)+($I60*$AD$60)+($J60*$AD$61)+($K60*$AD$62))*BN73*$J$44)+(($L60*$AD$64)*BN73*$J$44))*((1+'VHD Savings'!$C$14)^(CY42-2027))</f>
        <v>11676.502637882606</v>
      </c>
      <c r="CZ44" s="67">
        <f>(((($H60*$AD$59)+($I60*$AD$60)+($J60*$AD$61)+($K60*$AD$62))*BO73*$J$44)+(($L60*$AD$64)*BO73*$J$44))*((1+'VHD Savings'!$C$14)^(CZ42-2027))</f>
        <v>11794.722443213537</v>
      </c>
      <c r="DA44" s="67">
        <f>(((($H60*$AD$59)+($I60*$AD$60)+($J60*$AD$61)+($K60*$AD$62))*BP73*$J$44)+(($L60*$AD$64)*BP73*$J$44))*((1+'VHD Savings'!$C$14)^(DA42-2027))</f>
        <v>11914.139175638644</v>
      </c>
      <c r="DB44" s="67"/>
      <c r="DC44" s="67"/>
      <c r="DD44" s="67">
        <f t="shared" ref="DD44:DD47" si="118">AVERAGE(CH44:DC44)</f>
        <v>10707.254157254743</v>
      </c>
      <c r="DE44" s="38"/>
      <c r="DF44" s="38"/>
      <c r="DG44" s="24"/>
      <c r="DH44" s="22"/>
      <c r="DI44" s="22"/>
      <c r="DJ44" s="22"/>
      <c r="DK44" s="24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D44" s="22"/>
      <c r="EE44" s="22"/>
    </row>
    <row r="45" spans="1:139" x14ac:dyDescent="0.25">
      <c r="A45" s="21" t="s">
        <v>41</v>
      </c>
      <c r="D45" s="501">
        <v>0.14280000000000001</v>
      </c>
      <c r="F45" s="21" t="s">
        <v>252</v>
      </c>
      <c r="G45" s="579">
        <f>387300</f>
        <v>387300</v>
      </c>
      <c r="H45" s="374" t="s">
        <v>113</v>
      </c>
      <c r="I45" s="374" t="s">
        <v>60</v>
      </c>
      <c r="J45" s="582">
        <f>(0.000000198+0.00000146)*1.1015</f>
        <v>1.8262869999999998E-6</v>
      </c>
      <c r="K45" s="118"/>
      <c r="L45" s="118"/>
      <c r="M45" s="322" t="s">
        <v>201</v>
      </c>
      <c r="N45" s="322"/>
      <c r="O45" s="444"/>
      <c r="P45" s="322" t="s">
        <v>198</v>
      </c>
      <c r="Q45" s="322"/>
      <c r="R45" s="322"/>
      <c r="S45" s="322"/>
      <c r="U45" s="80" t="str">
        <f>A11</f>
        <v>Name #5</v>
      </c>
      <c r="V45" s="78"/>
      <c r="W45" s="517" t="e">
        <f>(N24/N11)^(1/($A$16-$A$3))</f>
        <v>#DIV/0!</v>
      </c>
      <c r="AD45" s="78"/>
      <c r="AE45" s="78"/>
      <c r="AF45" s="78"/>
      <c r="AG45" s="80"/>
      <c r="AH45" s="78"/>
      <c r="AN45" s="65">
        <f>(($H61*$AC$59)+($I61*$AC$60)+($J61*$AC$61)+($K61*$AC$62)+($L61*$AC$64))*$D$48</f>
        <v>0</v>
      </c>
      <c r="AO45" s="65">
        <f>AN45*$I$22</f>
        <v>0</v>
      </c>
      <c r="AP45" s="65">
        <f t="shared" ref="AP45:BI45" si="119">AO45*$I$22</f>
        <v>0</v>
      </c>
      <c r="AQ45" s="65">
        <f t="shared" si="119"/>
        <v>0</v>
      </c>
      <c r="AR45" s="65">
        <f t="shared" si="119"/>
        <v>0</v>
      </c>
      <c r="AS45" s="65">
        <f t="shared" si="119"/>
        <v>0</v>
      </c>
      <c r="AT45" s="65">
        <f t="shared" si="119"/>
        <v>0</v>
      </c>
      <c r="AU45" s="65">
        <f t="shared" si="119"/>
        <v>0</v>
      </c>
      <c r="AV45" s="65">
        <f t="shared" si="119"/>
        <v>0</v>
      </c>
      <c r="AW45" s="65">
        <f t="shared" si="119"/>
        <v>0</v>
      </c>
      <c r="AX45" s="65">
        <f t="shared" si="119"/>
        <v>0</v>
      </c>
      <c r="AY45" s="65">
        <f t="shared" si="119"/>
        <v>0</v>
      </c>
      <c r="AZ45" s="65">
        <f t="shared" si="119"/>
        <v>0</v>
      </c>
      <c r="BA45" s="65">
        <f t="shared" si="119"/>
        <v>0</v>
      </c>
      <c r="BB45" s="65">
        <f t="shared" si="119"/>
        <v>0</v>
      </c>
      <c r="BC45" s="65">
        <f t="shared" si="119"/>
        <v>0</v>
      </c>
      <c r="BD45" s="65">
        <f t="shared" si="119"/>
        <v>0</v>
      </c>
      <c r="BE45" s="65">
        <f t="shared" si="119"/>
        <v>0</v>
      </c>
      <c r="BF45" s="65">
        <f t="shared" si="119"/>
        <v>0</v>
      </c>
      <c r="BG45" s="65">
        <f t="shared" si="119"/>
        <v>0</v>
      </c>
      <c r="BH45" s="65">
        <f t="shared" si="119"/>
        <v>0</v>
      </c>
      <c r="BI45" s="65">
        <f t="shared" si="119"/>
        <v>0</v>
      </c>
      <c r="BJ45" s="65">
        <f t="shared" si="116"/>
        <v>0</v>
      </c>
      <c r="BK45" s="66">
        <f>((($H61*$AE$59)+($I61*$AE$60)+($J61*$AE$61)+($K61*$AE$62)+($L61*$AE$64))*AW70)</f>
        <v>0</v>
      </c>
      <c r="BL45" s="573">
        <f>((($H61*$AE$59)+($I61*$AE$60)+($J61*$AE$61)+($K61*$AE$62)+($L61*$AE$64)))*AX70*$E$22^(BL42-2025)</f>
        <v>0</v>
      </c>
      <c r="BM45" s="573">
        <f>((($H61*$AE$59)+($I61*$AE$60)+($J61*$AE$61)+($K61*$AE$62)+($L61*$AE$64)))*AY70*$E$22^(BM42-2025)</f>
        <v>0</v>
      </c>
      <c r="BN45" s="573">
        <f t="shared" ref="BN45:CD45" si="120">((($H61*$AE$59)+($I61*$AE$60)+($J61*$AE$61)+($K61*$AE$62)+($L61*$AE$64)))*AZ70*$E$22^(BN42-2025)</f>
        <v>0</v>
      </c>
      <c r="BO45" s="573">
        <f t="shared" si="120"/>
        <v>0</v>
      </c>
      <c r="BP45" s="573">
        <f t="shared" si="120"/>
        <v>0</v>
      </c>
      <c r="BQ45" s="573">
        <f t="shared" si="120"/>
        <v>0</v>
      </c>
      <c r="BR45" s="573">
        <f t="shared" si="120"/>
        <v>0</v>
      </c>
      <c r="BS45" s="573">
        <f t="shared" si="120"/>
        <v>0</v>
      </c>
      <c r="BT45" s="573">
        <f t="shared" si="120"/>
        <v>0</v>
      </c>
      <c r="BU45" s="573">
        <f t="shared" si="120"/>
        <v>0</v>
      </c>
      <c r="BV45" s="573">
        <f t="shared" si="120"/>
        <v>0</v>
      </c>
      <c r="BW45" s="573">
        <f t="shared" si="120"/>
        <v>0</v>
      </c>
      <c r="BX45" s="573">
        <f t="shared" si="120"/>
        <v>0</v>
      </c>
      <c r="BY45" s="573">
        <f t="shared" si="120"/>
        <v>0</v>
      </c>
      <c r="BZ45" s="573">
        <f t="shared" si="120"/>
        <v>0</v>
      </c>
      <c r="CA45" s="573">
        <f t="shared" si="120"/>
        <v>0</v>
      </c>
      <c r="CB45" s="573">
        <f t="shared" si="120"/>
        <v>0</v>
      </c>
      <c r="CC45" s="573">
        <f t="shared" si="120"/>
        <v>0</v>
      </c>
      <c r="CD45" s="573">
        <f t="shared" si="120"/>
        <v>0</v>
      </c>
      <c r="CE45" s="573"/>
      <c r="CF45" s="573"/>
      <c r="CG45" s="66">
        <f t="shared" si="117"/>
        <v>0</v>
      </c>
      <c r="CH45" s="67">
        <f t="shared" ref="CH45:DA45" si="121">(((($H61*$AD$59)+($I61*$AD$60)+($J61*$AD$61)+($K61*$AD$62))*AW73*$J$44)+(($L61*$AD$64)*AW73*$J$44))*($E$22^(CH42-2025))</f>
        <v>0</v>
      </c>
      <c r="CI45" s="67">
        <f t="shared" si="121"/>
        <v>0</v>
      </c>
      <c r="CJ45" s="67">
        <f t="shared" si="121"/>
        <v>0</v>
      </c>
      <c r="CK45" s="67">
        <f t="shared" si="121"/>
        <v>0</v>
      </c>
      <c r="CL45" s="67">
        <f t="shared" si="121"/>
        <v>0</v>
      </c>
      <c r="CM45" s="67">
        <f t="shared" si="121"/>
        <v>0</v>
      </c>
      <c r="CN45" s="67">
        <f t="shared" si="121"/>
        <v>0</v>
      </c>
      <c r="CO45" s="67">
        <f t="shared" si="121"/>
        <v>0</v>
      </c>
      <c r="CP45" s="67">
        <f t="shared" si="121"/>
        <v>0</v>
      </c>
      <c r="CQ45" s="67">
        <f t="shared" si="121"/>
        <v>0</v>
      </c>
      <c r="CR45" s="67">
        <f t="shared" si="121"/>
        <v>0</v>
      </c>
      <c r="CS45" s="67">
        <f t="shared" si="121"/>
        <v>0</v>
      </c>
      <c r="CT45" s="67">
        <f t="shared" si="121"/>
        <v>0</v>
      </c>
      <c r="CU45" s="67">
        <f t="shared" si="121"/>
        <v>0</v>
      </c>
      <c r="CV45" s="67">
        <f t="shared" si="121"/>
        <v>0</v>
      </c>
      <c r="CW45" s="67">
        <f t="shared" si="121"/>
        <v>0</v>
      </c>
      <c r="CX45" s="67">
        <f t="shared" si="121"/>
        <v>0</v>
      </c>
      <c r="CY45" s="67">
        <f t="shared" si="121"/>
        <v>0</v>
      </c>
      <c r="CZ45" s="67">
        <f t="shared" si="121"/>
        <v>0</v>
      </c>
      <c r="DA45" s="67">
        <f t="shared" si="121"/>
        <v>0</v>
      </c>
      <c r="DB45" s="67"/>
      <c r="DC45" s="67"/>
      <c r="DD45" s="67">
        <f t="shared" si="118"/>
        <v>0</v>
      </c>
      <c r="DE45" s="38"/>
      <c r="DF45" s="38"/>
      <c r="DG45" s="24"/>
      <c r="DH45" s="22"/>
      <c r="DI45" s="22"/>
      <c r="DJ45" s="22"/>
      <c r="DK45" s="24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D45" s="22"/>
      <c r="EE45" s="22"/>
    </row>
    <row r="46" spans="1:139" x14ac:dyDescent="0.25">
      <c r="A46" s="21" t="s">
        <v>191</v>
      </c>
      <c r="D46" s="502">
        <f>33.6+(39*17.8)</f>
        <v>727.80000000000007</v>
      </c>
      <c r="F46" s="21" t="s">
        <v>170</v>
      </c>
      <c r="G46" s="579">
        <f>50100</f>
        <v>50100</v>
      </c>
      <c r="H46" s="374" t="s">
        <v>113</v>
      </c>
      <c r="I46" s="374" t="s">
        <v>171</v>
      </c>
      <c r="J46" s="582">
        <f>(0.000001016+0.000000178)*1.1015</f>
        <v>1.3151910000000001E-6</v>
      </c>
      <c r="K46" s="118"/>
      <c r="L46" s="118"/>
      <c r="M46" s="322" t="s">
        <v>338</v>
      </c>
      <c r="N46" s="322"/>
      <c r="O46" s="444"/>
      <c r="P46" s="322" t="s">
        <v>199</v>
      </c>
      <c r="Q46" s="322"/>
      <c r="R46" s="322"/>
      <c r="S46" s="322"/>
      <c r="T46" s="168"/>
      <c r="U46" s="168"/>
      <c r="V46" s="168"/>
      <c r="W46" s="168"/>
      <c r="X46" s="168"/>
      <c r="Y46" s="168"/>
      <c r="Z46" s="168"/>
      <c r="AA46" s="168"/>
      <c r="AB46" s="168"/>
      <c r="AD46" s="78"/>
      <c r="AE46" s="78"/>
      <c r="AF46" s="78"/>
      <c r="AG46" s="80"/>
      <c r="AH46" s="78"/>
      <c r="AN46" s="65">
        <f>(($H62*$AC$59)+($I62*$AC$60)+($J62*$AC$61)+($K62*$AC$62)+($L62*$AC$64))*$D$48</f>
        <v>0</v>
      </c>
      <c r="AO46" s="65">
        <f>AN46*$I$23</f>
        <v>0</v>
      </c>
      <c r="AP46" s="65">
        <f t="shared" ref="AP46:BI46" si="122">AO46*$I$23</f>
        <v>0</v>
      </c>
      <c r="AQ46" s="65">
        <f t="shared" si="122"/>
        <v>0</v>
      </c>
      <c r="AR46" s="65">
        <f t="shared" si="122"/>
        <v>0</v>
      </c>
      <c r="AS46" s="65">
        <f t="shared" si="122"/>
        <v>0</v>
      </c>
      <c r="AT46" s="65">
        <f t="shared" si="122"/>
        <v>0</v>
      </c>
      <c r="AU46" s="65">
        <f t="shared" si="122"/>
        <v>0</v>
      </c>
      <c r="AV46" s="65">
        <f t="shared" si="122"/>
        <v>0</v>
      </c>
      <c r="AW46" s="65">
        <f t="shared" si="122"/>
        <v>0</v>
      </c>
      <c r="AX46" s="65">
        <f t="shared" si="122"/>
        <v>0</v>
      </c>
      <c r="AY46" s="65">
        <f t="shared" si="122"/>
        <v>0</v>
      </c>
      <c r="AZ46" s="65">
        <f t="shared" si="122"/>
        <v>0</v>
      </c>
      <c r="BA46" s="65">
        <f t="shared" si="122"/>
        <v>0</v>
      </c>
      <c r="BB46" s="65">
        <f t="shared" si="122"/>
        <v>0</v>
      </c>
      <c r="BC46" s="65">
        <f t="shared" si="122"/>
        <v>0</v>
      </c>
      <c r="BD46" s="65">
        <f t="shared" si="122"/>
        <v>0</v>
      </c>
      <c r="BE46" s="65">
        <f t="shared" si="122"/>
        <v>0</v>
      </c>
      <c r="BF46" s="65">
        <f t="shared" si="122"/>
        <v>0</v>
      </c>
      <c r="BG46" s="65">
        <f t="shared" si="122"/>
        <v>0</v>
      </c>
      <c r="BH46" s="65">
        <f t="shared" si="122"/>
        <v>0</v>
      </c>
      <c r="BI46" s="65">
        <f t="shared" si="122"/>
        <v>0</v>
      </c>
      <c r="BJ46" s="65">
        <f t="shared" si="116"/>
        <v>0</v>
      </c>
      <c r="BK46" s="66">
        <f>((($H62*$AE$59)+($I62*$AE$60)+($J62*$AE$61)+($K62*$AE$62)+($L62*$AE$64))*$G$42)</f>
        <v>0</v>
      </c>
      <c r="BL46" s="66">
        <f t="shared" ref="BL46:CF46" si="123">BK46*$E$23</f>
        <v>0</v>
      </c>
      <c r="BM46" s="66">
        <f t="shared" si="123"/>
        <v>0</v>
      </c>
      <c r="BN46" s="66">
        <f t="shared" si="123"/>
        <v>0</v>
      </c>
      <c r="BO46" s="66">
        <f t="shared" si="123"/>
        <v>0</v>
      </c>
      <c r="BP46" s="66">
        <f t="shared" si="123"/>
        <v>0</v>
      </c>
      <c r="BQ46" s="66">
        <f t="shared" si="123"/>
        <v>0</v>
      </c>
      <c r="BR46" s="66">
        <f t="shared" si="123"/>
        <v>0</v>
      </c>
      <c r="BS46" s="66">
        <f t="shared" si="123"/>
        <v>0</v>
      </c>
      <c r="BT46" s="66">
        <f t="shared" si="123"/>
        <v>0</v>
      </c>
      <c r="BU46" s="66">
        <f t="shared" si="123"/>
        <v>0</v>
      </c>
      <c r="BV46" s="66">
        <f t="shared" si="123"/>
        <v>0</v>
      </c>
      <c r="BW46" s="66">
        <f t="shared" si="123"/>
        <v>0</v>
      </c>
      <c r="BX46" s="66">
        <f t="shared" si="123"/>
        <v>0</v>
      </c>
      <c r="BY46" s="66">
        <f t="shared" si="123"/>
        <v>0</v>
      </c>
      <c r="BZ46" s="66">
        <f t="shared" si="123"/>
        <v>0</v>
      </c>
      <c r="CA46" s="66">
        <f t="shared" si="123"/>
        <v>0</v>
      </c>
      <c r="CB46" s="66">
        <f t="shared" si="123"/>
        <v>0</v>
      </c>
      <c r="CC46" s="66">
        <f t="shared" si="123"/>
        <v>0</v>
      </c>
      <c r="CD46" s="66">
        <f t="shared" si="123"/>
        <v>0</v>
      </c>
      <c r="CE46" s="66">
        <f t="shared" si="123"/>
        <v>0</v>
      </c>
      <c r="CF46" s="66">
        <f t="shared" si="123"/>
        <v>0</v>
      </c>
      <c r="CG46" s="66">
        <f t="shared" si="117"/>
        <v>0</v>
      </c>
      <c r="CH46" s="67">
        <f>((($H62*$AD$59)+($I62*$AD$60)+($J62*$AD$61)+($K62*$AD$62))*$G$44*$J$44)+(($L62*$AD$64)*$G$44*$J$44)</f>
        <v>0</v>
      </c>
      <c r="CI46" s="67">
        <f t="shared" ref="CI46:DA46" si="124">CH46*$E$23</f>
        <v>0</v>
      </c>
      <c r="CJ46" s="67">
        <f t="shared" si="124"/>
        <v>0</v>
      </c>
      <c r="CK46" s="67">
        <f t="shared" si="124"/>
        <v>0</v>
      </c>
      <c r="CL46" s="67">
        <f t="shared" si="124"/>
        <v>0</v>
      </c>
      <c r="CM46" s="67">
        <f t="shared" si="124"/>
        <v>0</v>
      </c>
      <c r="CN46" s="67">
        <f t="shared" si="124"/>
        <v>0</v>
      </c>
      <c r="CO46" s="67">
        <f t="shared" si="124"/>
        <v>0</v>
      </c>
      <c r="CP46" s="67">
        <f t="shared" si="124"/>
        <v>0</v>
      </c>
      <c r="CQ46" s="67">
        <f t="shared" si="124"/>
        <v>0</v>
      </c>
      <c r="CR46" s="67">
        <f t="shared" si="124"/>
        <v>0</v>
      </c>
      <c r="CS46" s="67">
        <f t="shared" si="124"/>
        <v>0</v>
      </c>
      <c r="CT46" s="67">
        <f t="shared" si="124"/>
        <v>0</v>
      </c>
      <c r="CU46" s="67">
        <f t="shared" si="124"/>
        <v>0</v>
      </c>
      <c r="CV46" s="67">
        <f t="shared" si="124"/>
        <v>0</v>
      </c>
      <c r="CW46" s="67">
        <f t="shared" si="124"/>
        <v>0</v>
      </c>
      <c r="CX46" s="67">
        <f t="shared" si="124"/>
        <v>0</v>
      </c>
      <c r="CY46" s="67">
        <f t="shared" si="124"/>
        <v>0</v>
      </c>
      <c r="CZ46" s="67">
        <f t="shared" si="124"/>
        <v>0</v>
      </c>
      <c r="DA46" s="67">
        <f t="shared" si="124"/>
        <v>0</v>
      </c>
      <c r="DB46" s="67"/>
      <c r="DC46" s="67"/>
      <c r="DD46" s="67">
        <f t="shared" si="118"/>
        <v>0</v>
      </c>
      <c r="DE46" s="38"/>
      <c r="DF46" s="38"/>
      <c r="DG46" s="24"/>
      <c r="DH46" s="22"/>
      <c r="DI46" s="22"/>
      <c r="DJ46" s="22"/>
      <c r="DK46" s="24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D46" s="22"/>
      <c r="EE46" s="22"/>
    </row>
    <row r="47" spans="1:139" x14ac:dyDescent="0.25">
      <c r="A47" s="21" t="s">
        <v>192</v>
      </c>
      <c r="D47" s="501">
        <v>0</v>
      </c>
      <c r="G47" s="325"/>
      <c r="H47" s="319"/>
      <c r="I47" s="370" t="s">
        <v>114</v>
      </c>
      <c r="J47" s="375"/>
      <c r="K47" s="118"/>
      <c r="L47" s="118"/>
      <c r="M47" s="322"/>
      <c r="N47" s="446">
        <f>644/Q67*100</f>
        <v>648.14581469093434</v>
      </c>
      <c r="O47" s="444"/>
      <c r="P47" s="322" t="s">
        <v>200</v>
      </c>
      <c r="Q47" s="322"/>
      <c r="R47" s="322"/>
      <c r="S47" s="322"/>
      <c r="T47" s="168"/>
      <c r="U47" s="168"/>
      <c r="V47" s="168"/>
      <c r="W47" s="168"/>
      <c r="X47" s="168"/>
      <c r="Y47" s="168"/>
      <c r="Z47" s="168"/>
      <c r="AA47" s="168"/>
      <c r="AB47" s="168"/>
      <c r="AD47" s="78"/>
      <c r="AE47" s="78"/>
      <c r="AF47" s="78"/>
      <c r="AG47" s="248"/>
      <c r="AH47" s="78"/>
      <c r="AN47" s="65">
        <f>(($H63*$AC$59)+($I63*$AC$60)+($J63*$AC$61)+($K63*$AC$62)+($L63*$AC$64))*$D$48</f>
        <v>0</v>
      </c>
      <c r="AO47" s="65">
        <f>AN47*$I$24</f>
        <v>0</v>
      </c>
      <c r="AP47" s="65">
        <f t="shared" ref="AP47:BI47" si="125">AO47*$I$24</f>
        <v>0</v>
      </c>
      <c r="AQ47" s="65">
        <f t="shared" si="125"/>
        <v>0</v>
      </c>
      <c r="AR47" s="65">
        <f t="shared" si="125"/>
        <v>0</v>
      </c>
      <c r="AS47" s="65">
        <f t="shared" si="125"/>
        <v>0</v>
      </c>
      <c r="AT47" s="65">
        <f t="shared" si="125"/>
        <v>0</v>
      </c>
      <c r="AU47" s="65">
        <f t="shared" si="125"/>
        <v>0</v>
      </c>
      <c r="AV47" s="65">
        <f t="shared" si="125"/>
        <v>0</v>
      </c>
      <c r="AW47" s="65">
        <f t="shared" si="125"/>
        <v>0</v>
      </c>
      <c r="AX47" s="65">
        <f t="shared" si="125"/>
        <v>0</v>
      </c>
      <c r="AY47" s="65">
        <f t="shared" si="125"/>
        <v>0</v>
      </c>
      <c r="AZ47" s="65">
        <f t="shared" si="125"/>
        <v>0</v>
      </c>
      <c r="BA47" s="65">
        <f t="shared" si="125"/>
        <v>0</v>
      </c>
      <c r="BB47" s="65">
        <f t="shared" si="125"/>
        <v>0</v>
      </c>
      <c r="BC47" s="65">
        <f t="shared" si="125"/>
        <v>0</v>
      </c>
      <c r="BD47" s="65">
        <f t="shared" si="125"/>
        <v>0</v>
      </c>
      <c r="BE47" s="65">
        <f t="shared" si="125"/>
        <v>0</v>
      </c>
      <c r="BF47" s="65">
        <f t="shared" si="125"/>
        <v>0</v>
      </c>
      <c r="BG47" s="65">
        <f t="shared" si="125"/>
        <v>0</v>
      </c>
      <c r="BH47" s="65">
        <f t="shared" si="125"/>
        <v>0</v>
      </c>
      <c r="BI47" s="65">
        <f t="shared" si="125"/>
        <v>0</v>
      </c>
      <c r="BJ47" s="65">
        <f t="shared" si="116"/>
        <v>0</v>
      </c>
      <c r="BK47" s="66">
        <f>((($H63*$AE$59)+($I63*$AE$60)+($J63*$AE$61)+($K63*$AE$62)+($L63*$AE$64))*$G$42)</f>
        <v>0</v>
      </c>
      <c r="BL47" s="66">
        <f t="shared" ref="BL47:CF47" si="126">BK47*$E$24</f>
        <v>0</v>
      </c>
      <c r="BM47" s="66">
        <f t="shared" si="126"/>
        <v>0</v>
      </c>
      <c r="BN47" s="66">
        <f t="shared" si="126"/>
        <v>0</v>
      </c>
      <c r="BO47" s="66">
        <f t="shared" si="126"/>
        <v>0</v>
      </c>
      <c r="BP47" s="66">
        <f t="shared" si="126"/>
        <v>0</v>
      </c>
      <c r="BQ47" s="66">
        <f t="shared" si="126"/>
        <v>0</v>
      </c>
      <c r="BR47" s="66">
        <f t="shared" si="126"/>
        <v>0</v>
      </c>
      <c r="BS47" s="66">
        <f t="shared" si="126"/>
        <v>0</v>
      </c>
      <c r="BT47" s="66">
        <f t="shared" si="126"/>
        <v>0</v>
      </c>
      <c r="BU47" s="66">
        <f t="shared" si="126"/>
        <v>0</v>
      </c>
      <c r="BV47" s="66">
        <f t="shared" si="126"/>
        <v>0</v>
      </c>
      <c r="BW47" s="66">
        <f t="shared" si="126"/>
        <v>0</v>
      </c>
      <c r="BX47" s="66">
        <f t="shared" si="126"/>
        <v>0</v>
      </c>
      <c r="BY47" s="66">
        <f t="shared" si="126"/>
        <v>0</v>
      </c>
      <c r="BZ47" s="66">
        <f t="shared" si="126"/>
        <v>0</v>
      </c>
      <c r="CA47" s="66">
        <f t="shared" si="126"/>
        <v>0</v>
      </c>
      <c r="CB47" s="66">
        <f t="shared" si="126"/>
        <v>0</v>
      </c>
      <c r="CC47" s="66">
        <f t="shared" si="126"/>
        <v>0</v>
      </c>
      <c r="CD47" s="66">
        <f t="shared" si="126"/>
        <v>0</v>
      </c>
      <c r="CE47" s="66">
        <f t="shared" si="126"/>
        <v>0</v>
      </c>
      <c r="CF47" s="66">
        <f t="shared" si="126"/>
        <v>0</v>
      </c>
      <c r="CG47" s="66">
        <f t="shared" si="117"/>
        <v>0</v>
      </c>
      <c r="CH47" s="67">
        <f>((($H63*$AD$59)+($I63*$AD$60)+($J63*$AD$61)+($K63*$AD$62))*$G$44*$J$44)+(($L63*$AD$64)*$G$44*$J$44)</f>
        <v>0</v>
      </c>
      <c r="CI47" s="67">
        <f t="shared" ref="CI47:DC47" si="127">CH47*$E$24</f>
        <v>0</v>
      </c>
      <c r="CJ47" s="67">
        <f t="shared" si="127"/>
        <v>0</v>
      </c>
      <c r="CK47" s="67">
        <f t="shared" si="127"/>
        <v>0</v>
      </c>
      <c r="CL47" s="67">
        <f t="shared" si="127"/>
        <v>0</v>
      </c>
      <c r="CM47" s="67">
        <f t="shared" si="127"/>
        <v>0</v>
      </c>
      <c r="CN47" s="67">
        <f t="shared" si="127"/>
        <v>0</v>
      </c>
      <c r="CO47" s="67">
        <f t="shared" si="127"/>
        <v>0</v>
      </c>
      <c r="CP47" s="67">
        <f t="shared" si="127"/>
        <v>0</v>
      </c>
      <c r="CQ47" s="67">
        <f t="shared" si="127"/>
        <v>0</v>
      </c>
      <c r="CR47" s="67">
        <f t="shared" si="127"/>
        <v>0</v>
      </c>
      <c r="CS47" s="67">
        <f t="shared" si="127"/>
        <v>0</v>
      </c>
      <c r="CT47" s="67">
        <f t="shared" si="127"/>
        <v>0</v>
      </c>
      <c r="CU47" s="67">
        <f t="shared" si="127"/>
        <v>0</v>
      </c>
      <c r="CV47" s="67">
        <f t="shared" si="127"/>
        <v>0</v>
      </c>
      <c r="CW47" s="67">
        <f t="shared" si="127"/>
        <v>0</v>
      </c>
      <c r="CX47" s="67">
        <f t="shared" si="127"/>
        <v>0</v>
      </c>
      <c r="CY47" s="67">
        <f t="shared" si="127"/>
        <v>0</v>
      </c>
      <c r="CZ47" s="67">
        <f t="shared" si="127"/>
        <v>0</v>
      </c>
      <c r="DA47" s="67">
        <f t="shared" si="127"/>
        <v>0</v>
      </c>
      <c r="DB47" s="67">
        <f t="shared" si="127"/>
        <v>0</v>
      </c>
      <c r="DC47" s="67">
        <f t="shared" si="127"/>
        <v>0</v>
      </c>
      <c r="DD47" s="67">
        <f t="shared" si="118"/>
        <v>0</v>
      </c>
      <c r="DE47" s="247"/>
      <c r="DF47" s="247"/>
      <c r="DG47" s="24"/>
      <c r="DH47" s="22"/>
      <c r="DI47" s="22"/>
      <c r="DJ47" s="22"/>
      <c r="DK47" s="24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D47" s="22"/>
      <c r="EE47" s="22"/>
    </row>
    <row r="48" spans="1:139" x14ac:dyDescent="0.25">
      <c r="A48" s="21" t="s">
        <v>43</v>
      </c>
      <c r="D48" s="500">
        <f>D42*(1-D45-D47)+D44*D45+D46*D47</f>
        <v>30.050727200000001</v>
      </c>
      <c r="F48" s="24"/>
      <c r="G48" s="22"/>
      <c r="H48" s="118"/>
      <c r="I48" s="374" t="s">
        <v>58</v>
      </c>
      <c r="J48" s="375">
        <f>(0.002278293+0.009832616)*0.90703</f>
        <v>1.0984957790269999E-2</v>
      </c>
      <c r="K48" s="119"/>
      <c r="L48" s="118"/>
      <c r="O48" s="351"/>
      <c r="P48" s="22"/>
      <c r="R48" s="222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G48" s="46"/>
      <c r="AH48" s="22"/>
      <c r="AQ48" s="23"/>
      <c r="AR48" s="24"/>
      <c r="AS48" s="24"/>
      <c r="AU48" s="22"/>
      <c r="AV48" s="22"/>
      <c r="CG48" s="25"/>
      <c r="CH48" s="25"/>
      <c r="EA48" s="22"/>
      <c r="EB48" s="24"/>
      <c r="EC48" s="24"/>
      <c r="EE48" s="22"/>
      <c r="EH48" s="24"/>
    </row>
    <row r="49" spans="1:138" x14ac:dyDescent="0.25">
      <c r="A49" s="22"/>
      <c r="D49" s="367"/>
      <c r="F49" s="45"/>
      <c r="G49" s="22"/>
      <c r="I49" s="320" t="s">
        <v>112</v>
      </c>
      <c r="J49" s="321"/>
      <c r="K49" s="118"/>
      <c r="L49" s="118"/>
      <c r="O49" s="351"/>
      <c r="P49" s="22"/>
      <c r="R49" s="222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G49" s="46"/>
      <c r="AH49" s="22"/>
      <c r="AN49" s="171"/>
      <c r="AQ49" s="23"/>
      <c r="AR49" s="24"/>
      <c r="AS49" s="24"/>
      <c r="AU49" s="22"/>
      <c r="AV49" s="22"/>
      <c r="CG49" s="25"/>
      <c r="CH49" s="25"/>
      <c r="EA49" s="22"/>
      <c r="EB49" s="24"/>
      <c r="EC49" s="24"/>
      <c r="ED49" s="22"/>
      <c r="EE49" s="22"/>
      <c r="EH49" s="24"/>
    </row>
    <row r="50" spans="1:138" x14ac:dyDescent="0.25">
      <c r="D50" s="167"/>
      <c r="F50" s="24"/>
      <c r="G50" s="22"/>
      <c r="I50" s="320" t="s">
        <v>115</v>
      </c>
      <c r="J50" s="321"/>
      <c r="K50" s="118"/>
      <c r="L50" s="118"/>
      <c r="O50" s="351"/>
      <c r="P50" s="22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G50" s="46"/>
      <c r="AH50" s="22"/>
      <c r="AK50" s="170"/>
      <c r="AL50" s="170"/>
      <c r="AM50" s="170"/>
      <c r="AN50" s="26">
        <v>1</v>
      </c>
      <c r="AO50" s="26">
        <v>2</v>
      </c>
      <c r="AP50" s="26">
        <v>3</v>
      </c>
      <c r="AQ50" s="26">
        <v>4</v>
      </c>
      <c r="AR50" s="26">
        <v>5</v>
      </c>
      <c r="AS50" s="26">
        <v>6</v>
      </c>
      <c r="AT50" s="26">
        <v>7</v>
      </c>
      <c r="AU50" s="26">
        <v>8</v>
      </c>
      <c r="AV50" s="26">
        <v>9</v>
      </c>
      <c r="AW50" s="26">
        <v>10</v>
      </c>
      <c r="AX50" s="26">
        <v>11</v>
      </c>
      <c r="AY50" s="26">
        <v>12</v>
      </c>
      <c r="AZ50" s="26">
        <v>13</v>
      </c>
      <c r="BA50" s="26">
        <v>14</v>
      </c>
      <c r="BB50" s="26">
        <v>15</v>
      </c>
      <c r="BC50" s="26">
        <v>16</v>
      </c>
      <c r="BD50" s="26">
        <v>17</v>
      </c>
      <c r="BE50" s="26">
        <v>18</v>
      </c>
      <c r="BF50" s="26">
        <v>19</v>
      </c>
      <c r="BG50" s="26">
        <v>20</v>
      </c>
      <c r="BH50" s="122"/>
      <c r="BI50" s="122"/>
      <c r="BJ50" s="26"/>
      <c r="CG50" s="25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140"/>
      <c r="CT50" s="140"/>
      <c r="CU50" s="140"/>
      <c r="CV50" s="140"/>
      <c r="CW50" s="140"/>
      <c r="CX50" s="140"/>
      <c r="CY50" s="140"/>
      <c r="CZ50" s="140"/>
      <c r="DA50" s="140"/>
      <c r="DB50" s="140"/>
      <c r="DC50" s="140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140"/>
      <c r="DQ50" s="140"/>
      <c r="DR50" s="140"/>
      <c r="DS50" s="140"/>
      <c r="DT50" s="140"/>
      <c r="DU50" s="140"/>
      <c r="DV50" s="140"/>
      <c r="DW50" s="140"/>
      <c r="DX50" s="140"/>
      <c r="DY50" s="140"/>
      <c r="DZ50" s="140"/>
      <c r="EA50" s="34"/>
      <c r="EB50" s="24"/>
      <c r="EC50" s="24"/>
      <c r="ED50" s="22"/>
      <c r="EE50" s="22"/>
      <c r="EH50" s="24"/>
    </row>
    <row r="51" spans="1:138" ht="15.75" x14ac:dyDescent="0.25">
      <c r="D51" s="167"/>
      <c r="F51" s="24"/>
      <c r="G51" s="113"/>
      <c r="I51" s="320" t="s">
        <v>273</v>
      </c>
      <c r="J51" s="321"/>
      <c r="K51" s="118"/>
      <c r="L51" s="118"/>
      <c r="O51" s="351"/>
      <c r="P51" s="22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G51" s="46"/>
      <c r="AH51" s="22"/>
      <c r="AN51" s="886" t="s">
        <v>193</v>
      </c>
      <c r="AO51" s="886"/>
      <c r="AP51" s="886"/>
      <c r="AQ51" s="886"/>
      <c r="AR51" s="886"/>
      <c r="AS51" s="886"/>
      <c r="AT51" s="886"/>
      <c r="AU51" s="886"/>
      <c r="AV51" s="886"/>
      <c r="AW51" s="886"/>
      <c r="AX51" s="886"/>
      <c r="AY51" s="887"/>
      <c r="AZ51" s="887"/>
      <c r="BA51" s="887"/>
      <c r="BB51" s="887"/>
      <c r="BC51" s="887"/>
      <c r="BD51" s="887"/>
      <c r="BE51" s="887"/>
      <c r="BF51" s="887"/>
      <c r="BG51" s="887"/>
      <c r="BH51" s="887"/>
      <c r="BI51" s="887"/>
      <c r="BJ51" s="886"/>
      <c r="CG51" s="25"/>
      <c r="CH51" s="964" t="s">
        <v>184</v>
      </c>
      <c r="CI51" s="965"/>
      <c r="CJ51" s="965"/>
      <c r="CK51" s="965"/>
      <c r="CL51" s="965"/>
      <c r="CM51" s="965"/>
      <c r="CN51" s="965"/>
      <c r="CO51" s="965"/>
      <c r="CP51" s="965"/>
      <c r="CQ51" s="965"/>
      <c r="CR51" s="965"/>
      <c r="CS51" s="965"/>
      <c r="CT51" s="965"/>
      <c r="CU51" s="965"/>
      <c r="CV51" s="965"/>
      <c r="CW51" s="965"/>
      <c r="CX51" s="965"/>
      <c r="CY51" s="965"/>
      <c r="CZ51" s="965"/>
      <c r="DA51" s="965"/>
      <c r="DB51" s="965"/>
      <c r="DC51" s="965"/>
      <c r="DD51" s="966"/>
      <c r="DE51" s="960" t="s">
        <v>188</v>
      </c>
      <c r="DF51" s="961"/>
      <c r="DG51" s="961"/>
      <c r="DH51" s="961"/>
      <c r="DI51" s="961"/>
      <c r="DJ51" s="961"/>
      <c r="DK51" s="961"/>
      <c r="DL51" s="961"/>
      <c r="DM51" s="961"/>
      <c r="DN51" s="961"/>
      <c r="DO51" s="961"/>
      <c r="DP51" s="962"/>
      <c r="DQ51" s="962"/>
      <c r="DR51" s="962"/>
      <c r="DS51" s="962"/>
      <c r="DT51" s="962"/>
      <c r="DU51" s="962"/>
      <c r="DV51" s="962"/>
      <c r="DW51" s="962"/>
      <c r="DX51" s="962"/>
      <c r="DY51" s="962"/>
      <c r="DZ51" s="962"/>
      <c r="EA51" s="963"/>
      <c r="EB51" s="24"/>
      <c r="EC51" s="24"/>
      <c r="ED51" s="22"/>
      <c r="EE51" s="22"/>
      <c r="EH51" s="24"/>
    </row>
    <row r="52" spans="1:138" ht="15.75" x14ac:dyDescent="0.25">
      <c r="D52" s="167"/>
      <c r="F52" s="24"/>
      <c r="G52" s="113"/>
      <c r="O52" s="351"/>
      <c r="P52" s="22"/>
      <c r="AG52" s="46"/>
      <c r="AH52" s="22"/>
      <c r="AN52" s="58">
        <f>$A$29</f>
        <v>2027</v>
      </c>
      <c r="AO52" s="33">
        <f>AN52+1</f>
        <v>2028</v>
      </c>
      <c r="AP52" s="33">
        <f t="shared" ref="AP52" si="128">AO52+1</f>
        <v>2029</v>
      </c>
      <c r="AQ52" s="33">
        <f t="shared" ref="AQ52" si="129">AP52+1</f>
        <v>2030</v>
      </c>
      <c r="AR52" s="33">
        <f t="shared" ref="AR52" si="130">AQ52+1</f>
        <v>2031</v>
      </c>
      <c r="AS52" s="33">
        <f t="shared" ref="AS52" si="131">AR52+1</f>
        <v>2032</v>
      </c>
      <c r="AT52" s="33">
        <f t="shared" ref="AT52" si="132">AS52+1</f>
        <v>2033</v>
      </c>
      <c r="AU52" s="33">
        <f t="shared" ref="AU52" si="133">AT52+1</f>
        <v>2034</v>
      </c>
      <c r="AV52" s="33">
        <f t="shared" ref="AV52" si="134">AU52+1</f>
        <v>2035</v>
      </c>
      <c r="AW52" s="33">
        <f t="shared" ref="AW52" si="135">AV52+1</f>
        <v>2036</v>
      </c>
      <c r="AX52" s="33">
        <f t="shared" ref="AX52" si="136">AW52+1</f>
        <v>2037</v>
      </c>
      <c r="AY52" s="33">
        <f t="shared" ref="AY52" si="137">AX52+1</f>
        <v>2038</v>
      </c>
      <c r="AZ52" s="33">
        <f t="shared" ref="AZ52" si="138">AY52+1</f>
        <v>2039</v>
      </c>
      <c r="BA52" s="33">
        <f t="shared" ref="BA52" si="139">AZ52+1</f>
        <v>2040</v>
      </c>
      <c r="BB52" s="33">
        <f t="shared" ref="BB52" si="140">BA52+1</f>
        <v>2041</v>
      </c>
      <c r="BC52" s="33">
        <f t="shared" ref="BC52" si="141">BB52+1</f>
        <v>2042</v>
      </c>
      <c r="BD52" s="33">
        <f t="shared" ref="BD52" si="142">BC52+1</f>
        <v>2043</v>
      </c>
      <c r="BE52" s="33">
        <f t="shared" ref="BE52" si="143">BD52+1</f>
        <v>2044</v>
      </c>
      <c r="BF52" s="33">
        <f t="shared" ref="BF52" si="144">BE52+1</f>
        <v>2045</v>
      </c>
      <c r="BG52" s="33">
        <f>BF52+1</f>
        <v>2046</v>
      </c>
      <c r="BH52" s="33">
        <f t="shared" ref="BH52:BI52" si="145">BG52+1</f>
        <v>2047</v>
      </c>
      <c r="BI52" s="33">
        <f t="shared" si="145"/>
        <v>2048</v>
      </c>
      <c r="BJ52" s="33" t="s">
        <v>45</v>
      </c>
      <c r="CG52" s="25"/>
      <c r="CH52" s="400"/>
      <c r="CI52" s="401"/>
      <c r="CJ52" s="401"/>
      <c r="CK52" s="401"/>
      <c r="CL52" s="401"/>
      <c r="CM52" s="401"/>
      <c r="CN52" s="401"/>
      <c r="CO52" s="401"/>
      <c r="CP52" s="401"/>
      <c r="CQ52" s="401"/>
      <c r="CR52" s="401"/>
      <c r="CS52" s="402"/>
      <c r="CT52" s="402"/>
      <c r="CU52" s="402"/>
      <c r="CV52" s="402"/>
      <c r="CW52" s="402"/>
      <c r="CX52" s="402"/>
      <c r="CY52" s="402"/>
      <c r="CZ52" s="402"/>
      <c r="DA52" s="402"/>
      <c r="DB52" s="402"/>
      <c r="DC52" s="402"/>
      <c r="DD52" s="403"/>
      <c r="DE52" s="393"/>
      <c r="DF52" s="394"/>
      <c r="DG52" s="394"/>
      <c r="DH52" s="394"/>
      <c r="DI52" s="394"/>
      <c r="DJ52" s="394"/>
      <c r="DK52" s="394"/>
      <c r="DL52" s="394"/>
      <c r="DM52" s="394"/>
      <c r="DN52" s="394"/>
      <c r="DO52" s="394"/>
      <c r="DP52" s="395"/>
      <c r="DQ52" s="395"/>
      <c r="DR52" s="395"/>
      <c r="DS52" s="395"/>
      <c r="DT52" s="395"/>
      <c r="DU52" s="395"/>
      <c r="DV52" s="395"/>
      <c r="DW52" s="395"/>
      <c r="DX52" s="395"/>
      <c r="DY52" s="395"/>
      <c r="DZ52" s="395"/>
      <c r="EA52" s="396"/>
      <c r="EB52" s="24"/>
      <c r="EC52" s="24"/>
      <c r="ED52" s="22"/>
      <c r="EE52" s="22"/>
      <c r="EH52" s="24"/>
    </row>
    <row r="53" spans="1:138" ht="15.75" x14ac:dyDescent="0.25">
      <c r="D53" s="167"/>
      <c r="F53" s="24"/>
      <c r="G53" s="113"/>
      <c r="O53" s="351"/>
      <c r="P53" s="22"/>
      <c r="AG53" s="46"/>
      <c r="AH53" s="22"/>
      <c r="AN53" s="65">
        <f>(((($H59*$AC$59)+($I59*$AC$60)+($J59*$AC$61)+($K59*$AC$62)+($L59*$AC$64))*$I$39)+$T33)*$R$41</f>
        <v>0</v>
      </c>
      <c r="AO53" s="65" t="e">
        <f>(($H59*$AC$59)+($I59*$AC$60)+($J59*$AC$61)+($K59*$AC$62)+($L59*$AC$64))*$I$39*$R$41*$W$41^1+AA$33*0.542*$R$41/$D$48</f>
        <v>#VALUE!</v>
      </c>
      <c r="AP53" s="65" t="e">
        <f>(($H59*$AC$59)+($I59*$AC$60)+($J59*$AC$61)+($K59*$AC$62)+($L59*$AC$64))*$I$39*$R$41*$W$41^2+AB$33*0.542*$R$41/$D$48</f>
        <v>#VALUE!</v>
      </c>
      <c r="AQ53" s="65" t="e">
        <f>(($H59*$AC$59)+($I59*$AC$60)+($J59*$AC$61)+($K59*$AC$62)+($L59*$AC$64))*$I$39*$R$41*$W$41^3+AC$33*0.542*$R$41/$D$48</f>
        <v>#VALUE!</v>
      </c>
      <c r="AR53" s="65" t="e">
        <f>(($H59*$AC$59)+($I59*$AC$60)+($J59*$AC$61)+($K59*$AC$62)+($L59*$AC$64))*$I$39*$R$41*$W$41^4+AD$33*0.542*$R$41/$D$48</f>
        <v>#VALUE!</v>
      </c>
      <c r="AS53" s="65" t="e">
        <f>(($H59*$AC$59)+($I59*$AC$60)+($J59*$AC$61)+($K59*$AC$62)+($L59*$AC$64))*$I$39*$R$41*$W$41^5+AE$33*0.542*$R$41/$D$48</f>
        <v>#VALUE!</v>
      </c>
      <c r="AT53" s="65" t="e">
        <f>(($H59*$AC$59)+($I59*$AC$60)+($J59*$AC$61)+($K59*$AC$62)+($L59*$AC$64))*$I$39*$R$41*$W$41^6+AF$33*0.542*$R$41/$D$48</f>
        <v>#VALUE!</v>
      </c>
      <c r="AU53" s="65" t="e">
        <f>(($H59*$AC$59)+($I59*$AC$60)+($J59*$AC$61)+($K59*$AC$62)+($L59*$AC$64))*$I$39*$R$41*$W$41^7+AG$33*0.542*$R$41/$D$48</f>
        <v>#VALUE!</v>
      </c>
      <c r="AV53" s="65" t="e">
        <f>(($H59*$AC$59)+($I59*$AC$60)+($J59*$AC$61)+($K59*$AC$62)+($L59*$AC$64))*$I$39*$R$41*$W$41^8+AH$33*0.542*$R$41/$D$48</f>
        <v>#VALUE!</v>
      </c>
      <c r="AW53" s="65" t="e">
        <f>(($H59*$AC$59)+($I59*$AC$60)+($J59*$AC$61)+($K59*$AC$62)+($L59*$AC$64))*$I$39*$R$41*$W$41^9+AI$33*0.542*$R$41/$D$48</f>
        <v>#VALUE!</v>
      </c>
      <c r="AX53" s="65" t="e">
        <f>(($H59*$AC$59)+($I59*$AC$60)+($J59*$AC$61)+($K59*$AC$62)+($L59*$AC$64))*$I$39*$R$41*$W$41^10+AJ$33*0.542*$R$41/$D$48</f>
        <v>#VALUE!</v>
      </c>
      <c r="AY53" s="65" t="e">
        <f>(($H59*$AC$59)+($I59*$AC$60)+($J59*$AC$61)+($K59*$AC$62)+($L59*$AC$64))*$I$39*$R$41*$W$41^11+AK$33*0.542*$R$41/$D$48</f>
        <v>#VALUE!</v>
      </c>
      <c r="AZ53" s="65" t="e">
        <f>(($H59*$AC$59)+($I59*$AC$60)+($J59*$AC$61)+($K59*$AC$62)+($L59*$AC$64))*$I$39*$R$41*$W$41^12+AL$33*0.542*$R$41/$D$48</f>
        <v>#VALUE!</v>
      </c>
      <c r="BA53" s="65" t="e">
        <f>(($H59*$AC$59)+($I59*$AC$60)+($J59*$AC$61)+($K59*$AC$62)+($L59*$AC$64))*$I$39*$R$41*$W$41^13+AM$33*0.542*$R$41/$D$48</f>
        <v>#VALUE!</v>
      </c>
      <c r="BB53" s="65" t="e">
        <f>(($H59*$AC$59)+($I59*$AC$60)+($J59*$AC$61)+($K59*$AC$62)+($L59*$AC$64))*$I$39*$R$41*$W$41^14+AN$33*0.542*$R$41/$D$48</f>
        <v>#VALUE!</v>
      </c>
      <c r="BC53" s="65" t="e">
        <f>(($H59*$AC$59)+($I59*$AC$60)+($J59*$AC$61)+($K59*$AC$62)+($L59*$AC$64))*$I$39*$R$41*$W$41^15+AO$33*0.542*$R$41/$D$48</f>
        <v>#VALUE!</v>
      </c>
      <c r="BD53" s="65" t="e">
        <f>(($H59*$AC$59)+($I59*$AC$60)+($J59*$AC$61)+($K59*$AC$62)+($L59*$AC$64))*$I$39*$R$41*$W$41^16+AP$33*0.542*$R$41/$D$48</f>
        <v>#VALUE!</v>
      </c>
      <c r="BE53" s="65" t="e">
        <f>(($H59*$AC$59)+($I59*$AC$60)+($J59*$AC$61)+($K59*$AC$62)+($L59*$AC$64))*$I$39*$R$41*$W$41^17+AQ$33*0.542*$R$41/$D$48</f>
        <v>#VALUE!</v>
      </c>
      <c r="BF53" s="65" t="e">
        <f>(($H59*$AC$59)+($I59*$AC$60)+($J59*$AC$61)+($K59*$AC$62)+($L59*$AC$64))*$I$39*$R$41*$W$41^18+AR$33*0.542*$R$41/$D$48</f>
        <v>#VALUE!</v>
      </c>
      <c r="BG53" s="65" t="e">
        <f>(($H59*$AC$59)+($I59*$AC$60)+($J59*$AC$61)+($K59*$AC$62)+($L59*$AC$64))*$I$39*$R$41*$W$41^19+AS$33*0.542*$R$41/$D$48</f>
        <v>#VALUE!</v>
      </c>
      <c r="BH53" s="65"/>
      <c r="BI53" s="65"/>
      <c r="BJ53" s="65" t="e">
        <f>AVERAGE(AN53:BI53)</f>
        <v>#VALUE!</v>
      </c>
      <c r="CG53" s="25"/>
      <c r="CH53" s="400"/>
      <c r="CI53" s="401"/>
      <c r="CJ53" s="401"/>
      <c r="CK53" s="401"/>
      <c r="CL53" s="401"/>
      <c r="CM53" s="401"/>
      <c r="CN53" s="401"/>
      <c r="CO53" s="401"/>
      <c r="CP53" s="401"/>
      <c r="CQ53" s="401"/>
      <c r="CR53" s="401"/>
      <c r="CS53" s="402"/>
      <c r="CT53" s="402"/>
      <c r="CU53" s="402"/>
      <c r="CV53" s="402"/>
      <c r="CW53" s="402"/>
      <c r="CX53" s="402"/>
      <c r="CY53" s="402"/>
      <c r="CZ53" s="402"/>
      <c r="DA53" s="402"/>
      <c r="DB53" s="402"/>
      <c r="DC53" s="402"/>
      <c r="DD53" s="403"/>
      <c r="DE53" s="393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5"/>
      <c r="DQ53" s="395"/>
      <c r="DR53" s="395"/>
      <c r="DS53" s="395"/>
      <c r="DT53" s="395"/>
      <c r="DU53" s="395"/>
      <c r="DV53" s="395"/>
      <c r="DW53" s="395"/>
      <c r="DX53" s="395"/>
      <c r="DY53" s="395"/>
      <c r="DZ53" s="395"/>
      <c r="EA53" s="396"/>
      <c r="EB53" s="24"/>
      <c r="EC53" s="24"/>
      <c r="ED53" s="22"/>
      <c r="EE53" s="22"/>
      <c r="EH53" s="24"/>
    </row>
    <row r="54" spans="1:138" ht="15.75" x14ac:dyDescent="0.25">
      <c r="D54" s="167"/>
      <c r="F54" s="24"/>
      <c r="G54" s="113"/>
      <c r="O54" s="351"/>
      <c r="P54" s="22"/>
      <c r="AD54" s="46"/>
      <c r="AE54" s="46"/>
      <c r="AF54" s="46"/>
      <c r="AH54" s="22"/>
      <c r="AN54" s="65">
        <f>(((($H60*$AC$59)+($I60*$AC$60)+($J60*$AC$61)+($K60*$AC$62)+($L60*$AC$64))*$I$39))*$R$41+'VHD Savings'!F57</f>
        <v>1199788.6728062062</v>
      </c>
      <c r="AO54" s="65">
        <f>(((($H60*$AC$59)+($I60*$AC$60)+($J60*$AC$61)+($K60*$AC$62)+($L60*$AC$64))*$I$39))*$R$41+'VHD Savings'!G57</f>
        <v>1228415.2561542012</v>
      </c>
      <c r="AP54" s="65">
        <f>(((($H60*$AC$59)+($I60*$AC$60)+($J60*$AC$61)+($K60*$AC$62)+($L60*$AC$64))*$I$39))*$R$41+'VHD Savings'!H57</f>
        <v>1240340.5484263557</v>
      </c>
      <c r="AQ54" s="65">
        <f>(((($H60*$AC$59)+($I60*$AC$60)+($J60*$AC$61)+($K60*$AC$62)+($L60*$AC$64))*$I$39))*$R$41+'VHD Savings'!I57</f>
        <v>1252391.6910811574</v>
      </c>
      <c r="AR54" s="65">
        <f>(((($H60*$AC$59)+($I60*$AC$60)+($J60*$AC$61)+($K60*$AC$62)+($L60*$AC$64))*$I$39))*$R$41+'VHD Savings'!J57</f>
        <v>1264570.0733914399</v>
      </c>
      <c r="AS54" s="65">
        <f>(((($H60*$AC$59)+($I60*$AC$60)+($J60*$AC$61)+($K60*$AC$62)+($L60*$AC$64))*$I$39))*$R$41+'VHD Savings'!K57</f>
        <v>1276877.1004812478</v>
      </c>
      <c r="AT54" s="65">
        <f>(((($H60*$AC$59)+($I60*$AC$60)+($J60*$AC$61)+($K60*$AC$62)+($L60*$AC$64))*$I$39))*$R$41+'VHD Savings'!L57</f>
        <v>1289314.1935110625</v>
      </c>
      <c r="AU54" s="65">
        <f>(((($H60*$AC$59)+($I60*$AC$60)+($J60*$AC$61)+($K60*$AC$62)+($L60*$AC$64))*$I$39))*$R$41+'VHD Savings'!M57</f>
        <v>1301882.7898652272</v>
      </c>
      <c r="AV54" s="65">
        <f>(((($H60*$AC$59)+($I60*$AC$60)+($J60*$AC$61)+($K60*$AC$62)+($L60*$AC$64))*$I$39))*$R$41+'VHD Savings'!N57</f>
        <v>1314584.3433416032</v>
      </c>
      <c r="AW54" s="65">
        <f>(((($H60*$AC$59)+($I60*$AC$60)+($J60*$AC$61)+($K60*$AC$62)+($L60*$AC$64))*$I$39))*$R$41+'VHD Savings'!O57</f>
        <v>1327420.3243434809</v>
      </c>
      <c r="AX54" s="65">
        <f>(((($H60*$AC$59)+($I60*$AC$60)+($J60*$AC$61)+($K60*$AC$62)+($L60*$AC$64))*$I$39))*$R$41+'VHD Savings'!P57</f>
        <v>1340392.2200737717</v>
      </c>
      <c r="AY54" s="65">
        <f>(((($H60*$AC$59)+($I60*$AC$60)+($J60*$AC$61)+($K60*$AC$62)+($L60*$AC$64))*$I$39))*$R$41+'VHD Savings'!Q57</f>
        <v>1353501.5347315141</v>
      </c>
      <c r="AZ54" s="65">
        <f>(((($H60*$AC$59)+($I60*$AC$60)+($J60*$AC$61)+($K60*$AC$62)+($L60*$AC$64))*$I$39))*$R$41+'VHD Savings'!R57</f>
        <v>1366749.7897107142</v>
      </c>
      <c r="BA54" s="65">
        <f>(((($H60*$AC$59)+($I60*$AC$60)+($J60*$AC$61)+($K60*$AC$62)+($L60*$AC$64))*$I$39))*$R$41+'VHD Savings'!S57</f>
        <v>1380138.523801557</v>
      </c>
      <c r="BB54" s="65">
        <f>(((($H60*$AC$59)+($I60*$AC$60)+($J60*$AC$61)+($K60*$AC$62)+($L60*$AC$64))*$I$39))*$R$41+'VHD Savings'!T57</f>
        <v>1393669.2933940075</v>
      </c>
      <c r="BC54" s="65">
        <f>(((($H60*$AC$59)+($I60*$AC$60)+($J60*$AC$61)+($K60*$AC$62)+($L60*$AC$64))*$I$39))*$R$41+'VHD Savings'!U57</f>
        <v>1407343.6726838376</v>
      </c>
      <c r="BD54" s="65">
        <f>(((($H60*$AC$59)+($I60*$AC$60)+($J60*$AC$61)+($K60*$AC$62)+($L60*$AC$64))*$I$39))*$R$41+'VHD Savings'!V57</f>
        <v>1421163.2538811096</v>
      </c>
      <c r="BE54" s="65">
        <f>(((($H60*$AC$59)+($I60*$AC$60)+($J60*$AC$61)+($K60*$AC$62)+($L60*$AC$64))*$I$39))*$R$41+'VHD Savings'!W57</f>
        <v>1435129.6474211367</v>
      </c>
      <c r="BF54" s="65">
        <f>(((($H60*$AC$59)+($I60*$AC$60)+($J60*$AC$61)+($K60*$AC$62)+($L60*$AC$64))*$I$39))*$R$41+'VHD Savings'!X57</f>
        <v>1449244.4821779574</v>
      </c>
      <c r="BG54" s="65">
        <f>(((($H60*$AC$59)+($I60*$AC$60)+($J60*$AC$61)+($K60*$AC$62)+($L60*$AC$64))*$I$39))*$R$41+'VHD Savings'!Y57</f>
        <v>1463509.4056803584</v>
      </c>
      <c r="BH54" s="65"/>
      <c r="BI54" s="65"/>
      <c r="BJ54" s="65">
        <f t="shared" ref="BJ54:BJ57" si="146">AVERAGE(AN54:BI54)</f>
        <v>1335321.3408478971</v>
      </c>
      <c r="CG54" s="25"/>
      <c r="CH54" s="404">
        <f>$A$29</f>
        <v>2027</v>
      </c>
      <c r="CI54" s="405">
        <f>CH54+1</f>
        <v>2028</v>
      </c>
      <c r="CJ54" s="405">
        <f t="shared" ref="CJ54" si="147">CI54+1</f>
        <v>2029</v>
      </c>
      <c r="CK54" s="405">
        <f t="shared" ref="CK54" si="148">CJ54+1</f>
        <v>2030</v>
      </c>
      <c r="CL54" s="405">
        <f t="shared" ref="CL54" si="149">CK54+1</f>
        <v>2031</v>
      </c>
      <c r="CM54" s="405">
        <f t="shared" ref="CM54" si="150">CL54+1</f>
        <v>2032</v>
      </c>
      <c r="CN54" s="405">
        <f t="shared" ref="CN54" si="151">CM54+1</f>
        <v>2033</v>
      </c>
      <c r="CO54" s="405">
        <f t="shared" ref="CO54" si="152">CN54+1</f>
        <v>2034</v>
      </c>
      <c r="CP54" s="405">
        <f t="shared" ref="CP54" si="153">CO54+1</f>
        <v>2035</v>
      </c>
      <c r="CQ54" s="405">
        <f t="shared" ref="CQ54" si="154">CP54+1</f>
        <v>2036</v>
      </c>
      <c r="CR54" s="405">
        <f t="shared" ref="CR54" si="155">CQ54+1</f>
        <v>2037</v>
      </c>
      <c r="CS54" s="405">
        <f t="shared" ref="CS54" si="156">CR54+1</f>
        <v>2038</v>
      </c>
      <c r="CT54" s="405">
        <f t="shared" ref="CT54" si="157">CS54+1</f>
        <v>2039</v>
      </c>
      <c r="CU54" s="405">
        <f t="shared" ref="CU54" si="158">CT54+1</f>
        <v>2040</v>
      </c>
      <c r="CV54" s="405">
        <f t="shared" ref="CV54" si="159">CU54+1</f>
        <v>2041</v>
      </c>
      <c r="CW54" s="405">
        <f t="shared" ref="CW54" si="160">CV54+1</f>
        <v>2042</v>
      </c>
      <c r="CX54" s="405">
        <f t="shared" ref="CX54" si="161">CW54+1</f>
        <v>2043</v>
      </c>
      <c r="CY54" s="405">
        <f t="shared" ref="CY54" si="162">CX54+1</f>
        <v>2044</v>
      </c>
      <c r="CZ54" s="405">
        <f t="shared" ref="CZ54" si="163">CY54+1</f>
        <v>2045</v>
      </c>
      <c r="DA54" s="405">
        <f t="shared" ref="DA54" si="164">CZ54+1</f>
        <v>2046</v>
      </c>
      <c r="DB54" s="405">
        <f t="shared" ref="DB54" si="165">DA54+1</f>
        <v>2047</v>
      </c>
      <c r="DC54" s="405">
        <f t="shared" ref="DC54" si="166">DB54+1</f>
        <v>2048</v>
      </c>
      <c r="DD54" s="405" t="s">
        <v>45</v>
      </c>
      <c r="DE54" s="397">
        <f>$A$29</f>
        <v>2027</v>
      </c>
      <c r="DF54" s="398">
        <f>DE54+1</f>
        <v>2028</v>
      </c>
      <c r="DG54" s="398">
        <f t="shared" ref="DG54" si="167">DF54+1</f>
        <v>2029</v>
      </c>
      <c r="DH54" s="398">
        <f t="shared" ref="DH54" si="168">DG54+1</f>
        <v>2030</v>
      </c>
      <c r="DI54" s="398">
        <f t="shared" ref="DI54" si="169">DH54+1</f>
        <v>2031</v>
      </c>
      <c r="DJ54" s="398">
        <f t="shared" ref="DJ54" si="170">DI54+1</f>
        <v>2032</v>
      </c>
      <c r="DK54" s="398">
        <f t="shared" ref="DK54" si="171">DJ54+1</f>
        <v>2033</v>
      </c>
      <c r="DL54" s="398">
        <f t="shared" ref="DL54" si="172">DK54+1</f>
        <v>2034</v>
      </c>
      <c r="DM54" s="398">
        <f t="shared" ref="DM54" si="173">DL54+1</f>
        <v>2035</v>
      </c>
      <c r="DN54" s="398">
        <f t="shared" ref="DN54" si="174">DM54+1</f>
        <v>2036</v>
      </c>
      <c r="DO54" s="398">
        <f>DN54+1</f>
        <v>2037</v>
      </c>
      <c r="DP54" s="398">
        <f t="shared" ref="DP54" si="175">DO54+1</f>
        <v>2038</v>
      </c>
      <c r="DQ54" s="398">
        <f t="shared" ref="DQ54" si="176">DP54+1</f>
        <v>2039</v>
      </c>
      <c r="DR54" s="398">
        <f t="shared" ref="DR54" si="177">DQ54+1</f>
        <v>2040</v>
      </c>
      <c r="DS54" s="398">
        <f t="shared" ref="DS54" si="178">DR54+1</f>
        <v>2041</v>
      </c>
      <c r="DT54" s="398">
        <f t="shared" ref="DT54" si="179">DS54+1</f>
        <v>2042</v>
      </c>
      <c r="DU54" s="398">
        <f t="shared" ref="DU54" si="180">DT54+1</f>
        <v>2043</v>
      </c>
      <c r="DV54" s="398">
        <f t="shared" ref="DV54" si="181">DU54+1</f>
        <v>2044</v>
      </c>
      <c r="DW54" s="398">
        <f t="shared" ref="DW54" si="182">DV54+1</f>
        <v>2045</v>
      </c>
      <c r="DX54" s="398">
        <f t="shared" ref="DX54" si="183">DW54+1</f>
        <v>2046</v>
      </c>
      <c r="DY54" s="398">
        <f t="shared" ref="DY54" si="184">DX54+1</f>
        <v>2047</v>
      </c>
      <c r="DZ54" s="398">
        <f t="shared" ref="DZ54" si="185">DY54+1</f>
        <v>2048</v>
      </c>
      <c r="EA54" s="398" t="s">
        <v>45</v>
      </c>
      <c r="EB54" s="24"/>
      <c r="ED54" s="22"/>
      <c r="EE54" s="22"/>
      <c r="EG54" s="24"/>
    </row>
    <row r="55" spans="1:138" ht="15.75" x14ac:dyDescent="0.25">
      <c r="D55" s="167"/>
      <c r="F55" s="24"/>
      <c r="G55" s="112"/>
      <c r="O55" s="351"/>
      <c r="P55" s="22"/>
      <c r="AD55" s="46"/>
      <c r="AE55" s="46"/>
      <c r="AF55" s="46"/>
      <c r="AH55" s="22"/>
      <c r="AN55" s="65">
        <f>(((($H61*$AC$59)+($I61*$AC$60)+($J61*$AC$61)+($K61*$AC$62)+($L61*$AC$64))*$I$39)+$T35)*$R$41</f>
        <v>0</v>
      </c>
      <c r="AO55" s="65" t="e">
        <f t="shared" ref="AO55:BG55" si="186">AN55*$W$43</f>
        <v>#DIV/0!</v>
      </c>
      <c r="AP55" s="65" t="e">
        <f t="shared" si="186"/>
        <v>#DIV/0!</v>
      </c>
      <c r="AQ55" s="65" t="e">
        <f t="shared" si="186"/>
        <v>#DIV/0!</v>
      </c>
      <c r="AR55" s="65" t="e">
        <f t="shared" si="186"/>
        <v>#DIV/0!</v>
      </c>
      <c r="AS55" s="65" t="e">
        <f t="shared" si="186"/>
        <v>#DIV/0!</v>
      </c>
      <c r="AT55" s="65" t="e">
        <f t="shared" si="186"/>
        <v>#DIV/0!</v>
      </c>
      <c r="AU55" s="65" t="e">
        <f t="shared" si="186"/>
        <v>#DIV/0!</v>
      </c>
      <c r="AV55" s="65" t="e">
        <f t="shared" si="186"/>
        <v>#DIV/0!</v>
      </c>
      <c r="AW55" s="65" t="e">
        <f t="shared" si="186"/>
        <v>#DIV/0!</v>
      </c>
      <c r="AX55" s="65" t="e">
        <f t="shared" si="186"/>
        <v>#DIV/0!</v>
      </c>
      <c r="AY55" s="65" t="e">
        <f t="shared" si="186"/>
        <v>#DIV/0!</v>
      </c>
      <c r="AZ55" s="65" t="e">
        <f t="shared" si="186"/>
        <v>#DIV/0!</v>
      </c>
      <c r="BA55" s="65" t="e">
        <f t="shared" si="186"/>
        <v>#DIV/0!</v>
      </c>
      <c r="BB55" s="65" t="e">
        <f t="shared" si="186"/>
        <v>#DIV/0!</v>
      </c>
      <c r="BC55" s="65" t="e">
        <f t="shared" si="186"/>
        <v>#DIV/0!</v>
      </c>
      <c r="BD55" s="65" t="e">
        <f t="shared" si="186"/>
        <v>#DIV/0!</v>
      </c>
      <c r="BE55" s="65" t="e">
        <f t="shared" si="186"/>
        <v>#DIV/0!</v>
      </c>
      <c r="BF55" s="65" t="e">
        <f t="shared" si="186"/>
        <v>#DIV/0!</v>
      </c>
      <c r="BG55" s="65" t="e">
        <f t="shared" si="186"/>
        <v>#DIV/0!</v>
      </c>
      <c r="BH55" s="65"/>
      <c r="BI55" s="65"/>
      <c r="BJ55" s="65" t="e">
        <f t="shared" si="146"/>
        <v>#DIV/0!</v>
      </c>
      <c r="CG55" s="25"/>
      <c r="CH55" s="406">
        <f>Y33*AW72</f>
        <v>0</v>
      </c>
      <c r="CI55" s="545" t="e">
        <f>($AA$33/$D$48)*$I$39*$J$46*AX72</f>
        <v>#VALUE!</v>
      </c>
      <c r="CJ55" s="545" t="e">
        <f>(AB$33/$D$48)*$I$39*$J$46*AY72</f>
        <v>#VALUE!</v>
      </c>
      <c r="CK55" s="545" t="e">
        <f t="shared" ref="CK55:DA55" si="187">(AC$33/$D$48)*$I$39*$J$46*AZ72</f>
        <v>#VALUE!</v>
      </c>
      <c r="CL55" s="545" t="e">
        <f t="shared" si="187"/>
        <v>#VALUE!</v>
      </c>
      <c r="CM55" s="545" t="e">
        <f t="shared" si="187"/>
        <v>#VALUE!</v>
      </c>
      <c r="CN55" s="545" t="e">
        <f t="shared" si="187"/>
        <v>#VALUE!</v>
      </c>
      <c r="CO55" s="545" t="e">
        <f t="shared" si="187"/>
        <v>#VALUE!</v>
      </c>
      <c r="CP55" s="545" t="e">
        <f t="shared" si="187"/>
        <v>#VALUE!</v>
      </c>
      <c r="CQ55" s="545" t="e">
        <f t="shared" si="187"/>
        <v>#VALUE!</v>
      </c>
      <c r="CR55" s="545" t="e">
        <f t="shared" si="187"/>
        <v>#VALUE!</v>
      </c>
      <c r="CS55" s="545" t="e">
        <f t="shared" si="187"/>
        <v>#VALUE!</v>
      </c>
      <c r="CT55" s="545" t="e">
        <f t="shared" si="187"/>
        <v>#VALUE!</v>
      </c>
      <c r="CU55" s="545" t="e">
        <f t="shared" si="187"/>
        <v>#VALUE!</v>
      </c>
      <c r="CV55" s="545" t="e">
        <f t="shared" si="187"/>
        <v>#VALUE!</v>
      </c>
      <c r="CW55" s="545" t="e">
        <f t="shared" si="187"/>
        <v>#VALUE!</v>
      </c>
      <c r="CX55" s="545" t="e">
        <f t="shared" si="187"/>
        <v>#VALUE!</v>
      </c>
      <c r="CY55" s="545" t="e">
        <f t="shared" si="187"/>
        <v>#VALUE!</v>
      </c>
      <c r="CZ55" s="545" t="e">
        <f t="shared" si="187"/>
        <v>#VALUE!</v>
      </c>
      <c r="DA55" s="545" t="e">
        <f t="shared" si="187"/>
        <v>#VALUE!</v>
      </c>
      <c r="DB55" s="545"/>
      <c r="DC55" s="545"/>
      <c r="DD55" s="406" t="e">
        <f>AVERAGE(CH55:DC55)</f>
        <v>#VALUE!</v>
      </c>
      <c r="DE55" s="399">
        <f>$X$33*AW71</f>
        <v>0</v>
      </c>
      <c r="DF55" s="577" t="e">
        <f>(AA$33/$D$48)*$I$39*$J$45*AX71</f>
        <v>#VALUE!</v>
      </c>
      <c r="DG55" s="577" t="e">
        <f>(AB$33/$D$48)*$I$39*$J$45*AY71</f>
        <v>#VALUE!</v>
      </c>
      <c r="DH55" s="577" t="e">
        <f t="shared" ref="DH55:DX55" si="188">(AC$33/$D$48)*$I$39*$J$45*AZ71</f>
        <v>#VALUE!</v>
      </c>
      <c r="DI55" s="577" t="e">
        <f t="shared" si="188"/>
        <v>#VALUE!</v>
      </c>
      <c r="DJ55" s="577" t="e">
        <f t="shared" si="188"/>
        <v>#VALUE!</v>
      </c>
      <c r="DK55" s="577" t="e">
        <f t="shared" si="188"/>
        <v>#VALUE!</v>
      </c>
      <c r="DL55" s="577" t="e">
        <f t="shared" si="188"/>
        <v>#VALUE!</v>
      </c>
      <c r="DM55" s="577" t="e">
        <f t="shared" si="188"/>
        <v>#VALUE!</v>
      </c>
      <c r="DN55" s="577" t="e">
        <f t="shared" si="188"/>
        <v>#VALUE!</v>
      </c>
      <c r="DO55" s="577" t="e">
        <f t="shared" si="188"/>
        <v>#VALUE!</v>
      </c>
      <c r="DP55" s="577" t="e">
        <f t="shared" si="188"/>
        <v>#VALUE!</v>
      </c>
      <c r="DQ55" s="577" t="e">
        <f t="shared" si="188"/>
        <v>#VALUE!</v>
      </c>
      <c r="DR55" s="577" t="e">
        <f t="shared" si="188"/>
        <v>#VALUE!</v>
      </c>
      <c r="DS55" s="577" t="e">
        <f t="shared" si="188"/>
        <v>#VALUE!</v>
      </c>
      <c r="DT55" s="577" t="e">
        <f t="shared" si="188"/>
        <v>#VALUE!</v>
      </c>
      <c r="DU55" s="577" t="e">
        <f t="shared" si="188"/>
        <v>#VALUE!</v>
      </c>
      <c r="DV55" s="577" t="e">
        <f t="shared" si="188"/>
        <v>#VALUE!</v>
      </c>
      <c r="DW55" s="577" t="e">
        <f t="shared" si="188"/>
        <v>#VALUE!</v>
      </c>
      <c r="DX55" s="577" t="e">
        <f t="shared" si="188"/>
        <v>#VALUE!</v>
      </c>
      <c r="DY55" s="577"/>
      <c r="DZ55" s="577"/>
      <c r="EA55" s="399" t="e">
        <f>AVERAGE(DE55:DZ55)</f>
        <v>#VALUE!</v>
      </c>
      <c r="EB55" s="24"/>
      <c r="ED55" s="22"/>
      <c r="EE55" s="22"/>
      <c r="EG55" s="24"/>
    </row>
    <row r="56" spans="1:138" x14ac:dyDescent="0.25">
      <c r="A56" s="80"/>
      <c r="B56" s="469"/>
      <c r="C56" s="469"/>
      <c r="D56" s="469"/>
      <c r="E56" s="167"/>
      <c r="G56" s="24"/>
      <c r="H56" s="21"/>
      <c r="I56" s="21"/>
      <c r="J56" s="21"/>
      <c r="K56" s="21"/>
      <c r="L56" s="21"/>
      <c r="M56" s="21"/>
      <c r="N56" s="21"/>
      <c r="O56" s="322" t="s">
        <v>336</v>
      </c>
      <c r="P56" s="448"/>
      <c r="Q56" s="449"/>
      <c r="R56" s="21"/>
      <c r="S56" s="21"/>
      <c r="T56" s="192" t="s">
        <v>228</v>
      </c>
      <c r="U56" s="146"/>
      <c r="V56" s="146"/>
      <c r="W56" s="146"/>
      <c r="X56" s="146"/>
      <c r="Y56" s="146"/>
      <c r="AH56" s="22"/>
      <c r="AI56" s="46"/>
      <c r="AJ56" s="25"/>
      <c r="AN56" s="65">
        <f>(((($H62*$AC$59)+($I62*$AC$60)+($J62*$AC$61)+($K62*$AC$62)+($L62*$AC$64))*$I$39)+$T36)*$R$41</f>
        <v>0</v>
      </c>
      <c r="AO56" s="65" t="e">
        <f t="shared" ref="AO56:BI56" si="189">AN56*$W$44</f>
        <v>#DIV/0!</v>
      </c>
      <c r="AP56" s="65" t="e">
        <f t="shared" si="189"/>
        <v>#DIV/0!</v>
      </c>
      <c r="AQ56" s="65" t="e">
        <f t="shared" si="189"/>
        <v>#DIV/0!</v>
      </c>
      <c r="AR56" s="65" t="e">
        <f t="shared" si="189"/>
        <v>#DIV/0!</v>
      </c>
      <c r="AS56" s="65" t="e">
        <f t="shared" si="189"/>
        <v>#DIV/0!</v>
      </c>
      <c r="AT56" s="65" t="e">
        <f t="shared" si="189"/>
        <v>#DIV/0!</v>
      </c>
      <c r="AU56" s="65" t="e">
        <f t="shared" si="189"/>
        <v>#DIV/0!</v>
      </c>
      <c r="AV56" s="65" t="e">
        <f t="shared" si="189"/>
        <v>#DIV/0!</v>
      </c>
      <c r="AW56" s="65" t="e">
        <f t="shared" si="189"/>
        <v>#DIV/0!</v>
      </c>
      <c r="AX56" s="65" t="e">
        <f t="shared" si="189"/>
        <v>#DIV/0!</v>
      </c>
      <c r="AY56" s="65" t="e">
        <f t="shared" si="189"/>
        <v>#DIV/0!</v>
      </c>
      <c r="AZ56" s="65" t="e">
        <f t="shared" si="189"/>
        <v>#DIV/0!</v>
      </c>
      <c r="BA56" s="65" t="e">
        <f t="shared" si="189"/>
        <v>#DIV/0!</v>
      </c>
      <c r="BB56" s="65" t="e">
        <f t="shared" si="189"/>
        <v>#DIV/0!</v>
      </c>
      <c r="BC56" s="65" t="e">
        <f t="shared" si="189"/>
        <v>#DIV/0!</v>
      </c>
      <c r="BD56" s="65" t="e">
        <f t="shared" si="189"/>
        <v>#DIV/0!</v>
      </c>
      <c r="BE56" s="65" t="e">
        <f t="shared" si="189"/>
        <v>#DIV/0!</v>
      </c>
      <c r="BF56" s="65" t="e">
        <f t="shared" si="189"/>
        <v>#DIV/0!</v>
      </c>
      <c r="BG56" s="65" t="e">
        <f t="shared" si="189"/>
        <v>#DIV/0!</v>
      </c>
      <c r="BH56" s="65" t="e">
        <f t="shared" si="189"/>
        <v>#DIV/0!</v>
      </c>
      <c r="BI56" s="65" t="e">
        <f t="shared" si="189"/>
        <v>#DIV/0!</v>
      </c>
      <c r="BJ56" s="65" t="e">
        <f t="shared" si="146"/>
        <v>#DIV/0!</v>
      </c>
      <c r="BK56" s="313"/>
      <c r="CH56" s="545">
        <f>((251*'VHD Savings'!F56*'Inputs Worksheet'!$J$46)*($W$42^(CH54-2027)))*AW72</f>
        <v>17956.150759860317</v>
      </c>
      <c r="CI56" s="545">
        <f>((251*'VHD Savings'!G56*'Inputs Worksheet'!$J$46)*($W$42^(CI54-2027)))*AX72</f>
        <v>18912.935620065022</v>
      </c>
      <c r="CJ56" s="545">
        <f>((251*'VHD Savings'!H56*'Inputs Worksheet'!$J$46)*($W$42^(CJ54-2027)))*AY72</f>
        <v>19632.304875427377</v>
      </c>
      <c r="CK56" s="545">
        <f>((251*'VHD Savings'!I56*'Inputs Worksheet'!$J$46)*($W$42^(CK54-2027)))*AZ72</f>
        <v>20373.123537212363</v>
      </c>
      <c r="CL56" s="545">
        <f>((251*'VHD Savings'!J56*'Inputs Worksheet'!$J$46)*($W$42^(CL54-2027)))*BA72</f>
        <v>21179.914543927051</v>
      </c>
      <c r="CM56" s="545">
        <f>((251*'VHD Savings'!K56*'Inputs Worksheet'!$J$46)*($W$42^(CM54-2027)))*BB72</f>
        <v>22011.107196644552</v>
      </c>
      <c r="CN56" s="545">
        <f>((251*'VHD Savings'!L56*'Inputs Worksheet'!$J$46)*($W$42^(CN54-2027)))*BC72</f>
        <v>22455.755049543961</v>
      </c>
      <c r="CO56" s="545">
        <f>((251*'VHD Savings'!M56*'Inputs Worksheet'!$J$46)*($W$42^(CO54-2027)))*BD72</f>
        <v>22909.51923910953</v>
      </c>
      <c r="CP56" s="545">
        <f>((251*'VHD Savings'!N56*'Inputs Worksheet'!$J$46)*($W$42^(CP54-2027)))*BE72</f>
        <v>23372.589221634251</v>
      </c>
      <c r="CQ56" s="545">
        <f>((251*'VHD Savings'!O56*'Inputs Worksheet'!$J$46)*($W$42^(CQ54-2027)))*BF72</f>
        <v>23845.158438962517</v>
      </c>
      <c r="CR56" s="545">
        <f>((251*'VHD Savings'!P56*'Inputs Worksheet'!$J$46)*($W$42^(CR54-2027)))*BG72</f>
        <v>24327.42440324332</v>
      </c>
      <c r="CS56" s="545">
        <f>((251*'VHD Savings'!Q56*'Inputs Worksheet'!$J$46)*($W$42^(CS54-2027)))*BH72</f>
        <v>24819.588783502764</v>
      </c>
      <c r="CT56" s="545">
        <f>((251*'VHD Savings'!R56*'Inputs Worksheet'!$J$46)*($W$42^(CT54-2027)))*BI72</f>
        <v>25321.857494075481</v>
      </c>
      <c r="CU56" s="545">
        <f>((251*'VHD Savings'!S56*'Inputs Worksheet'!$J$46)*($W$42^(CU54-2027)))*BJ72</f>
        <v>25834.440784935021</v>
      </c>
      <c r="CV56" s="545">
        <f>((251*'VHD Savings'!T56*'Inputs Worksheet'!$J$46)*($W$42^(CV54-2027)))*BK72</f>
        <v>26357.553333964363</v>
      </c>
      <c r="CW56" s="545">
        <f>((251*'VHD Savings'!U56*'Inputs Worksheet'!$J$46)*($W$42^(CW54-2027)))*BL72</f>
        <v>26891.414341208649</v>
      </c>
      <c r="CX56" s="545">
        <f>((251*'VHD Savings'!V56*'Inputs Worksheet'!$J$46)*($W$42^(CX54-2027)))*BM72</f>
        <v>27436.247625152973</v>
      </c>
      <c r="CY56" s="545">
        <f>((251*'VHD Savings'!W56*'Inputs Worksheet'!$J$46)*($W$42^(CY54-2027)))*BN72</f>
        <v>27992.281721069085</v>
      </c>
      <c r="CZ56" s="545">
        <f>((251*'VHD Savings'!X56*'Inputs Worksheet'!$J$46)*($W$42^(CZ54-2027)))*BO72</f>
        <v>28559.749981475939</v>
      </c>
      <c r="DA56" s="545">
        <f>((251*'VHD Savings'!Y56*'Inputs Worksheet'!$J$46)*($W$42^(DA54-2027)))*BP72</f>
        <v>29138.890678759846</v>
      </c>
      <c r="DB56" s="545"/>
      <c r="DC56" s="545"/>
      <c r="DD56" s="406">
        <f t="shared" ref="DD56:DD59" si="190">AVERAGE(CH56:DC56)</f>
        <v>23966.400381488718</v>
      </c>
      <c r="DE56" s="577">
        <f>($J$45*'VHD Savings'!F56*251)*AW71</f>
        <v>445203.92561192118</v>
      </c>
      <c r="DF56" s="577">
        <f>(($J$45*'VHD Savings'!F56*251)*($W$42^(DF54-2027)))*AX71</f>
        <v>456891.55811950308</v>
      </c>
      <c r="DG56" s="577">
        <f>(($J$45*'VHD Savings'!G56*251)*($W$42^(DG54-2027)))*AY71</f>
        <v>422251.48335859843</v>
      </c>
      <c r="DH56" s="577">
        <f>(($J$45*'VHD Savings'!H56*251)*($W$42^(DH54-2027)))*AZ71</f>
        <v>497809.13925687224</v>
      </c>
      <c r="DI56" s="577">
        <f>(($J$45*'VHD Savings'!I56*251)*($W$42^(DI54-2027)))*BA71</f>
        <v>515952.227361531</v>
      </c>
      <c r="DJ56" s="577">
        <f>(($J$45*'VHD Savings'!J56*251)*($W$42^(DJ54-2027)))*BB71</f>
        <v>534751.30322212388</v>
      </c>
      <c r="DK56" s="577">
        <f>(($J$45*'VHD Savings'!K56*251)*($W$42^(DK54-2027)))*BC71</f>
        <v>545550.65700539644</v>
      </c>
      <c r="DL56" s="577">
        <f>(($J$45*'VHD Savings'!L56*251)*($W$42^(DL54-2027)))*BD71</f>
        <v>556571.36242099176</v>
      </c>
      <c r="DM56" s="577">
        <f>(($J$45*'VHD Savings'!M56*251)*($W$42^(DM54-2027)))*BE71</f>
        <v>567818.0184629357</v>
      </c>
      <c r="DN56" s="577">
        <f>(($J$45*'VHD Savings'!N56*251)*($W$42^(DN54-2027)))*BF71</f>
        <v>579295.32085162925</v>
      </c>
      <c r="DO56" s="577">
        <f>(($J$45*'VHD Savings'!O56*251)*($W$42^(DO54-2027)))*BG71</f>
        <v>591008.06409033679</v>
      </c>
      <c r="DP56" s="577">
        <f>(($J$45*'VHD Savings'!P56*251)*($W$42^(DP54-2027)))*BH71</f>
        <v>602961.14356581343</v>
      </c>
      <c r="DQ56" s="577">
        <f>(($J$45*'VHD Savings'!Q56*251)*($W$42^(DQ54-2027)))*BI71</f>
        <v>615159.55769402802</v>
      </c>
      <c r="DR56" s="577">
        <f>(($J$45*'VHD Savings'!R56*251)*($W$42^(DR54-2027)))*BJ71</f>
        <v>627608.4101119549</v>
      </c>
      <c r="DS56" s="577">
        <f>(($J$45*'VHD Savings'!S56*251)*($W$42^(DS54-2027)))*BK71</f>
        <v>640312.91191643663</v>
      </c>
      <c r="DT56" s="577">
        <f>(($J$45*'VHD Savings'!T56*251)*($W$42^(DT54-2027)))*BL71</f>
        <v>653278.38395112974</v>
      </c>
      <c r="DU56" s="577">
        <f>(($J$45*'VHD Savings'!U56*251)*($W$42^(DU54-2027)))*BM71</f>
        <v>666510.2591425823</v>
      </c>
      <c r="DV56" s="577">
        <f>(($J$45*'VHD Savings'!V56*251)*($W$42^(DV54-2027)))*BN71</f>
        <v>680014.08488650224</v>
      </c>
      <c r="DW56" s="577">
        <f>(($J$45*'VHD Savings'!W56*251)*($W$42^(DW54-2027)))*BO71</f>
        <v>693795.52548530488</v>
      </c>
      <c r="DX56" s="577">
        <f>(($J$45*'VHD Savings'!X56*251)*($W$42^(DX54-2027)))*BP71</f>
        <v>707860.36463805172</v>
      </c>
      <c r="DY56" s="577"/>
      <c r="DZ56" s="577"/>
      <c r="EA56" s="399">
        <f t="shared" ref="EA56:EA59" si="191">AVERAGE(DE56:DZ56)</f>
        <v>580030.18505768222</v>
      </c>
      <c r="EB56" s="313"/>
    </row>
    <row r="57" spans="1:138" ht="18.95" customHeight="1" thickBot="1" x14ac:dyDescent="0.3">
      <c r="A57" s="78"/>
      <c r="B57" s="572" t="s">
        <v>334</v>
      </c>
      <c r="C57" s="469"/>
      <c r="D57" s="469"/>
      <c r="E57" s="367"/>
      <c r="H57" s="381" t="s">
        <v>211</v>
      </c>
      <c r="I57" s="382"/>
      <c r="J57" s="382"/>
      <c r="K57" s="382"/>
      <c r="L57" s="383"/>
      <c r="M57" s="384"/>
      <c r="N57" s="384"/>
      <c r="O57" s="450">
        <f>(0.011*100/70.1206640431576)/Q67*100</f>
        <v>1.5788232692941342E-2</v>
      </c>
      <c r="P57" s="451" t="s">
        <v>203</v>
      </c>
      <c r="Q57" s="452"/>
      <c r="R57" s="452"/>
      <c r="T57" s="478" t="s">
        <v>194</v>
      </c>
      <c r="U57" s="479"/>
      <c r="V57" s="479"/>
      <c r="W57" s="480"/>
      <c r="X57" s="480"/>
      <c r="Y57" s="481">
        <v>0.23</v>
      </c>
      <c r="Z57" s="22" t="s">
        <v>195</v>
      </c>
      <c r="AA57" s="22" t="s">
        <v>349</v>
      </c>
      <c r="AH57" s="22"/>
      <c r="AI57" s="46"/>
      <c r="AN57" s="65">
        <f>(((($H63*$AC$59)+($I63*$AC$60)+($J63*$AC$61)+($K63*$AC$62)+($L63*$AC$64))*$I$39)+$T37)*$R$41</f>
        <v>0</v>
      </c>
      <c r="AO57" s="65" t="e">
        <f t="shared" ref="AO57:BI57" si="192">AN57*$W$45</f>
        <v>#DIV/0!</v>
      </c>
      <c r="AP57" s="65" t="e">
        <f t="shared" si="192"/>
        <v>#DIV/0!</v>
      </c>
      <c r="AQ57" s="65" t="e">
        <f t="shared" si="192"/>
        <v>#DIV/0!</v>
      </c>
      <c r="AR57" s="65" t="e">
        <f t="shared" si="192"/>
        <v>#DIV/0!</v>
      </c>
      <c r="AS57" s="65" t="e">
        <f t="shared" si="192"/>
        <v>#DIV/0!</v>
      </c>
      <c r="AT57" s="65" t="e">
        <f t="shared" si="192"/>
        <v>#DIV/0!</v>
      </c>
      <c r="AU57" s="65" t="e">
        <f t="shared" si="192"/>
        <v>#DIV/0!</v>
      </c>
      <c r="AV57" s="65" t="e">
        <f t="shared" si="192"/>
        <v>#DIV/0!</v>
      </c>
      <c r="AW57" s="65" t="e">
        <f t="shared" si="192"/>
        <v>#DIV/0!</v>
      </c>
      <c r="AX57" s="65" t="e">
        <f t="shared" si="192"/>
        <v>#DIV/0!</v>
      </c>
      <c r="AY57" s="65" t="e">
        <f t="shared" si="192"/>
        <v>#DIV/0!</v>
      </c>
      <c r="AZ57" s="65" t="e">
        <f t="shared" si="192"/>
        <v>#DIV/0!</v>
      </c>
      <c r="BA57" s="65" t="e">
        <f t="shared" si="192"/>
        <v>#DIV/0!</v>
      </c>
      <c r="BB57" s="65" t="e">
        <f t="shared" si="192"/>
        <v>#DIV/0!</v>
      </c>
      <c r="BC57" s="65" t="e">
        <f t="shared" si="192"/>
        <v>#DIV/0!</v>
      </c>
      <c r="BD57" s="65" t="e">
        <f t="shared" si="192"/>
        <v>#DIV/0!</v>
      </c>
      <c r="BE57" s="65" t="e">
        <f t="shared" si="192"/>
        <v>#DIV/0!</v>
      </c>
      <c r="BF57" s="65" t="e">
        <f t="shared" si="192"/>
        <v>#DIV/0!</v>
      </c>
      <c r="BG57" s="65" t="e">
        <f t="shared" si="192"/>
        <v>#DIV/0!</v>
      </c>
      <c r="BH57" s="65" t="e">
        <f t="shared" si="192"/>
        <v>#DIV/0!</v>
      </c>
      <c r="BI57" s="65" t="e">
        <f t="shared" si="192"/>
        <v>#DIV/0!</v>
      </c>
      <c r="BJ57" s="65" t="e">
        <f t="shared" si="146"/>
        <v>#DIV/0!</v>
      </c>
      <c r="BK57" s="313"/>
      <c r="CH57" s="545" t="e">
        <f>($Y$35*($W$43^(CH54-2027)))*AW72</f>
        <v>#DIV/0!</v>
      </c>
      <c r="CI57" s="545" t="e">
        <f t="shared" ref="CI57:DA57" si="193">($Y$35*($W$43^(CI54-2025)))*AX72</f>
        <v>#DIV/0!</v>
      </c>
      <c r="CJ57" s="545" t="e">
        <f t="shared" si="193"/>
        <v>#DIV/0!</v>
      </c>
      <c r="CK57" s="545" t="e">
        <f t="shared" si="193"/>
        <v>#DIV/0!</v>
      </c>
      <c r="CL57" s="545" t="e">
        <f t="shared" si="193"/>
        <v>#DIV/0!</v>
      </c>
      <c r="CM57" s="545" t="e">
        <f t="shared" si="193"/>
        <v>#DIV/0!</v>
      </c>
      <c r="CN57" s="545" t="e">
        <f t="shared" si="193"/>
        <v>#DIV/0!</v>
      </c>
      <c r="CO57" s="545" t="e">
        <f t="shared" si="193"/>
        <v>#DIV/0!</v>
      </c>
      <c r="CP57" s="545" t="e">
        <f t="shared" si="193"/>
        <v>#DIV/0!</v>
      </c>
      <c r="CQ57" s="545" t="e">
        <f t="shared" si="193"/>
        <v>#DIV/0!</v>
      </c>
      <c r="CR57" s="545" t="e">
        <f t="shared" si="193"/>
        <v>#DIV/0!</v>
      </c>
      <c r="CS57" s="545" t="e">
        <f t="shared" si="193"/>
        <v>#DIV/0!</v>
      </c>
      <c r="CT57" s="545" t="e">
        <f t="shared" si="193"/>
        <v>#DIV/0!</v>
      </c>
      <c r="CU57" s="545" t="e">
        <f t="shared" si="193"/>
        <v>#DIV/0!</v>
      </c>
      <c r="CV57" s="545" t="e">
        <f t="shared" si="193"/>
        <v>#DIV/0!</v>
      </c>
      <c r="CW57" s="545" t="e">
        <f t="shared" si="193"/>
        <v>#DIV/0!</v>
      </c>
      <c r="CX57" s="545" t="e">
        <f t="shared" si="193"/>
        <v>#DIV/0!</v>
      </c>
      <c r="CY57" s="545" t="e">
        <f t="shared" si="193"/>
        <v>#DIV/0!</v>
      </c>
      <c r="CZ57" s="545" t="e">
        <f t="shared" si="193"/>
        <v>#DIV/0!</v>
      </c>
      <c r="DA57" s="545" t="e">
        <f t="shared" si="193"/>
        <v>#DIV/0!</v>
      </c>
      <c r="DB57" s="545"/>
      <c r="DC57" s="545"/>
      <c r="DD57" s="406" t="e">
        <f t="shared" si="190"/>
        <v>#DIV/0!</v>
      </c>
      <c r="DE57" s="399">
        <f>$X$35*AW71</f>
        <v>0</v>
      </c>
      <c r="DF57" s="577" t="e">
        <f>($X$35*($W$43^(DF54-2025)))*AX71</f>
        <v>#DIV/0!</v>
      </c>
      <c r="DG57" s="577" t="e">
        <f t="shared" ref="DG57:DX57" si="194">($X$35*($W$43^(DG54-2025)))*AY71</f>
        <v>#DIV/0!</v>
      </c>
      <c r="DH57" s="577" t="e">
        <f t="shared" si="194"/>
        <v>#DIV/0!</v>
      </c>
      <c r="DI57" s="577" t="e">
        <f t="shared" si="194"/>
        <v>#DIV/0!</v>
      </c>
      <c r="DJ57" s="577" t="e">
        <f t="shared" si="194"/>
        <v>#DIV/0!</v>
      </c>
      <c r="DK57" s="577" t="e">
        <f t="shared" si="194"/>
        <v>#DIV/0!</v>
      </c>
      <c r="DL57" s="577" t="e">
        <f t="shared" si="194"/>
        <v>#DIV/0!</v>
      </c>
      <c r="DM57" s="577" t="e">
        <f t="shared" si="194"/>
        <v>#DIV/0!</v>
      </c>
      <c r="DN57" s="577" t="e">
        <f t="shared" si="194"/>
        <v>#DIV/0!</v>
      </c>
      <c r="DO57" s="577" t="e">
        <f t="shared" si="194"/>
        <v>#DIV/0!</v>
      </c>
      <c r="DP57" s="577" t="e">
        <f t="shared" si="194"/>
        <v>#DIV/0!</v>
      </c>
      <c r="DQ57" s="577" t="e">
        <f t="shared" si="194"/>
        <v>#DIV/0!</v>
      </c>
      <c r="DR57" s="577" t="e">
        <f t="shared" si="194"/>
        <v>#DIV/0!</v>
      </c>
      <c r="DS57" s="577" t="e">
        <f t="shared" si="194"/>
        <v>#DIV/0!</v>
      </c>
      <c r="DT57" s="577" t="e">
        <f t="shared" si="194"/>
        <v>#DIV/0!</v>
      </c>
      <c r="DU57" s="577" t="e">
        <f t="shared" si="194"/>
        <v>#DIV/0!</v>
      </c>
      <c r="DV57" s="577" t="e">
        <f t="shared" si="194"/>
        <v>#DIV/0!</v>
      </c>
      <c r="DW57" s="577" t="e">
        <f t="shared" si="194"/>
        <v>#DIV/0!</v>
      </c>
      <c r="DX57" s="577" t="e">
        <f t="shared" si="194"/>
        <v>#DIV/0!</v>
      </c>
      <c r="DY57" s="577"/>
      <c r="DZ57" s="577"/>
      <c r="EA57" s="399" t="e">
        <f t="shared" si="191"/>
        <v>#DIV/0!</v>
      </c>
      <c r="EB57" s="313"/>
      <c r="EC57" s="25"/>
      <c r="ED57" s="22"/>
      <c r="EF57" s="24"/>
    </row>
    <row r="58" spans="1:138" ht="45" customHeight="1" thickBot="1" x14ac:dyDescent="0.4">
      <c r="A58" s="80"/>
      <c r="B58" s="361" t="s">
        <v>334</v>
      </c>
      <c r="C58" s="504" t="s">
        <v>220</v>
      </c>
      <c r="D58" s="534">
        <f>((D45+D47)*0.94)+((1-D45-D47)*0.45)</f>
        <v>0.51997199999999999</v>
      </c>
      <c r="E58" s="167"/>
      <c r="F58" s="167"/>
      <c r="G58" s="72" t="s">
        <v>156</v>
      </c>
      <c r="H58" s="158" t="s">
        <v>94</v>
      </c>
      <c r="I58" s="158" t="s">
        <v>91</v>
      </c>
      <c r="J58" s="158" t="s">
        <v>92</v>
      </c>
      <c r="K58" s="158" t="s">
        <v>93</v>
      </c>
      <c r="L58" s="158" t="s">
        <v>52</v>
      </c>
      <c r="M58" s="385"/>
      <c r="N58" s="385"/>
      <c r="O58" s="453"/>
      <c r="P58" s="454" t="s">
        <v>204</v>
      </c>
      <c r="Q58" s="453"/>
      <c r="R58" s="385"/>
      <c r="T58" s="193" t="s">
        <v>196</v>
      </c>
      <c r="U58" s="148"/>
      <c r="V58" s="148"/>
      <c r="W58" s="482"/>
      <c r="X58" s="482"/>
      <c r="Y58" s="483">
        <v>0.66</v>
      </c>
      <c r="Z58" s="22" t="s">
        <v>197</v>
      </c>
      <c r="AA58" s="163" t="s">
        <v>66</v>
      </c>
      <c r="AB58" s="164" t="s">
        <v>267</v>
      </c>
      <c r="AC58" s="165" t="s">
        <v>98</v>
      </c>
      <c r="AD58" s="165" t="s">
        <v>67</v>
      </c>
      <c r="AE58" s="166" t="s">
        <v>176</v>
      </c>
      <c r="AF58" s="387"/>
      <c r="AG58" s="387"/>
      <c r="AH58" s="22"/>
      <c r="AJ58" s="46"/>
      <c r="AP58" s="21"/>
      <c r="AR58" s="249"/>
      <c r="AS58" s="249"/>
      <c r="AT58" s="23"/>
      <c r="AW58" s="24"/>
      <c r="BL58" s="210"/>
      <c r="BM58" s="210"/>
      <c r="BN58" s="210"/>
      <c r="CH58" s="406">
        <f t="shared" ref="CH58:CH59" si="195">Y36*$G$46</f>
        <v>0</v>
      </c>
      <c r="CI58" s="406" t="e">
        <f t="shared" ref="CI58:DC58" si="196">CH58*$W$44</f>
        <v>#DIV/0!</v>
      </c>
      <c r="CJ58" s="406" t="e">
        <f t="shared" si="196"/>
        <v>#DIV/0!</v>
      </c>
      <c r="CK58" s="406" t="e">
        <f t="shared" si="196"/>
        <v>#DIV/0!</v>
      </c>
      <c r="CL58" s="406" t="e">
        <f t="shared" si="196"/>
        <v>#DIV/0!</v>
      </c>
      <c r="CM58" s="406" t="e">
        <f t="shared" si="196"/>
        <v>#DIV/0!</v>
      </c>
      <c r="CN58" s="406" t="e">
        <f t="shared" si="196"/>
        <v>#DIV/0!</v>
      </c>
      <c r="CO58" s="406" t="e">
        <f t="shared" si="196"/>
        <v>#DIV/0!</v>
      </c>
      <c r="CP58" s="406" t="e">
        <f t="shared" si="196"/>
        <v>#DIV/0!</v>
      </c>
      <c r="CQ58" s="406" t="e">
        <f t="shared" si="196"/>
        <v>#DIV/0!</v>
      </c>
      <c r="CR58" s="406" t="e">
        <f t="shared" si="196"/>
        <v>#DIV/0!</v>
      </c>
      <c r="CS58" s="406" t="e">
        <f t="shared" si="196"/>
        <v>#DIV/0!</v>
      </c>
      <c r="CT58" s="406" t="e">
        <f t="shared" si="196"/>
        <v>#DIV/0!</v>
      </c>
      <c r="CU58" s="406" t="e">
        <f t="shared" si="196"/>
        <v>#DIV/0!</v>
      </c>
      <c r="CV58" s="406" t="e">
        <f t="shared" si="196"/>
        <v>#DIV/0!</v>
      </c>
      <c r="CW58" s="406" t="e">
        <f t="shared" si="196"/>
        <v>#DIV/0!</v>
      </c>
      <c r="CX58" s="406" t="e">
        <f t="shared" si="196"/>
        <v>#DIV/0!</v>
      </c>
      <c r="CY58" s="406" t="e">
        <f t="shared" si="196"/>
        <v>#DIV/0!</v>
      </c>
      <c r="CZ58" s="406" t="e">
        <f t="shared" si="196"/>
        <v>#DIV/0!</v>
      </c>
      <c r="DA58" s="406" t="e">
        <f t="shared" si="196"/>
        <v>#DIV/0!</v>
      </c>
      <c r="DB58" s="406" t="e">
        <f t="shared" si="196"/>
        <v>#DIV/0!</v>
      </c>
      <c r="DC58" s="406" t="e">
        <f t="shared" si="196"/>
        <v>#DIV/0!</v>
      </c>
      <c r="DD58" s="406" t="e">
        <f t="shared" si="190"/>
        <v>#DIV/0!</v>
      </c>
      <c r="DE58" s="399">
        <f t="shared" ref="DE58:DE59" si="197">X36*$G$45</f>
        <v>0</v>
      </c>
      <c r="DF58" s="399" t="e">
        <f t="shared" ref="DF58:DZ58" si="198">DE58*$W$44</f>
        <v>#DIV/0!</v>
      </c>
      <c r="DG58" s="399" t="e">
        <f t="shared" si="198"/>
        <v>#DIV/0!</v>
      </c>
      <c r="DH58" s="399" t="e">
        <f t="shared" si="198"/>
        <v>#DIV/0!</v>
      </c>
      <c r="DI58" s="399" t="e">
        <f t="shared" si="198"/>
        <v>#DIV/0!</v>
      </c>
      <c r="DJ58" s="399" t="e">
        <f t="shared" si="198"/>
        <v>#DIV/0!</v>
      </c>
      <c r="DK58" s="399" t="e">
        <f t="shared" si="198"/>
        <v>#DIV/0!</v>
      </c>
      <c r="DL58" s="399" t="e">
        <f t="shared" si="198"/>
        <v>#DIV/0!</v>
      </c>
      <c r="DM58" s="399" t="e">
        <f t="shared" si="198"/>
        <v>#DIV/0!</v>
      </c>
      <c r="DN58" s="399" t="e">
        <f t="shared" si="198"/>
        <v>#DIV/0!</v>
      </c>
      <c r="DO58" s="399" t="e">
        <f t="shared" si="198"/>
        <v>#DIV/0!</v>
      </c>
      <c r="DP58" s="399" t="e">
        <f t="shared" si="198"/>
        <v>#DIV/0!</v>
      </c>
      <c r="DQ58" s="399" t="e">
        <f t="shared" si="198"/>
        <v>#DIV/0!</v>
      </c>
      <c r="DR58" s="399" t="e">
        <f t="shared" si="198"/>
        <v>#DIV/0!</v>
      </c>
      <c r="DS58" s="399" t="e">
        <f t="shared" si="198"/>
        <v>#DIV/0!</v>
      </c>
      <c r="DT58" s="399" t="e">
        <f t="shared" si="198"/>
        <v>#DIV/0!</v>
      </c>
      <c r="DU58" s="399" t="e">
        <f t="shared" si="198"/>
        <v>#DIV/0!</v>
      </c>
      <c r="DV58" s="399" t="e">
        <f t="shared" si="198"/>
        <v>#DIV/0!</v>
      </c>
      <c r="DW58" s="399" t="e">
        <f t="shared" si="198"/>
        <v>#DIV/0!</v>
      </c>
      <c r="DX58" s="399" t="e">
        <f t="shared" si="198"/>
        <v>#DIV/0!</v>
      </c>
      <c r="DY58" s="399" t="e">
        <f t="shared" si="198"/>
        <v>#DIV/0!</v>
      </c>
      <c r="DZ58" s="399" t="e">
        <f t="shared" si="198"/>
        <v>#DIV/0!</v>
      </c>
      <c r="EA58" s="399" t="e">
        <f t="shared" si="191"/>
        <v>#DIV/0!</v>
      </c>
      <c r="EB58" s="313"/>
      <c r="EC58" s="25"/>
      <c r="ED58" s="22"/>
      <c r="EF58" s="24"/>
      <c r="EG58" s="24"/>
    </row>
    <row r="59" spans="1:138" ht="20.25" x14ac:dyDescent="0.3">
      <c r="A59" s="80"/>
      <c r="B59" s="572" t="s">
        <v>335</v>
      </c>
      <c r="C59" s="469"/>
      <c r="D59" s="469"/>
      <c r="E59" s="167"/>
      <c r="F59" s="168"/>
      <c r="G59" s="97" t="str">
        <f>A7</f>
        <v>Not Used</v>
      </c>
      <c r="H59" s="535">
        <f>H67*$B$67</f>
        <v>0</v>
      </c>
      <c r="I59" s="522">
        <f t="shared" ref="I59:L59" si="199">I67*$B$67</f>
        <v>0</v>
      </c>
      <c r="J59" s="522">
        <f t="shared" si="199"/>
        <v>0</v>
      </c>
      <c r="K59" s="522">
        <f t="shared" si="199"/>
        <v>0</v>
      </c>
      <c r="L59" s="536">
        <f t="shared" si="199"/>
        <v>0</v>
      </c>
      <c r="M59" s="329"/>
      <c r="N59" s="327"/>
      <c r="O59" s="327" t="s">
        <v>337</v>
      </c>
      <c r="P59" s="447"/>
      <c r="Q59" s="327"/>
      <c r="R59" s="327"/>
      <c r="T59" s="484" t="s">
        <v>89</v>
      </c>
      <c r="U59" s="148"/>
      <c r="V59" s="148"/>
      <c r="W59" s="482"/>
      <c r="X59" s="482"/>
      <c r="Y59" s="483"/>
      <c r="AA59" s="162" t="s">
        <v>62</v>
      </c>
      <c r="AB59" s="689">
        <v>11600000</v>
      </c>
      <c r="AC59" s="690">
        <v>290.13</v>
      </c>
      <c r="AD59" s="690">
        <v>504</v>
      </c>
      <c r="AE59" s="691">
        <f t="shared" ref="AE59:AE64" si="200">AD59*$J$48</f>
        <v>5.5364187262960796</v>
      </c>
      <c r="AF59" s="327"/>
      <c r="AG59" s="327"/>
      <c r="AH59" s="22"/>
      <c r="AJ59" s="46"/>
      <c r="AR59" s="250"/>
      <c r="AS59" s="250"/>
      <c r="AT59" s="214"/>
      <c r="AU59" s="211"/>
      <c r="AV59" s="211"/>
      <c r="AW59" s="211"/>
      <c r="AX59" s="211"/>
      <c r="AY59" s="211"/>
      <c r="AZ59" s="211"/>
      <c r="BA59" s="211"/>
      <c r="BB59" s="211"/>
      <c r="BC59" s="212"/>
      <c r="BD59" s="212"/>
      <c r="BE59" s="210"/>
      <c r="BF59" s="210"/>
      <c r="BG59" s="210"/>
      <c r="BH59" s="210"/>
      <c r="BI59" s="210"/>
      <c r="BJ59" s="210"/>
      <c r="BK59" s="210"/>
      <c r="BL59" s="210"/>
      <c r="BM59" s="210"/>
      <c r="BN59" s="210"/>
      <c r="CH59" s="406">
        <f t="shared" si="195"/>
        <v>0</v>
      </c>
      <c r="CI59" s="406" t="e">
        <f t="shared" ref="CI59:DC59" si="201">CH59*$W$45</f>
        <v>#DIV/0!</v>
      </c>
      <c r="CJ59" s="406" t="e">
        <f t="shared" si="201"/>
        <v>#DIV/0!</v>
      </c>
      <c r="CK59" s="406" t="e">
        <f t="shared" si="201"/>
        <v>#DIV/0!</v>
      </c>
      <c r="CL59" s="406" t="e">
        <f t="shared" si="201"/>
        <v>#DIV/0!</v>
      </c>
      <c r="CM59" s="406" t="e">
        <f t="shared" si="201"/>
        <v>#DIV/0!</v>
      </c>
      <c r="CN59" s="406" t="e">
        <f t="shared" si="201"/>
        <v>#DIV/0!</v>
      </c>
      <c r="CO59" s="406" t="e">
        <f t="shared" si="201"/>
        <v>#DIV/0!</v>
      </c>
      <c r="CP59" s="406" t="e">
        <f t="shared" si="201"/>
        <v>#DIV/0!</v>
      </c>
      <c r="CQ59" s="406" t="e">
        <f t="shared" si="201"/>
        <v>#DIV/0!</v>
      </c>
      <c r="CR59" s="406" t="e">
        <f t="shared" si="201"/>
        <v>#DIV/0!</v>
      </c>
      <c r="CS59" s="406" t="e">
        <f t="shared" si="201"/>
        <v>#DIV/0!</v>
      </c>
      <c r="CT59" s="406" t="e">
        <f t="shared" si="201"/>
        <v>#DIV/0!</v>
      </c>
      <c r="CU59" s="406" t="e">
        <f t="shared" si="201"/>
        <v>#DIV/0!</v>
      </c>
      <c r="CV59" s="406" t="e">
        <f t="shared" si="201"/>
        <v>#DIV/0!</v>
      </c>
      <c r="CW59" s="406" t="e">
        <f t="shared" si="201"/>
        <v>#DIV/0!</v>
      </c>
      <c r="CX59" s="406" t="e">
        <f t="shared" si="201"/>
        <v>#DIV/0!</v>
      </c>
      <c r="CY59" s="406" t="e">
        <f t="shared" si="201"/>
        <v>#DIV/0!</v>
      </c>
      <c r="CZ59" s="406" t="e">
        <f t="shared" si="201"/>
        <v>#DIV/0!</v>
      </c>
      <c r="DA59" s="406" t="e">
        <f t="shared" si="201"/>
        <v>#DIV/0!</v>
      </c>
      <c r="DB59" s="406" t="e">
        <f t="shared" si="201"/>
        <v>#DIV/0!</v>
      </c>
      <c r="DC59" s="406" t="e">
        <f t="shared" si="201"/>
        <v>#DIV/0!</v>
      </c>
      <c r="DD59" s="406" t="e">
        <f t="shared" si="190"/>
        <v>#DIV/0!</v>
      </c>
      <c r="DE59" s="399">
        <f t="shared" si="197"/>
        <v>0</v>
      </c>
      <c r="DF59" s="399" t="e">
        <f t="shared" ref="DF59:DZ59" si="202">DE59*$W$45</f>
        <v>#DIV/0!</v>
      </c>
      <c r="DG59" s="399" t="e">
        <f t="shared" si="202"/>
        <v>#DIV/0!</v>
      </c>
      <c r="DH59" s="399" t="e">
        <f t="shared" si="202"/>
        <v>#DIV/0!</v>
      </c>
      <c r="DI59" s="399" t="e">
        <f t="shared" si="202"/>
        <v>#DIV/0!</v>
      </c>
      <c r="DJ59" s="399" t="e">
        <f t="shared" si="202"/>
        <v>#DIV/0!</v>
      </c>
      <c r="DK59" s="399" t="e">
        <f t="shared" si="202"/>
        <v>#DIV/0!</v>
      </c>
      <c r="DL59" s="399" t="e">
        <f t="shared" si="202"/>
        <v>#DIV/0!</v>
      </c>
      <c r="DM59" s="399" t="e">
        <f t="shared" si="202"/>
        <v>#DIV/0!</v>
      </c>
      <c r="DN59" s="399" t="e">
        <f t="shared" si="202"/>
        <v>#DIV/0!</v>
      </c>
      <c r="DO59" s="399" t="e">
        <f t="shared" si="202"/>
        <v>#DIV/0!</v>
      </c>
      <c r="DP59" s="399" t="e">
        <f t="shared" si="202"/>
        <v>#DIV/0!</v>
      </c>
      <c r="DQ59" s="399" t="e">
        <f t="shared" si="202"/>
        <v>#DIV/0!</v>
      </c>
      <c r="DR59" s="399" t="e">
        <f t="shared" si="202"/>
        <v>#DIV/0!</v>
      </c>
      <c r="DS59" s="399" t="e">
        <f t="shared" si="202"/>
        <v>#DIV/0!</v>
      </c>
      <c r="DT59" s="399" t="e">
        <f t="shared" si="202"/>
        <v>#DIV/0!</v>
      </c>
      <c r="DU59" s="399" t="e">
        <f t="shared" si="202"/>
        <v>#DIV/0!</v>
      </c>
      <c r="DV59" s="399" t="e">
        <f t="shared" si="202"/>
        <v>#DIV/0!</v>
      </c>
      <c r="DW59" s="399" t="e">
        <f t="shared" si="202"/>
        <v>#DIV/0!</v>
      </c>
      <c r="DX59" s="399" t="e">
        <f t="shared" si="202"/>
        <v>#DIV/0!</v>
      </c>
      <c r="DY59" s="399" t="e">
        <f t="shared" si="202"/>
        <v>#DIV/0!</v>
      </c>
      <c r="DZ59" s="399" t="e">
        <f t="shared" si="202"/>
        <v>#DIV/0!</v>
      </c>
      <c r="EA59" s="399" t="e">
        <f t="shared" si="191"/>
        <v>#DIV/0!</v>
      </c>
      <c r="EB59" s="313"/>
      <c r="EC59" s="25"/>
      <c r="ED59" s="22"/>
      <c r="EF59" s="24"/>
      <c r="EG59" s="24"/>
    </row>
    <row r="60" spans="1:138" ht="26.1" customHeight="1" x14ac:dyDescent="0.3">
      <c r="A60" s="80"/>
      <c r="B60" s="469"/>
      <c r="C60" s="469"/>
      <c r="D60" s="469"/>
      <c r="E60" s="167"/>
      <c r="F60" s="167"/>
      <c r="G60" s="97" t="str">
        <f>A8</f>
        <v>I-205 Corridor Widening: Stafford Road to OR43</v>
      </c>
      <c r="H60" s="535">
        <f>H68*$B$68</f>
        <v>0.31600000000000006</v>
      </c>
      <c r="I60" s="522">
        <f t="shared" ref="I60:L60" si="203">I68*$B$68</f>
        <v>5.6374400000000007</v>
      </c>
      <c r="J60" s="522">
        <f t="shared" si="203"/>
        <v>8.4561599999999988</v>
      </c>
      <c r="K60" s="522">
        <f t="shared" si="203"/>
        <v>126.84240000000001</v>
      </c>
      <c r="L60" s="536">
        <f t="shared" si="203"/>
        <v>134.774</v>
      </c>
      <c r="M60" s="329"/>
      <c r="N60" s="327"/>
      <c r="O60" s="327"/>
      <c r="P60" s="329"/>
      <c r="Q60" s="327"/>
      <c r="R60" s="327"/>
      <c r="T60" s="912" t="s">
        <v>150</v>
      </c>
      <c r="U60" s="913"/>
      <c r="V60" s="913"/>
      <c r="W60" s="482"/>
      <c r="X60" s="482"/>
      <c r="Y60" s="483">
        <v>0.44</v>
      </c>
      <c r="Z60" s="22" t="s">
        <v>151</v>
      </c>
      <c r="AA60" s="162" t="s">
        <v>53</v>
      </c>
      <c r="AB60" s="692">
        <v>554800</v>
      </c>
      <c r="AC60" s="693">
        <v>64.48</v>
      </c>
      <c r="AD60" s="693">
        <v>112</v>
      </c>
      <c r="AE60" s="691">
        <f t="shared" si="200"/>
        <v>1.2303152725102398</v>
      </c>
      <c r="AF60" s="327"/>
      <c r="AG60" s="327"/>
      <c r="AH60" s="22"/>
      <c r="AJ60" s="46"/>
      <c r="AR60" s="250"/>
      <c r="AS60" s="250"/>
      <c r="AT60" s="214"/>
      <c r="AU60" s="211"/>
      <c r="AV60" s="211"/>
      <c r="AW60" s="211"/>
      <c r="AX60" s="211"/>
      <c r="AY60" s="211"/>
      <c r="AZ60" s="211"/>
      <c r="BA60" s="211"/>
      <c r="BB60" s="211"/>
      <c r="BC60" s="212"/>
      <c r="BD60" s="212"/>
      <c r="BE60" s="210"/>
      <c r="BF60" s="210"/>
      <c r="BG60" s="210"/>
      <c r="BH60" s="210"/>
      <c r="BI60" s="210"/>
      <c r="BJ60" s="210"/>
      <c r="BK60" s="210"/>
      <c r="BL60" s="210"/>
      <c r="BM60" s="210"/>
      <c r="BN60" s="210"/>
      <c r="EC60" s="25"/>
      <c r="ED60" s="22"/>
      <c r="EF60" s="24"/>
      <c r="EG60" s="24"/>
    </row>
    <row r="61" spans="1:138" ht="20.25" x14ac:dyDescent="0.3">
      <c r="A61" s="80"/>
      <c r="B61" s="469"/>
      <c r="C61" s="469"/>
      <c r="D61" s="469"/>
      <c r="E61" s="470"/>
      <c r="F61" s="167"/>
      <c r="G61" s="97" t="str">
        <f>A9</f>
        <v>Not Used</v>
      </c>
      <c r="H61" s="535">
        <f>H69*$B$69</f>
        <v>0</v>
      </c>
      <c r="I61" s="522">
        <f t="shared" ref="I61:L61" si="204">I69*$B$69</f>
        <v>0</v>
      </c>
      <c r="J61" s="522">
        <f t="shared" si="204"/>
        <v>0</v>
      </c>
      <c r="K61" s="522">
        <f t="shared" si="204"/>
        <v>0</v>
      </c>
      <c r="L61" s="536">
        <f t="shared" si="204"/>
        <v>0</v>
      </c>
      <c r="M61" s="329"/>
      <c r="N61" s="327"/>
      <c r="O61" s="327"/>
      <c r="P61" s="329"/>
      <c r="Q61" s="327"/>
      <c r="R61" s="327"/>
      <c r="T61" s="484" t="s">
        <v>152</v>
      </c>
      <c r="U61" s="147"/>
      <c r="V61" s="147"/>
      <c r="W61" s="485"/>
      <c r="X61" s="485"/>
      <c r="Y61" s="483">
        <v>0.28999999999999998</v>
      </c>
      <c r="Z61" s="22" t="s">
        <v>153</v>
      </c>
      <c r="AA61" s="162" t="s">
        <v>54</v>
      </c>
      <c r="AB61" s="692">
        <v>151100</v>
      </c>
      <c r="AC61" s="693">
        <v>64.48</v>
      </c>
      <c r="AD61" s="693">
        <v>112</v>
      </c>
      <c r="AE61" s="691">
        <f t="shared" si="200"/>
        <v>1.2303152725102398</v>
      </c>
      <c r="AF61" s="327"/>
      <c r="AG61" s="327"/>
      <c r="AH61" s="22"/>
      <c r="AJ61" s="46"/>
      <c r="AR61" s="250"/>
      <c r="AS61" s="250"/>
      <c r="AT61" s="214"/>
      <c r="AU61" s="211"/>
      <c r="AV61" s="211"/>
      <c r="AW61" s="211"/>
      <c r="AX61" s="211"/>
      <c r="AY61" s="211"/>
      <c r="AZ61" s="211"/>
      <c r="BA61" s="211"/>
      <c r="BB61" s="211"/>
      <c r="BC61" s="212"/>
      <c r="BD61" s="212"/>
      <c r="BE61" s="210"/>
      <c r="BF61" s="210"/>
      <c r="BG61" s="210"/>
      <c r="BH61" s="210"/>
      <c r="BI61" s="210"/>
      <c r="BJ61" s="210"/>
      <c r="BK61" s="210"/>
      <c r="BL61" s="210"/>
      <c r="BM61" s="210"/>
      <c r="BN61" s="210"/>
      <c r="EC61" s="25"/>
      <c r="ED61" s="22"/>
      <c r="EF61" s="24"/>
      <c r="EG61" s="24"/>
    </row>
    <row r="62" spans="1:138" ht="20.25" x14ac:dyDescent="0.3">
      <c r="A62" s="80"/>
      <c r="B62" s="469"/>
      <c r="C62" s="469"/>
      <c r="D62" s="469"/>
      <c r="E62" s="167"/>
      <c r="F62" s="167"/>
      <c r="G62" s="97" t="str">
        <f>A10</f>
        <v>Name #4</v>
      </c>
      <c r="H62" s="535">
        <f>H70*$B$70</f>
        <v>0</v>
      </c>
      <c r="I62" s="522">
        <f t="shared" ref="I62:L62" si="205">I70*$B$70</f>
        <v>0</v>
      </c>
      <c r="J62" s="522">
        <f t="shared" si="205"/>
        <v>0</v>
      </c>
      <c r="K62" s="522">
        <f t="shared" si="205"/>
        <v>0</v>
      </c>
      <c r="L62" s="536">
        <f t="shared" si="205"/>
        <v>0</v>
      </c>
      <c r="M62" s="329"/>
      <c r="N62" s="327"/>
      <c r="O62" s="327"/>
      <c r="P62" s="329"/>
      <c r="Q62" s="327"/>
      <c r="R62" s="327"/>
      <c r="T62" s="484" t="s">
        <v>90</v>
      </c>
      <c r="U62" s="148"/>
      <c r="V62" s="148"/>
      <c r="W62" s="482"/>
      <c r="X62" s="482"/>
      <c r="Y62" s="483"/>
      <c r="AA62" s="162" t="s">
        <v>55</v>
      </c>
      <c r="AB62" s="692">
        <v>77200</v>
      </c>
      <c r="AC62" s="693">
        <v>64.48</v>
      </c>
      <c r="AD62" s="693">
        <v>112</v>
      </c>
      <c r="AE62" s="691">
        <f t="shared" si="200"/>
        <v>1.2303152725102398</v>
      </c>
      <c r="AF62" s="327"/>
      <c r="AG62" s="327"/>
      <c r="AH62" s="22"/>
      <c r="AJ62" s="46"/>
      <c r="AR62" s="250"/>
      <c r="AS62" s="250"/>
      <c r="AT62" s="214"/>
      <c r="AU62" s="211"/>
      <c r="AV62" s="211"/>
      <c r="AW62" s="211"/>
      <c r="AX62" s="211"/>
      <c r="AY62" s="211"/>
      <c r="AZ62" s="211"/>
      <c r="BA62" s="211"/>
      <c r="BB62" s="211"/>
      <c r="BC62" s="212"/>
      <c r="BD62" s="212"/>
      <c r="BE62" s="210"/>
      <c r="BF62" s="210"/>
      <c r="BG62" s="210"/>
      <c r="BH62" s="210"/>
      <c r="BI62" s="210"/>
      <c r="BJ62" s="210"/>
      <c r="BK62" s="210"/>
      <c r="BL62" s="210"/>
      <c r="BM62" s="210"/>
      <c r="BN62" s="210"/>
      <c r="CH62" s="172">
        <v>1</v>
      </c>
      <c r="CI62" s="172">
        <v>2</v>
      </c>
      <c r="CJ62" s="172">
        <v>3</v>
      </c>
      <c r="CK62" s="172">
        <v>4</v>
      </c>
      <c r="CL62" s="172">
        <v>5</v>
      </c>
      <c r="CM62" s="172">
        <v>6</v>
      </c>
      <c r="CN62" s="172">
        <v>7</v>
      </c>
      <c r="CO62" s="172">
        <v>8</v>
      </c>
      <c r="CP62" s="172">
        <v>9</v>
      </c>
      <c r="CQ62" s="172">
        <v>10</v>
      </c>
      <c r="CR62" s="172">
        <v>11</v>
      </c>
      <c r="CS62" s="172">
        <v>12</v>
      </c>
      <c r="CT62" s="172">
        <v>13</v>
      </c>
      <c r="CU62" s="172">
        <v>14</v>
      </c>
      <c r="CV62" s="172">
        <v>15</v>
      </c>
      <c r="CW62" s="172">
        <v>16</v>
      </c>
      <c r="CX62" s="172">
        <v>17</v>
      </c>
      <c r="CY62" s="172">
        <v>18</v>
      </c>
      <c r="CZ62" s="172">
        <v>19</v>
      </c>
      <c r="DA62" s="172">
        <v>20</v>
      </c>
      <c r="DB62" s="172">
        <v>21</v>
      </c>
      <c r="DC62" s="172">
        <v>22</v>
      </c>
      <c r="DD62" s="172">
        <v>0</v>
      </c>
      <c r="DE62" s="172">
        <v>1</v>
      </c>
      <c r="DF62" s="172">
        <v>2</v>
      </c>
      <c r="DG62" s="172">
        <v>3</v>
      </c>
      <c r="DH62" s="172">
        <v>4</v>
      </c>
      <c r="DI62" s="172">
        <v>5</v>
      </c>
      <c r="DJ62" s="172">
        <v>6</v>
      </c>
      <c r="DK62" s="172">
        <v>7</v>
      </c>
      <c r="DL62" s="172">
        <v>8</v>
      </c>
      <c r="DM62" s="172">
        <v>9</v>
      </c>
      <c r="DN62" s="172">
        <v>10</v>
      </c>
      <c r="DO62" s="172">
        <v>11</v>
      </c>
      <c r="DP62" s="172">
        <v>12</v>
      </c>
      <c r="DQ62" s="172">
        <v>13</v>
      </c>
      <c r="DR62" s="172">
        <v>14</v>
      </c>
      <c r="DS62" s="172">
        <v>15</v>
      </c>
      <c r="DT62" s="172">
        <v>16</v>
      </c>
      <c r="DU62" s="172">
        <v>17</v>
      </c>
      <c r="DV62" s="172">
        <v>18</v>
      </c>
      <c r="DW62" s="172">
        <v>19</v>
      </c>
      <c r="DX62" s="172">
        <v>20</v>
      </c>
      <c r="DY62" s="172">
        <v>21</v>
      </c>
      <c r="DZ62" s="172">
        <v>22</v>
      </c>
      <c r="EA62" s="34"/>
      <c r="EF62" s="24"/>
    </row>
    <row r="63" spans="1:138" ht="20.25" x14ac:dyDescent="0.3">
      <c r="A63" s="80"/>
      <c r="B63" s="469"/>
      <c r="C63" s="469"/>
      <c r="D63" s="469"/>
      <c r="E63" s="167"/>
      <c r="F63" s="169"/>
      <c r="G63" s="97" t="str">
        <f>A11</f>
        <v>Name #5</v>
      </c>
      <c r="H63" s="537">
        <f>H71*$B$71</f>
        <v>0</v>
      </c>
      <c r="I63" s="538">
        <f t="shared" ref="I63:L63" si="206">I71*$B$71</f>
        <v>0</v>
      </c>
      <c r="J63" s="538">
        <f t="shared" si="206"/>
        <v>0</v>
      </c>
      <c r="K63" s="538">
        <f t="shared" si="206"/>
        <v>0</v>
      </c>
      <c r="L63" s="539">
        <f t="shared" si="206"/>
        <v>0</v>
      </c>
      <c r="M63" s="329"/>
      <c r="N63" s="327"/>
      <c r="O63" s="327"/>
      <c r="P63" s="329"/>
      <c r="Q63" s="327"/>
      <c r="R63" s="327"/>
      <c r="T63" s="486" t="s">
        <v>254</v>
      </c>
      <c r="U63" s="487"/>
      <c r="V63" s="487"/>
      <c r="W63" s="488"/>
      <c r="X63" s="488"/>
      <c r="Y63" s="489">
        <v>0.31</v>
      </c>
      <c r="Z63" s="22" t="s">
        <v>124</v>
      </c>
      <c r="AA63" s="261" t="s">
        <v>230</v>
      </c>
      <c r="AB63" s="694">
        <v>3900</v>
      </c>
      <c r="AC63" s="695">
        <v>0</v>
      </c>
      <c r="AD63" s="695">
        <v>0</v>
      </c>
      <c r="AE63" s="691">
        <f t="shared" si="200"/>
        <v>0</v>
      </c>
      <c r="AF63" s="327"/>
      <c r="AG63" s="327"/>
      <c r="AH63" s="22"/>
      <c r="AJ63" s="46"/>
      <c r="AO63" s="25"/>
      <c r="AR63" s="250"/>
      <c r="AS63" s="250"/>
      <c r="AT63" s="214"/>
      <c r="AU63" s="211"/>
      <c r="AV63" s="211"/>
      <c r="AW63" s="211"/>
      <c r="AX63" s="211"/>
      <c r="AY63" s="211"/>
      <c r="AZ63" s="211"/>
      <c r="BA63" s="211"/>
      <c r="BB63" s="211"/>
      <c r="BC63" s="212"/>
      <c r="BD63" s="212"/>
      <c r="BE63" s="210"/>
      <c r="BF63" s="210"/>
      <c r="BG63" s="210"/>
      <c r="BH63" s="210"/>
      <c r="BI63" s="210"/>
      <c r="BJ63" s="210"/>
      <c r="BK63" s="210"/>
      <c r="BL63" s="168"/>
      <c r="BM63" s="210"/>
      <c r="BN63" s="210"/>
      <c r="CH63" s="964" t="s">
        <v>185</v>
      </c>
      <c r="CI63" s="965"/>
      <c r="CJ63" s="965"/>
      <c r="CK63" s="965"/>
      <c r="CL63" s="965"/>
      <c r="CM63" s="965"/>
      <c r="CN63" s="965"/>
      <c r="CO63" s="965"/>
      <c r="CP63" s="965"/>
      <c r="CQ63" s="965"/>
      <c r="CR63" s="965"/>
      <c r="CS63" s="965"/>
      <c r="CT63" s="965"/>
      <c r="CU63" s="965"/>
      <c r="CV63" s="965"/>
      <c r="CW63" s="965"/>
      <c r="CX63" s="965"/>
      <c r="CY63" s="965"/>
      <c r="CZ63" s="965"/>
      <c r="DA63" s="965"/>
      <c r="DB63" s="965"/>
      <c r="DC63" s="965"/>
      <c r="DD63" s="966"/>
      <c r="DE63" s="960" t="s">
        <v>189</v>
      </c>
      <c r="DF63" s="961"/>
      <c r="DG63" s="961"/>
      <c r="DH63" s="961"/>
      <c r="DI63" s="961"/>
      <c r="DJ63" s="961"/>
      <c r="DK63" s="961"/>
      <c r="DL63" s="961"/>
      <c r="DM63" s="961"/>
      <c r="DN63" s="961"/>
      <c r="DO63" s="961"/>
      <c r="DP63" s="962"/>
      <c r="DQ63" s="962"/>
      <c r="DR63" s="962"/>
      <c r="DS63" s="962"/>
      <c r="DT63" s="962"/>
      <c r="DU63" s="962"/>
      <c r="DV63" s="962"/>
      <c r="DW63" s="962"/>
      <c r="DX63" s="962"/>
      <c r="DY63" s="962"/>
      <c r="DZ63" s="962"/>
      <c r="EA63" s="963"/>
      <c r="EF63" s="24"/>
    </row>
    <row r="64" spans="1:138" ht="18.75" x14ac:dyDescent="0.3">
      <c r="A64" s="80"/>
      <c r="B64" s="469"/>
      <c r="C64" s="469"/>
      <c r="D64" s="469"/>
      <c r="E64" s="167"/>
      <c r="F64" s="22"/>
      <c r="G64" s="24"/>
      <c r="M64" s="168"/>
      <c r="T64" s="484" t="s">
        <v>128</v>
      </c>
      <c r="U64" s="148"/>
      <c r="V64" s="148"/>
      <c r="W64" s="482"/>
      <c r="X64" s="482"/>
      <c r="Y64" s="483">
        <v>0.56999999999999995</v>
      </c>
      <c r="Z64" s="22" t="s">
        <v>125</v>
      </c>
      <c r="AA64" s="261" t="s">
        <v>52</v>
      </c>
      <c r="AB64" s="696">
        <v>4500</v>
      </c>
      <c r="AC64" s="697">
        <v>39.049999999999997</v>
      </c>
      <c r="AD64" s="697">
        <v>68</v>
      </c>
      <c r="AE64" s="691">
        <f t="shared" si="200"/>
        <v>0.74697712973835995</v>
      </c>
      <c r="AF64" s="327"/>
      <c r="AG64" s="327"/>
      <c r="AH64" s="22"/>
      <c r="AI64" s="46"/>
      <c r="AO64" s="25"/>
      <c r="AR64" s="211"/>
      <c r="AS64" s="211"/>
      <c r="AT64" s="214"/>
      <c r="AU64" s="211"/>
      <c r="AV64" s="211"/>
      <c r="AW64" s="211"/>
      <c r="AX64" s="211"/>
      <c r="AY64" s="211"/>
      <c r="AZ64" s="211"/>
      <c r="BA64" s="211"/>
      <c r="BB64" s="211"/>
      <c r="BC64" s="213"/>
      <c r="BD64" s="213"/>
      <c r="BE64" s="168"/>
      <c r="BF64" s="168"/>
      <c r="BG64" s="168"/>
      <c r="BH64" s="168"/>
      <c r="BI64" s="168"/>
      <c r="BJ64" s="168"/>
      <c r="BK64" s="168"/>
      <c r="BL64" s="168"/>
      <c r="BM64" s="210"/>
      <c r="BN64" s="210"/>
      <c r="CH64" s="404">
        <f>$A$29</f>
        <v>2027</v>
      </c>
      <c r="CI64" s="405">
        <f>CH64+1</f>
        <v>2028</v>
      </c>
      <c r="CJ64" s="405">
        <f t="shared" ref="CJ64" si="207">CI64+1</f>
        <v>2029</v>
      </c>
      <c r="CK64" s="405">
        <f t="shared" ref="CK64" si="208">CJ64+1</f>
        <v>2030</v>
      </c>
      <c r="CL64" s="405">
        <f t="shared" ref="CL64" si="209">CK64+1</f>
        <v>2031</v>
      </c>
      <c r="CM64" s="405">
        <f t="shared" ref="CM64" si="210">CL64+1</f>
        <v>2032</v>
      </c>
      <c r="CN64" s="405">
        <f t="shared" ref="CN64" si="211">CM64+1</f>
        <v>2033</v>
      </c>
      <c r="CO64" s="405">
        <f t="shared" ref="CO64" si="212">CN64+1</f>
        <v>2034</v>
      </c>
      <c r="CP64" s="405">
        <f t="shared" ref="CP64" si="213">CO64+1</f>
        <v>2035</v>
      </c>
      <c r="CQ64" s="405">
        <f t="shared" ref="CQ64" si="214">CP64+1</f>
        <v>2036</v>
      </c>
      <c r="CR64" s="405">
        <f t="shared" ref="CR64" si="215">CQ64+1</f>
        <v>2037</v>
      </c>
      <c r="CS64" s="405">
        <f t="shared" ref="CS64" si="216">CR64+1</f>
        <v>2038</v>
      </c>
      <c r="CT64" s="405">
        <f t="shared" ref="CT64" si="217">CS64+1</f>
        <v>2039</v>
      </c>
      <c r="CU64" s="405">
        <f t="shared" ref="CU64" si="218">CT64+1</f>
        <v>2040</v>
      </c>
      <c r="CV64" s="405">
        <f t="shared" ref="CV64" si="219">CU64+1</f>
        <v>2041</v>
      </c>
      <c r="CW64" s="405">
        <f t="shared" ref="CW64" si="220">CV64+1</f>
        <v>2042</v>
      </c>
      <c r="CX64" s="405">
        <f t="shared" ref="CX64" si="221">CW64+1</f>
        <v>2043</v>
      </c>
      <c r="CY64" s="405">
        <f t="shared" ref="CY64" si="222">CX64+1</f>
        <v>2044</v>
      </c>
      <c r="CZ64" s="405">
        <f t="shared" ref="CZ64" si="223">CY64+1</f>
        <v>2045</v>
      </c>
      <c r="DA64" s="405">
        <f t="shared" ref="DA64" si="224">CZ64+1</f>
        <v>2046</v>
      </c>
      <c r="DB64" s="405">
        <f t="shared" ref="DB64" si="225">DA64+1</f>
        <v>2047</v>
      </c>
      <c r="DC64" s="405">
        <f t="shared" ref="DC64" si="226">DB64+1</f>
        <v>2048</v>
      </c>
      <c r="DD64" s="405" t="s">
        <v>45</v>
      </c>
      <c r="DE64" s="397">
        <f>$A$29</f>
        <v>2027</v>
      </c>
      <c r="DF64" s="398">
        <f>DE64+1</f>
        <v>2028</v>
      </c>
      <c r="DG64" s="398">
        <f t="shared" ref="DG64" si="227">DF64+1</f>
        <v>2029</v>
      </c>
      <c r="DH64" s="398">
        <f t="shared" ref="DH64" si="228">DG64+1</f>
        <v>2030</v>
      </c>
      <c r="DI64" s="398">
        <f t="shared" ref="DI64" si="229">DH64+1</f>
        <v>2031</v>
      </c>
      <c r="DJ64" s="398">
        <f t="shared" ref="DJ64" si="230">DI64+1</f>
        <v>2032</v>
      </c>
      <c r="DK64" s="398">
        <f t="shared" ref="DK64" si="231">DJ64+1</f>
        <v>2033</v>
      </c>
      <c r="DL64" s="398">
        <f t="shared" ref="DL64" si="232">DK64+1</f>
        <v>2034</v>
      </c>
      <c r="DM64" s="398">
        <f t="shared" ref="DM64" si="233">DL64+1</f>
        <v>2035</v>
      </c>
      <c r="DN64" s="398">
        <f t="shared" ref="DN64" si="234">DM64+1</f>
        <v>2036</v>
      </c>
      <c r="DO64" s="398">
        <f>DN64+1</f>
        <v>2037</v>
      </c>
      <c r="DP64" s="398">
        <f t="shared" ref="DP64" si="235">DO64+1</f>
        <v>2038</v>
      </c>
      <c r="DQ64" s="398">
        <f t="shared" ref="DQ64" si="236">DP64+1</f>
        <v>2039</v>
      </c>
      <c r="DR64" s="398">
        <f t="shared" ref="DR64" si="237">DQ64+1</f>
        <v>2040</v>
      </c>
      <c r="DS64" s="398">
        <f t="shared" ref="DS64" si="238">DR64+1</f>
        <v>2041</v>
      </c>
      <c r="DT64" s="398">
        <f t="shared" ref="DT64" si="239">DS64+1</f>
        <v>2042</v>
      </c>
      <c r="DU64" s="398">
        <f t="shared" ref="DU64" si="240">DT64+1</f>
        <v>2043</v>
      </c>
      <c r="DV64" s="398">
        <f t="shared" ref="DV64" si="241">DU64+1</f>
        <v>2044</v>
      </c>
      <c r="DW64" s="398">
        <f t="shared" ref="DW64" si="242">DV64+1</f>
        <v>2045</v>
      </c>
      <c r="DX64" s="398">
        <f t="shared" ref="DX64" si="243">DW64+1</f>
        <v>2046</v>
      </c>
      <c r="DY64" s="398">
        <f t="shared" ref="DY64" si="244">DX64+1</f>
        <v>2047</v>
      </c>
      <c r="DZ64" s="398">
        <f t="shared" ref="DZ64" si="245">DY64+1</f>
        <v>2048</v>
      </c>
      <c r="EA64" s="398" t="s">
        <v>45</v>
      </c>
    </row>
    <row r="65" spans="1:136" ht="18.75" x14ac:dyDescent="0.3">
      <c r="A65" s="80"/>
      <c r="B65" s="469"/>
      <c r="C65" s="469"/>
      <c r="D65" s="469"/>
      <c r="E65" s="167"/>
      <c r="F65" s="22"/>
      <c r="H65" s="922" t="s">
        <v>231</v>
      </c>
      <c r="I65" s="923"/>
      <c r="J65" s="923"/>
      <c r="K65" s="910"/>
      <c r="L65" s="911"/>
      <c r="M65" s="386"/>
      <c r="N65" s="386"/>
      <c r="O65" s="386"/>
      <c r="P65" s="328"/>
      <c r="Q65" s="328"/>
      <c r="R65" s="328"/>
      <c r="T65" s="484" t="s">
        <v>139</v>
      </c>
      <c r="U65" s="148"/>
      <c r="V65" s="148"/>
      <c r="W65" s="482"/>
      <c r="X65" s="482"/>
      <c r="Y65" s="483">
        <v>0.63</v>
      </c>
      <c r="Z65" s="22" t="s">
        <v>123</v>
      </c>
      <c r="AA65" s="150" t="s">
        <v>177</v>
      </c>
      <c r="AB65" s="583"/>
      <c r="AC65" s="144"/>
      <c r="AD65" s="144"/>
      <c r="AE65" s="144"/>
      <c r="AF65" s="144"/>
      <c r="AG65" s="144"/>
      <c r="AO65" s="25"/>
      <c r="AR65" s="211"/>
      <c r="AS65" s="211"/>
      <c r="AT65" s="214"/>
      <c r="AU65" s="211"/>
      <c r="AV65" s="211"/>
      <c r="AW65" s="211"/>
      <c r="AX65" s="211"/>
      <c r="AY65" s="211"/>
      <c r="AZ65" s="211"/>
      <c r="BA65" s="211"/>
      <c r="BB65" s="211"/>
      <c r="BC65" s="213"/>
      <c r="BD65" s="213"/>
      <c r="BE65" s="168"/>
      <c r="BF65" s="168"/>
      <c r="BG65" s="168"/>
      <c r="BH65" s="168"/>
      <c r="BI65" s="168"/>
      <c r="BJ65" s="168"/>
      <c r="BK65" s="168"/>
      <c r="BL65" s="168"/>
      <c r="BM65" s="210"/>
      <c r="BN65" s="210"/>
      <c r="CH65" s="545">
        <f>((($H$59*$AD$59)+($I$59*$AD$60)+($J$59*$AD$61)+($K59*$AD$62))*AW72*$J$46)+(($L$59*$AD$64)*AW72*$J$46)</f>
        <v>0</v>
      </c>
      <c r="CI65" s="406" t="e">
        <f>((($H$59*$AD$59)+($I$59*$AD$60)+($J$59*$AD$61)+($K59*$AD$62))*AX72*$J$46)+(($L$59*$AD$64)*AX72*$J$46)*($E$20^(CI64-2025))</f>
        <v>#VALUE!</v>
      </c>
      <c r="CJ65" s="406" t="e">
        <f t="shared" ref="CJ65:DC65" si="246">((($H$59*$AD$59)+($I$59*$AD$60)+($J$59*$AD$61)+($K59*$AD$62))*AY72*$J$46)+(($L$59*$AD$64)*AY72*$J$46)*($E$20^(CJ64-2025))</f>
        <v>#VALUE!</v>
      </c>
      <c r="CK65" s="406" t="e">
        <f t="shared" si="246"/>
        <v>#VALUE!</v>
      </c>
      <c r="CL65" s="406" t="e">
        <f t="shared" si="246"/>
        <v>#VALUE!</v>
      </c>
      <c r="CM65" s="406" t="e">
        <f t="shared" si="246"/>
        <v>#VALUE!</v>
      </c>
      <c r="CN65" s="406" t="e">
        <f t="shared" si="246"/>
        <v>#VALUE!</v>
      </c>
      <c r="CO65" s="406" t="e">
        <f t="shared" si="246"/>
        <v>#VALUE!</v>
      </c>
      <c r="CP65" s="406" t="e">
        <f t="shared" si="246"/>
        <v>#VALUE!</v>
      </c>
      <c r="CQ65" s="406" t="e">
        <f t="shared" si="246"/>
        <v>#VALUE!</v>
      </c>
      <c r="CR65" s="406" t="e">
        <f t="shared" si="246"/>
        <v>#VALUE!</v>
      </c>
      <c r="CS65" s="406" t="e">
        <f t="shared" si="246"/>
        <v>#VALUE!</v>
      </c>
      <c r="CT65" s="406" t="e">
        <f t="shared" si="246"/>
        <v>#VALUE!</v>
      </c>
      <c r="CU65" s="406" t="e">
        <f t="shared" si="246"/>
        <v>#VALUE!</v>
      </c>
      <c r="CV65" s="406" t="e">
        <f t="shared" si="246"/>
        <v>#VALUE!</v>
      </c>
      <c r="CW65" s="406" t="e">
        <f t="shared" si="246"/>
        <v>#VALUE!</v>
      </c>
      <c r="CX65" s="406" t="e">
        <f t="shared" si="246"/>
        <v>#VALUE!</v>
      </c>
      <c r="CY65" s="406" t="e">
        <f t="shared" si="246"/>
        <v>#VALUE!</v>
      </c>
      <c r="CZ65" s="406" t="e">
        <f t="shared" si="246"/>
        <v>#VALUE!</v>
      </c>
      <c r="DA65" s="406" t="e">
        <f t="shared" si="246"/>
        <v>#VALUE!</v>
      </c>
      <c r="DB65" s="406" t="e">
        <f t="shared" si="246"/>
        <v>#VALUE!</v>
      </c>
      <c r="DC65" s="406" t="e">
        <f t="shared" si="246"/>
        <v>#VALUE!</v>
      </c>
      <c r="DD65" s="406" t="e">
        <f>AVERAGE(CH65:DC65)</f>
        <v>#VALUE!</v>
      </c>
      <c r="DE65" s="544">
        <f>((($H59*$AD$59)+($I59*$AD$60)+($J59*$AD$61)+($K59*$AD$62))*AW71*$J$45)+(($L59*$AD$64)*AW71*$J$45)</f>
        <v>0</v>
      </c>
      <c r="DF65" s="399" t="e">
        <f>(((($H59*$AD$59)+($I59*$AD$60)+($J59*$AD$61)+($K59*$AD$62))*AX71*$J$45)+(($L59*$AD$64)*AX71*$J$45))*($E$20^(DF64-2025))</f>
        <v>#VALUE!</v>
      </c>
      <c r="DG65" s="399" t="e">
        <f t="shared" ref="DG65:DX65" si="247">(((($H59*$AD$59)+($I59*$AD$60)+($J59*$AD$61)+($K59*$AD$62))*AY71*$J$45)+(($L59*$AD$64)*AY71*$J$45))*($E$20^(DG64-2025))</f>
        <v>#VALUE!</v>
      </c>
      <c r="DH65" s="399" t="e">
        <f t="shared" si="247"/>
        <v>#VALUE!</v>
      </c>
      <c r="DI65" s="399" t="e">
        <f t="shared" si="247"/>
        <v>#VALUE!</v>
      </c>
      <c r="DJ65" s="399" t="e">
        <f t="shared" si="247"/>
        <v>#VALUE!</v>
      </c>
      <c r="DK65" s="399" t="e">
        <f t="shared" si="247"/>
        <v>#VALUE!</v>
      </c>
      <c r="DL65" s="399" t="e">
        <f t="shared" si="247"/>
        <v>#VALUE!</v>
      </c>
      <c r="DM65" s="399" t="e">
        <f t="shared" si="247"/>
        <v>#VALUE!</v>
      </c>
      <c r="DN65" s="399" t="e">
        <f t="shared" si="247"/>
        <v>#VALUE!</v>
      </c>
      <c r="DO65" s="399" t="e">
        <f t="shared" si="247"/>
        <v>#VALUE!</v>
      </c>
      <c r="DP65" s="399" t="e">
        <f t="shared" si="247"/>
        <v>#VALUE!</v>
      </c>
      <c r="DQ65" s="399" t="e">
        <f t="shared" si="247"/>
        <v>#VALUE!</v>
      </c>
      <c r="DR65" s="399" t="e">
        <f t="shared" si="247"/>
        <v>#VALUE!</v>
      </c>
      <c r="DS65" s="399" t="e">
        <f t="shared" si="247"/>
        <v>#VALUE!</v>
      </c>
      <c r="DT65" s="399" t="e">
        <f t="shared" si="247"/>
        <v>#VALUE!</v>
      </c>
      <c r="DU65" s="399" t="e">
        <f t="shared" si="247"/>
        <v>#VALUE!</v>
      </c>
      <c r="DV65" s="399" t="e">
        <f t="shared" si="247"/>
        <v>#VALUE!</v>
      </c>
      <c r="DW65" s="399" t="e">
        <f t="shared" si="247"/>
        <v>#VALUE!</v>
      </c>
      <c r="DX65" s="399" t="e">
        <f t="shared" si="247"/>
        <v>#VALUE!</v>
      </c>
      <c r="DY65" s="399"/>
      <c r="DZ65" s="399"/>
      <c r="EA65" s="399" t="e">
        <f>AVERAGE(DE65:DZ65)</f>
        <v>#VALUE!</v>
      </c>
    </row>
    <row r="66" spans="1:136" ht="45" customHeight="1" x14ac:dyDescent="0.3">
      <c r="A66" s="473" t="s">
        <v>156</v>
      </c>
      <c r="B66" s="474" t="s">
        <v>209</v>
      </c>
      <c r="C66" s="475" t="s">
        <v>210</v>
      </c>
      <c r="D66" s="469"/>
      <c r="E66" s="167"/>
      <c r="F66" s="22"/>
      <c r="G66" s="72" t="s">
        <v>156</v>
      </c>
      <c r="H66" s="158" t="s">
        <v>94</v>
      </c>
      <c r="I66" s="158" t="s">
        <v>91</v>
      </c>
      <c r="J66" s="158" t="s">
        <v>92</v>
      </c>
      <c r="K66" s="158" t="s">
        <v>93</v>
      </c>
      <c r="L66" s="158" t="s">
        <v>52</v>
      </c>
      <c r="M66" s="385"/>
      <c r="N66" s="385"/>
      <c r="O66" s="385"/>
      <c r="P66" s="503" t="s">
        <v>345</v>
      </c>
      <c r="Q66" s="419"/>
      <c r="R66" s="385"/>
      <c r="T66" s="484"/>
      <c r="U66" s="148"/>
      <c r="V66" s="148"/>
      <c r="W66" s="482"/>
      <c r="X66" s="482"/>
      <c r="Y66" s="483"/>
      <c r="AA66" s="150" t="s">
        <v>268</v>
      </c>
      <c r="AB66" s="144"/>
      <c r="AC66" s="144"/>
      <c r="AD66" s="144"/>
      <c r="AE66" s="144"/>
      <c r="AF66" s="144"/>
      <c r="AG66" s="144"/>
      <c r="AR66" s="211"/>
      <c r="AS66" s="211"/>
      <c r="AT66" s="214"/>
      <c r="AU66" s="211"/>
      <c r="AV66" s="211"/>
      <c r="AW66" s="211"/>
      <c r="AX66" s="211"/>
      <c r="AY66" s="211"/>
      <c r="AZ66" s="211"/>
      <c r="BA66" s="211"/>
      <c r="BB66" s="211"/>
      <c r="BC66" s="213"/>
      <c r="BD66" s="213"/>
      <c r="BE66" s="168"/>
      <c r="BF66" s="168"/>
      <c r="BG66" s="168"/>
      <c r="BH66" s="168"/>
      <c r="BI66" s="168"/>
      <c r="BJ66" s="168"/>
      <c r="BK66" s="168"/>
      <c r="BM66" s="210"/>
      <c r="BN66" s="210"/>
      <c r="CH66" s="545">
        <f>((($H60*$AD$59)+($I60*$AD$60)+($J60*$AD$61)+($K60*$AD$62))*AW72*$J$46)+(($L60*$AD$64)*AW72*$J$46)</f>
        <v>1482.7225116084555</v>
      </c>
      <c r="CI66" s="406">
        <f>(((($H60*$AD$59)+($I60*$AD$60)+($J60*$AD$61)+($K60*$AD$62))*AX72*$J$46)+(($L60*$AD$64)*AX72*$J$46))*($W$42^(CI64-2027))</f>
        <v>1524.4201616733035</v>
      </c>
      <c r="CJ66" s="406">
        <f t="shared" ref="CJ66:DA66" si="248">(((($H60*$AD$59)+($I60*$AD$60)+($J60*$AD$61)+($K60*$AD$62))*AY72*$J$46)+(($L60*$AD$64)*AY72*$J$46))*($W$42^(CJ64-2027))</f>
        <v>1566.8101650609124</v>
      </c>
      <c r="CK66" s="406">
        <f t="shared" si="248"/>
        <v>1609.9022670440293</v>
      </c>
      <c r="CL66" s="406">
        <f t="shared" si="248"/>
        <v>1657.1443981752773</v>
      </c>
      <c r="CM66" s="406">
        <f t="shared" si="248"/>
        <v>1705.1781169707222</v>
      </c>
      <c r="CN66" s="406">
        <f t="shared" si="248"/>
        <v>1722.4423467914592</v>
      </c>
      <c r="CO66" s="406">
        <f t="shared" si="248"/>
        <v>1739.8813698659544</v>
      </c>
      <c r="CP66" s="406">
        <f t="shared" si="248"/>
        <v>1757.49695590429</v>
      </c>
      <c r="CQ66" s="406">
        <f t="shared" si="248"/>
        <v>1775.2908925341358</v>
      </c>
      <c r="CR66" s="406">
        <f t="shared" si="248"/>
        <v>1793.2649854821611</v>
      </c>
      <c r="CS66" s="406">
        <f t="shared" si="248"/>
        <v>1811.4210587572766</v>
      </c>
      <c r="CT66" s="406">
        <f t="shared" si="248"/>
        <v>1829.760954835737</v>
      </c>
      <c r="CU66" s="406">
        <f t="shared" si="248"/>
        <v>1848.2865348481139</v>
      </c>
      <c r="CV66" s="406">
        <f t="shared" si="248"/>
        <v>1866.999678768163</v>
      </c>
      <c r="CW66" s="406">
        <f t="shared" si="248"/>
        <v>1885.9022856036038</v>
      </c>
      <c r="CX66" s="406">
        <f t="shared" si="248"/>
        <v>1904.9962735888325</v>
      </c>
      <c r="CY66" s="406">
        <f t="shared" si="248"/>
        <v>1924.2835803795811</v>
      </c>
      <c r="CZ66" s="406">
        <f t="shared" si="248"/>
        <v>1943.7661632495519</v>
      </c>
      <c r="DA66" s="406">
        <f t="shared" si="248"/>
        <v>1963.4459992890429</v>
      </c>
      <c r="DB66" s="406"/>
      <c r="DC66" s="406"/>
      <c r="DD66" s="406">
        <f t="shared" ref="DD66:DD69" si="249">AVERAGE(CH66:DC66)</f>
        <v>1765.6708350215299</v>
      </c>
      <c r="DE66" s="544">
        <f>((($H60*$AD$59)+($I60*$AD$60)+($J60*$AD$61)+($K60*$AD$62))*AW71*$J$45)+(($L60*$AD$64)*AW71*$J$45)</f>
        <v>36762.549590354785</v>
      </c>
      <c r="DF66" s="399">
        <f>(((($H60*$AD$59)+($I60*$AD$60)+($J60*$AD$61)+($K60*$AD$62))*AX71*$J$45)+(($L60*$AD$64)*AX71*$J$45))*($W$42^(DF64-2027))</f>
        <v>37727.651524402783</v>
      </c>
      <c r="DG66" s="399">
        <f t="shared" ref="DG66:DX66" si="250">(((($H60*$AD$59)+($I60*$AD$60)+($J60*$AD$61)+($K60*$AD$62))*AY71*$J$45)+(($L60*$AD$64)*AY71*$J$45))*($W$42^(DG64-2027))</f>
        <v>34034.30791809009</v>
      </c>
      <c r="DH66" s="399">
        <f t="shared" si="250"/>
        <v>39729.029505044877</v>
      </c>
      <c r="DI66" s="399">
        <f t="shared" si="250"/>
        <v>40771.00200165969</v>
      </c>
      <c r="DJ66" s="399">
        <f t="shared" si="250"/>
        <v>41839.645986936332</v>
      </c>
      <c r="DK66" s="399">
        <f t="shared" si="250"/>
        <v>42263.25526079916</v>
      </c>
      <c r="DL66" s="399">
        <f t="shared" si="250"/>
        <v>42691.153405006589</v>
      </c>
      <c r="DM66" s="399">
        <f t="shared" si="250"/>
        <v>43123.38384261373</v>
      </c>
      <c r="DN66" s="399">
        <f t="shared" si="250"/>
        <v>43559.990436316286</v>
      </c>
      <c r="DO66" s="399">
        <f t="shared" si="250"/>
        <v>44001.017492901832</v>
      </c>
      <c r="DP66" s="399">
        <f t="shared" si="250"/>
        <v>44446.509767745956</v>
      </c>
      <c r="DQ66" s="399">
        <f t="shared" si="250"/>
        <v>44896.512469354144</v>
      </c>
      <c r="DR66" s="399">
        <f t="shared" si="250"/>
        <v>45351.071263949452</v>
      </c>
      <c r="DS66" s="399">
        <f t="shared" si="250"/>
        <v>45810.232280106735</v>
      </c>
      <c r="DT66" s="399">
        <f t="shared" si="250"/>
        <v>46274.042113433767</v>
      </c>
      <c r="DU66" s="399">
        <f t="shared" si="250"/>
        <v>46742.54783129978</v>
      </c>
      <c r="DV66" s="399">
        <f t="shared" si="250"/>
        <v>47215.796977611804</v>
      </c>
      <c r="DW66" s="399">
        <f t="shared" si="250"/>
        <v>47693.837577639475</v>
      </c>
      <c r="DX66" s="399">
        <f t="shared" si="250"/>
        <v>48176.718142888596</v>
      </c>
      <c r="DY66" s="399"/>
      <c r="DZ66" s="399"/>
      <c r="EA66" s="399">
        <f t="shared" ref="EA66:EA69" si="251">AVERAGE(DE66:DZ66)</f>
        <v>43155.512769407804</v>
      </c>
    </row>
    <row r="67" spans="1:136" ht="18.75" x14ac:dyDescent="0.3">
      <c r="A67" s="473" t="str">
        <f>A7</f>
        <v>Not Used</v>
      </c>
      <c r="B67" s="476"/>
      <c r="C67" s="571"/>
      <c r="D67" s="572" t="s">
        <v>263</v>
      </c>
      <c r="E67" s="471"/>
      <c r="F67" s="22"/>
      <c r="G67" s="96" t="str">
        <f>A7</f>
        <v>Not Used</v>
      </c>
      <c r="H67" s="547"/>
      <c r="I67" s="541"/>
      <c r="J67" s="541"/>
      <c r="K67" s="541"/>
      <c r="L67" s="542"/>
      <c r="M67" s="540"/>
      <c r="N67" s="329"/>
      <c r="O67" s="329"/>
      <c r="P67" s="677">
        <f>2019</f>
        <v>2019</v>
      </c>
      <c r="Q67" s="678">
        <v>99.360357716278514</v>
      </c>
      <c r="R67" s="679"/>
      <c r="T67" s="490" t="s">
        <v>126</v>
      </c>
      <c r="U67" s="487"/>
      <c r="V67" s="487"/>
      <c r="W67" s="488"/>
      <c r="X67" s="488"/>
      <c r="Y67" s="491">
        <v>0.32</v>
      </c>
      <c r="Z67" s="22" t="s">
        <v>127</v>
      </c>
      <c r="AA67" s="150" t="s">
        <v>227</v>
      </c>
      <c r="AB67" s="144"/>
      <c r="AC67" s="144"/>
      <c r="AD67" s="144"/>
      <c r="AE67" s="144"/>
      <c r="AF67" s="144"/>
      <c r="AG67" s="144"/>
      <c r="AR67" s="211"/>
      <c r="AS67" s="211"/>
      <c r="AT67" s="214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M67" s="210"/>
      <c r="BN67" s="210"/>
      <c r="CH67" s="545">
        <f>((($H61*$AD$59)+($I61*$AD$60)+($J61*$AD$61)+($K61*$AD$62))*AW72*$J$46)+(($L61*$AD$64)*AW72*$J$46)</f>
        <v>0</v>
      </c>
      <c r="CI67" s="406">
        <f>(((($H61*$AD$59)+($I61*$AD$60)+($J61*$AD$61)+($K61*$AD$62))*AX72*$J$46)+(($L61*$AD$64)*AX72*$J$46))*($E$22^(CI64-2025))</f>
        <v>0</v>
      </c>
      <c r="CJ67" s="406">
        <f t="shared" ref="CJ67:DC67" si="252">(((($H61*$AD$59)+($I61*$AD$60)+($J61*$AD$61)+($K61*$AD$62))*AY72*$J$46)+(($L61*$AD$64)*AY72*$J$46))*($E$22^(CJ64-2025))</f>
        <v>0</v>
      </c>
      <c r="CK67" s="406">
        <f t="shared" si="252"/>
        <v>0</v>
      </c>
      <c r="CL67" s="406">
        <f t="shared" si="252"/>
        <v>0</v>
      </c>
      <c r="CM67" s="406">
        <f t="shared" si="252"/>
        <v>0</v>
      </c>
      <c r="CN67" s="406">
        <f t="shared" si="252"/>
        <v>0</v>
      </c>
      <c r="CO67" s="406">
        <f t="shared" si="252"/>
        <v>0</v>
      </c>
      <c r="CP67" s="406">
        <f t="shared" si="252"/>
        <v>0</v>
      </c>
      <c r="CQ67" s="406">
        <f t="shared" si="252"/>
        <v>0</v>
      </c>
      <c r="CR67" s="406">
        <f t="shared" si="252"/>
        <v>0</v>
      </c>
      <c r="CS67" s="406">
        <f t="shared" si="252"/>
        <v>0</v>
      </c>
      <c r="CT67" s="406">
        <f t="shared" si="252"/>
        <v>0</v>
      </c>
      <c r="CU67" s="406">
        <f t="shared" si="252"/>
        <v>0</v>
      </c>
      <c r="CV67" s="406">
        <f t="shared" si="252"/>
        <v>0</v>
      </c>
      <c r="CW67" s="406">
        <f t="shared" si="252"/>
        <v>0</v>
      </c>
      <c r="CX67" s="406">
        <f t="shared" si="252"/>
        <v>0</v>
      </c>
      <c r="CY67" s="406">
        <f t="shared" si="252"/>
        <v>0</v>
      </c>
      <c r="CZ67" s="406">
        <f t="shared" si="252"/>
        <v>0</v>
      </c>
      <c r="DA67" s="406">
        <f t="shared" si="252"/>
        <v>0</v>
      </c>
      <c r="DB67" s="406">
        <f t="shared" si="252"/>
        <v>0</v>
      </c>
      <c r="DC67" s="406">
        <f t="shared" si="252"/>
        <v>0</v>
      </c>
      <c r="DD67" s="406">
        <f t="shared" si="249"/>
        <v>0</v>
      </c>
      <c r="DE67" s="544">
        <f>((($H61*$AD$59)+($I61*$AD$60)+($J61*$AD$61)+($K61*$AD$62))*AW71*$J$45)+(($L61*$AD$64)*AW71*$J$45)</f>
        <v>0</v>
      </c>
      <c r="DF67" s="399">
        <f>(((($H61*$AD$59)+($I61*$AD$60)+($J61*$AD$61)+($K61*$AD$62))*AX71*$J$45)+(($L61*$AD$64)*AX71*$J$45))*($E$22^(DF64-2025))</f>
        <v>0</v>
      </c>
      <c r="DG67" s="399">
        <f t="shared" ref="DG67:DX67" si="253">(((($H61*$AD$59)+($I61*$AD$60)+($J61*$AD$61)+($K61*$AD$62))*AY71*$J$45)+(($L61*$AD$64)*AY71*$J$45))*($E$22^(DG64-2025))</f>
        <v>0</v>
      </c>
      <c r="DH67" s="399">
        <f t="shared" si="253"/>
        <v>0</v>
      </c>
      <c r="DI67" s="399">
        <f t="shared" si="253"/>
        <v>0</v>
      </c>
      <c r="DJ67" s="399">
        <f t="shared" si="253"/>
        <v>0</v>
      </c>
      <c r="DK67" s="399">
        <f t="shared" si="253"/>
        <v>0</v>
      </c>
      <c r="DL67" s="399">
        <f t="shared" si="253"/>
        <v>0</v>
      </c>
      <c r="DM67" s="399">
        <f t="shared" si="253"/>
        <v>0</v>
      </c>
      <c r="DN67" s="399">
        <f t="shared" si="253"/>
        <v>0</v>
      </c>
      <c r="DO67" s="399">
        <f t="shared" si="253"/>
        <v>0</v>
      </c>
      <c r="DP67" s="399">
        <f t="shared" si="253"/>
        <v>0</v>
      </c>
      <c r="DQ67" s="399">
        <f t="shared" si="253"/>
        <v>0</v>
      </c>
      <c r="DR67" s="399">
        <f t="shared" si="253"/>
        <v>0</v>
      </c>
      <c r="DS67" s="399">
        <f t="shared" si="253"/>
        <v>0</v>
      </c>
      <c r="DT67" s="399">
        <f t="shared" si="253"/>
        <v>0</v>
      </c>
      <c r="DU67" s="399">
        <f t="shared" si="253"/>
        <v>0</v>
      </c>
      <c r="DV67" s="399">
        <f t="shared" si="253"/>
        <v>0</v>
      </c>
      <c r="DW67" s="399">
        <f t="shared" si="253"/>
        <v>0</v>
      </c>
      <c r="DX67" s="399">
        <f t="shared" si="253"/>
        <v>0</v>
      </c>
      <c r="DY67" s="399"/>
      <c r="DZ67" s="399"/>
      <c r="EA67" s="399">
        <f t="shared" si="251"/>
        <v>0</v>
      </c>
    </row>
    <row r="68" spans="1:136" ht="45.75" x14ac:dyDescent="0.3">
      <c r="A68" s="473" t="str">
        <f>A8</f>
        <v>I-205 Corridor Widening: Stafford Road to OR43</v>
      </c>
      <c r="B68" s="476">
        <f>1-0.21</f>
        <v>0.79</v>
      </c>
      <c r="C68" s="476" t="s">
        <v>332</v>
      </c>
      <c r="D68" s="572" t="s">
        <v>333</v>
      </c>
      <c r="E68" s="472"/>
      <c r="F68" s="22"/>
      <c r="G68" s="96" t="str">
        <f>A8</f>
        <v>I-205 Corridor Widening: Stafford Road to OR43</v>
      </c>
      <c r="H68" s="547">
        <f>(0+2)/5</f>
        <v>0.4</v>
      </c>
      <c r="I68" s="541">
        <f>(0.04*892)/5</f>
        <v>7.1360000000000001</v>
      </c>
      <c r="J68" s="541">
        <f>(0.06*892)/5</f>
        <v>10.703999999999999</v>
      </c>
      <c r="K68" s="541">
        <f>(0.9*892)/5</f>
        <v>160.56</v>
      </c>
      <c r="L68" s="542">
        <f>(853)/5</f>
        <v>170.6</v>
      </c>
      <c r="M68" s="540"/>
      <c r="N68" s="329"/>
      <c r="O68" s="329"/>
      <c r="P68" s="677">
        <v>2020</v>
      </c>
      <c r="Q68" s="678">
        <v>100</v>
      </c>
      <c r="R68" s="679">
        <f>Q68/100</f>
        <v>1</v>
      </c>
      <c r="T68" s="22" t="s">
        <v>212</v>
      </c>
      <c r="AA68" s="22" t="s">
        <v>261</v>
      </c>
      <c r="AR68" s="211"/>
      <c r="AS68" s="211"/>
      <c r="AT68" s="214"/>
      <c r="AU68" s="211"/>
      <c r="AV68" s="211" t="s">
        <v>347</v>
      </c>
      <c r="AW68" s="211"/>
      <c r="AX68" s="211"/>
      <c r="AY68" s="211"/>
      <c r="AZ68" s="211"/>
      <c r="BA68" s="211"/>
      <c r="BB68" s="211"/>
      <c r="BC68" s="211"/>
      <c r="BD68" s="211"/>
      <c r="BM68" s="210"/>
      <c r="BN68" s="210"/>
      <c r="CH68" s="406">
        <f>((($H62*$AD$59)+($I62*$AD$60)+($J62*$AD$61)+($K62*$AD$62))*$G$46*$J$46)+(($L62*$AD$64)*$G$46*$J$46)</f>
        <v>0</v>
      </c>
      <c r="CI68" s="406">
        <f>CH68*$E$23</f>
        <v>0</v>
      </c>
      <c r="CJ68" s="406">
        <f t="shared" ref="CJ68" si="254">CI68*$E$23</f>
        <v>0</v>
      </c>
      <c r="CK68" s="406">
        <f t="shared" ref="CK68" si="255">CJ68*$E$23</f>
        <v>0</v>
      </c>
      <c r="CL68" s="406">
        <f t="shared" ref="CL68" si="256">CK68*$E$23</f>
        <v>0</v>
      </c>
      <c r="CM68" s="406">
        <f t="shared" ref="CM68" si="257">CL68*$E$23</f>
        <v>0</v>
      </c>
      <c r="CN68" s="406">
        <f t="shared" ref="CN68" si="258">CM68*$E$23</f>
        <v>0</v>
      </c>
      <c r="CO68" s="406">
        <f t="shared" ref="CO68" si="259">CN68*$E$23</f>
        <v>0</v>
      </c>
      <c r="CP68" s="406">
        <f t="shared" ref="CP68" si="260">CO68*$E$23</f>
        <v>0</v>
      </c>
      <c r="CQ68" s="406">
        <f t="shared" ref="CQ68" si="261">CP68*$E$23</f>
        <v>0</v>
      </c>
      <c r="CR68" s="406">
        <f t="shared" ref="CR68" si="262">CQ68*$E$23</f>
        <v>0</v>
      </c>
      <c r="CS68" s="406">
        <f t="shared" ref="CS68" si="263">CR68*$E$23</f>
        <v>0</v>
      </c>
      <c r="CT68" s="406">
        <f t="shared" ref="CT68" si="264">CS68*$E$23</f>
        <v>0</v>
      </c>
      <c r="CU68" s="406">
        <f t="shared" ref="CU68" si="265">CT68*$E$23</f>
        <v>0</v>
      </c>
      <c r="CV68" s="406">
        <f t="shared" ref="CV68" si="266">CU68*$E$23</f>
        <v>0</v>
      </c>
      <c r="CW68" s="406">
        <f t="shared" ref="CW68" si="267">CV68*$E$23</f>
        <v>0</v>
      </c>
      <c r="CX68" s="406">
        <f t="shared" ref="CX68" si="268">CW68*$E$23</f>
        <v>0</v>
      </c>
      <c r="CY68" s="406">
        <f t="shared" ref="CY68" si="269">CX68*$E$23</f>
        <v>0</v>
      </c>
      <c r="CZ68" s="406">
        <f t="shared" ref="CZ68" si="270">CY68*$E$23</f>
        <v>0</v>
      </c>
      <c r="DA68" s="406">
        <f t="shared" ref="DA68" si="271">CZ68*$E$23</f>
        <v>0</v>
      </c>
      <c r="DB68" s="406">
        <f t="shared" ref="DB68" si="272">DA68*$E$23</f>
        <v>0</v>
      </c>
      <c r="DC68" s="406">
        <f t="shared" ref="DC68" si="273">DB68*$E$23</f>
        <v>0</v>
      </c>
      <c r="DD68" s="406">
        <f t="shared" si="249"/>
        <v>0</v>
      </c>
      <c r="DE68" s="544">
        <f>((($H62*$AD$59)+($I62*$AD$60)+($J62*$AD$61)+($K62*$AD$62))*$G$45*$J$45)+(($L62*$AD$64)*$G$45*$J$45)</f>
        <v>0</v>
      </c>
      <c r="DF68" s="399">
        <f>DE68*$E$23</f>
        <v>0</v>
      </c>
      <c r="DG68" s="399">
        <f t="shared" ref="DG68" si="274">DF68*$E$23</f>
        <v>0</v>
      </c>
      <c r="DH68" s="399">
        <f t="shared" ref="DH68" si="275">DG68*$E$23</f>
        <v>0</v>
      </c>
      <c r="DI68" s="399">
        <f t="shared" ref="DI68" si="276">DH68*$E$23</f>
        <v>0</v>
      </c>
      <c r="DJ68" s="399">
        <f t="shared" ref="DJ68" si="277">DI68*$E$23</f>
        <v>0</v>
      </c>
      <c r="DK68" s="399">
        <f t="shared" ref="DK68" si="278">DJ68*$E$23</f>
        <v>0</v>
      </c>
      <c r="DL68" s="399">
        <f t="shared" ref="DL68" si="279">DK68*$E$23</f>
        <v>0</v>
      </c>
      <c r="DM68" s="399">
        <f t="shared" ref="DM68" si="280">DL68*$E$23</f>
        <v>0</v>
      </c>
      <c r="DN68" s="399">
        <f t="shared" ref="DN68" si="281">DM68*$E$23</f>
        <v>0</v>
      </c>
      <c r="DO68" s="399">
        <f t="shared" ref="DO68" si="282">DN68*$E$23</f>
        <v>0</v>
      </c>
      <c r="DP68" s="399">
        <f t="shared" ref="DP68" si="283">DO68*$E$23</f>
        <v>0</v>
      </c>
      <c r="DQ68" s="399">
        <f t="shared" ref="DQ68" si="284">DP68*$E$23</f>
        <v>0</v>
      </c>
      <c r="DR68" s="399">
        <f t="shared" ref="DR68" si="285">DQ68*$E$23</f>
        <v>0</v>
      </c>
      <c r="DS68" s="399">
        <f t="shared" ref="DS68" si="286">DR68*$E$23</f>
        <v>0</v>
      </c>
      <c r="DT68" s="399">
        <f t="shared" ref="DT68" si="287">DS68*$E$23</f>
        <v>0</v>
      </c>
      <c r="DU68" s="399">
        <f t="shared" ref="DU68" si="288">DT68*$E$23</f>
        <v>0</v>
      </c>
      <c r="DV68" s="399">
        <f t="shared" ref="DV68" si="289">DU68*$E$23</f>
        <v>0</v>
      </c>
      <c r="DW68" s="399">
        <f t="shared" ref="DW68" si="290">DV68*$E$23</f>
        <v>0</v>
      </c>
      <c r="DX68" s="399">
        <f t="shared" ref="DX68" si="291">DW68*$E$23</f>
        <v>0</v>
      </c>
      <c r="DY68" s="399">
        <f t="shared" ref="DY68" si="292">DX68*$E$23</f>
        <v>0</v>
      </c>
      <c r="DZ68" s="399">
        <f t="shared" ref="DZ68" si="293">DY68*$E$23</f>
        <v>0</v>
      </c>
      <c r="EA68" s="399">
        <f t="shared" si="251"/>
        <v>0</v>
      </c>
    </row>
    <row r="69" spans="1:136" x14ac:dyDescent="0.25">
      <c r="A69" s="477" t="str">
        <f>A9</f>
        <v>Not Used</v>
      </c>
      <c r="B69" s="476"/>
      <c r="C69" s="476"/>
      <c r="D69" s="469"/>
      <c r="E69" s="472"/>
      <c r="G69" s="97" t="str">
        <f>A9</f>
        <v>Not Used</v>
      </c>
      <c r="H69" s="547"/>
      <c r="I69" s="541"/>
      <c r="J69" s="541"/>
      <c r="K69" s="541"/>
      <c r="L69" s="542"/>
      <c r="M69" s="540"/>
      <c r="N69" s="329"/>
      <c r="O69" s="329"/>
      <c r="P69" s="677">
        <v>2021</v>
      </c>
      <c r="Q69" s="678">
        <v>106.78815383137959</v>
      </c>
      <c r="R69" s="679">
        <f t="shared" ref="R69:R73" si="294">Q69/100</f>
        <v>1.0678815383137958</v>
      </c>
      <c r="AR69" s="211"/>
      <c r="AS69" s="211"/>
      <c r="AT69" s="214"/>
      <c r="AU69" s="211"/>
      <c r="AV69" s="211"/>
      <c r="AW69" s="681">
        <f>$A$29</f>
        <v>2027</v>
      </c>
      <c r="AX69" s="682">
        <f>AW69+1</f>
        <v>2028</v>
      </c>
      <c r="AY69" s="682">
        <f t="shared" ref="AY69:BF69" si="295">AX69+1</f>
        <v>2029</v>
      </c>
      <c r="AZ69" s="682">
        <f t="shared" si="295"/>
        <v>2030</v>
      </c>
      <c r="BA69" s="682">
        <f t="shared" si="295"/>
        <v>2031</v>
      </c>
      <c r="BB69" s="682">
        <f t="shared" si="295"/>
        <v>2032</v>
      </c>
      <c r="BC69" s="682">
        <f t="shared" si="295"/>
        <v>2033</v>
      </c>
      <c r="BD69" s="682">
        <f t="shared" si="295"/>
        <v>2034</v>
      </c>
      <c r="BE69" s="682">
        <f t="shared" si="295"/>
        <v>2035</v>
      </c>
      <c r="BF69" s="682">
        <f t="shared" si="295"/>
        <v>2036</v>
      </c>
      <c r="BG69" s="682">
        <f>BF69+1</f>
        <v>2037</v>
      </c>
      <c r="BH69" s="682">
        <f t="shared" ref="BH69:BR69" si="296">BG69+1</f>
        <v>2038</v>
      </c>
      <c r="BI69" s="682">
        <f t="shared" si="296"/>
        <v>2039</v>
      </c>
      <c r="BJ69" s="682">
        <f t="shared" si="296"/>
        <v>2040</v>
      </c>
      <c r="BK69" s="682">
        <f t="shared" si="296"/>
        <v>2041</v>
      </c>
      <c r="BL69" s="682">
        <f t="shared" si="296"/>
        <v>2042</v>
      </c>
      <c r="BM69" s="682">
        <f t="shared" si="296"/>
        <v>2043</v>
      </c>
      <c r="BN69" s="682">
        <f t="shared" si="296"/>
        <v>2044</v>
      </c>
      <c r="BO69" s="682">
        <f t="shared" si="296"/>
        <v>2045</v>
      </c>
      <c r="BP69" s="682">
        <f t="shared" si="296"/>
        <v>2046</v>
      </c>
      <c r="BQ69" s="682">
        <f t="shared" si="296"/>
        <v>2047</v>
      </c>
      <c r="BR69" s="682">
        <f t="shared" si="296"/>
        <v>2048</v>
      </c>
      <c r="CH69" s="406">
        <f>((($H63*$AD$59)+($I63*$AD$60)+($J63*$AD$61)+($K63*$AD$62))*$G$46*$J$46)+(($L63*$AD$64)*$G$46*$J$46)</f>
        <v>0</v>
      </c>
      <c r="CI69" s="406">
        <f>CH69*$E$24</f>
        <v>0</v>
      </c>
      <c r="CJ69" s="406">
        <f t="shared" ref="CJ69" si="297">CI69*$E$24</f>
        <v>0</v>
      </c>
      <c r="CK69" s="406">
        <f t="shared" ref="CK69" si="298">CJ69*$E$24</f>
        <v>0</v>
      </c>
      <c r="CL69" s="406">
        <f t="shared" ref="CL69" si="299">CK69*$E$24</f>
        <v>0</v>
      </c>
      <c r="CM69" s="406">
        <f t="shared" ref="CM69" si="300">CL69*$E$24</f>
        <v>0</v>
      </c>
      <c r="CN69" s="406">
        <f t="shared" ref="CN69" si="301">CM69*$E$24</f>
        <v>0</v>
      </c>
      <c r="CO69" s="406">
        <f t="shared" ref="CO69" si="302">CN69*$E$24</f>
        <v>0</v>
      </c>
      <c r="CP69" s="406">
        <f t="shared" ref="CP69" si="303">CO69*$E$24</f>
        <v>0</v>
      </c>
      <c r="CQ69" s="406">
        <f t="shared" ref="CQ69" si="304">CP69*$E$24</f>
        <v>0</v>
      </c>
      <c r="CR69" s="406">
        <f t="shared" ref="CR69" si="305">CQ69*$E$24</f>
        <v>0</v>
      </c>
      <c r="CS69" s="406">
        <f t="shared" ref="CS69" si="306">CR69*$E$24</f>
        <v>0</v>
      </c>
      <c r="CT69" s="406">
        <f t="shared" ref="CT69" si="307">CS69*$E$24</f>
        <v>0</v>
      </c>
      <c r="CU69" s="406">
        <f t="shared" ref="CU69" si="308">CT69*$E$24</f>
        <v>0</v>
      </c>
      <c r="CV69" s="406">
        <f t="shared" ref="CV69" si="309">CU69*$E$24</f>
        <v>0</v>
      </c>
      <c r="CW69" s="406">
        <f t="shared" ref="CW69" si="310">CV69*$E$24</f>
        <v>0</v>
      </c>
      <c r="CX69" s="406">
        <f t="shared" ref="CX69" si="311">CW69*$E$24</f>
        <v>0</v>
      </c>
      <c r="CY69" s="406">
        <f t="shared" ref="CY69" si="312">CX69*$E$24</f>
        <v>0</v>
      </c>
      <c r="CZ69" s="406">
        <f t="shared" ref="CZ69" si="313">CY69*$E$24</f>
        <v>0</v>
      </c>
      <c r="DA69" s="406">
        <f t="shared" ref="DA69" si="314">CZ69*$E$24</f>
        <v>0</v>
      </c>
      <c r="DB69" s="406">
        <f t="shared" ref="DB69" si="315">DA69*$E$24</f>
        <v>0</v>
      </c>
      <c r="DC69" s="406">
        <f t="shared" ref="DC69" si="316">DB69*$E$24</f>
        <v>0</v>
      </c>
      <c r="DD69" s="406">
        <f t="shared" si="249"/>
        <v>0</v>
      </c>
      <c r="DE69" s="544">
        <f>((($H63*$AD$59)+($I63*$AD$60)+($J63*$AD$61)+($K63*$AD$62))*$G$45*$J$45)+(($L63*$AD$64)*$G$45*$J$45)</f>
        <v>0</v>
      </c>
      <c r="DF69" s="399">
        <f>DE69*$E$24</f>
        <v>0</v>
      </c>
      <c r="DG69" s="399">
        <f t="shared" ref="DG69" si="317">DF69*$E$24</f>
        <v>0</v>
      </c>
      <c r="DH69" s="399">
        <f t="shared" ref="DH69" si="318">DG69*$E$24</f>
        <v>0</v>
      </c>
      <c r="DI69" s="399">
        <f t="shared" ref="DI69" si="319">DH69*$E$24</f>
        <v>0</v>
      </c>
      <c r="DJ69" s="399">
        <f t="shared" ref="DJ69" si="320">DI69*$E$24</f>
        <v>0</v>
      </c>
      <c r="DK69" s="399">
        <f t="shared" ref="DK69" si="321">DJ69*$E$24</f>
        <v>0</v>
      </c>
      <c r="DL69" s="399">
        <f t="shared" ref="DL69" si="322">DK69*$E$24</f>
        <v>0</v>
      </c>
      <c r="DM69" s="399">
        <f t="shared" ref="DM69" si="323">DL69*$E$24</f>
        <v>0</v>
      </c>
      <c r="DN69" s="399">
        <f t="shared" ref="DN69" si="324">DM69*$E$24</f>
        <v>0</v>
      </c>
      <c r="DO69" s="399">
        <f t="shared" ref="DO69" si="325">DN69*$E$24</f>
        <v>0</v>
      </c>
      <c r="DP69" s="399">
        <f t="shared" ref="DP69" si="326">DO69*$E$24</f>
        <v>0</v>
      </c>
      <c r="DQ69" s="399">
        <f t="shared" ref="DQ69" si="327">DP69*$E$24</f>
        <v>0</v>
      </c>
      <c r="DR69" s="399">
        <f t="shared" ref="DR69" si="328">DQ69*$E$24</f>
        <v>0</v>
      </c>
      <c r="DS69" s="399">
        <f t="shared" ref="DS69" si="329">DR69*$E$24</f>
        <v>0</v>
      </c>
      <c r="DT69" s="399">
        <f t="shared" ref="DT69" si="330">DS69*$E$24</f>
        <v>0</v>
      </c>
      <c r="DU69" s="399">
        <f t="shared" ref="DU69" si="331">DT69*$E$24</f>
        <v>0</v>
      </c>
      <c r="DV69" s="399">
        <f t="shared" ref="DV69" si="332">DU69*$E$24</f>
        <v>0</v>
      </c>
      <c r="DW69" s="399">
        <f t="shared" ref="DW69" si="333">DV69*$E$24</f>
        <v>0</v>
      </c>
      <c r="DX69" s="399">
        <f t="shared" ref="DX69" si="334">DW69*$E$24</f>
        <v>0</v>
      </c>
      <c r="DY69" s="399">
        <f t="shared" ref="DY69" si="335">DX69*$E$24</f>
        <v>0</v>
      </c>
      <c r="DZ69" s="399">
        <f t="shared" ref="DZ69" si="336">DY69*$E$24</f>
        <v>0</v>
      </c>
      <c r="EA69" s="399">
        <f t="shared" si="251"/>
        <v>0</v>
      </c>
    </row>
    <row r="70" spans="1:136" x14ac:dyDescent="0.25">
      <c r="A70" s="477" t="str">
        <f>A10</f>
        <v>Name #4</v>
      </c>
      <c r="B70" s="476"/>
      <c r="C70" s="476"/>
      <c r="F70" s="22"/>
      <c r="G70" s="97" t="str">
        <f>A10</f>
        <v>Name #4</v>
      </c>
      <c r="H70" s="547"/>
      <c r="I70" s="541"/>
      <c r="J70" s="541"/>
      <c r="K70" s="541"/>
      <c r="L70" s="542"/>
      <c r="M70" s="540"/>
      <c r="N70" s="329"/>
      <c r="O70" s="329"/>
      <c r="P70" s="677">
        <v>2022</v>
      </c>
      <c r="Q70" s="678">
        <v>120.51890009150077</v>
      </c>
      <c r="R70" s="679">
        <f t="shared" si="294"/>
        <v>1.2051890009150077</v>
      </c>
      <c r="AR70" s="211"/>
      <c r="AS70" s="211"/>
      <c r="AT70" s="214"/>
      <c r="AU70" s="211"/>
      <c r="AV70" s="211" t="s">
        <v>58</v>
      </c>
      <c r="AW70" s="683">
        <v>56</v>
      </c>
      <c r="AX70" s="683">
        <v>57</v>
      </c>
      <c r="AY70" s="683">
        <v>58</v>
      </c>
      <c r="AZ70" s="683">
        <v>60</v>
      </c>
      <c r="BA70" s="683">
        <v>61</v>
      </c>
      <c r="BB70" s="683">
        <v>62</v>
      </c>
      <c r="BC70" s="683">
        <v>63</v>
      </c>
      <c r="BD70" s="683">
        <v>64</v>
      </c>
      <c r="BE70" s="683">
        <v>65</v>
      </c>
      <c r="BF70" s="683">
        <v>66</v>
      </c>
      <c r="BG70" s="683">
        <v>67</v>
      </c>
      <c r="BH70" s="683">
        <v>69</v>
      </c>
      <c r="BI70" s="683">
        <v>70</v>
      </c>
      <c r="BJ70" s="683">
        <v>71</v>
      </c>
      <c r="BK70" s="683">
        <v>72</v>
      </c>
      <c r="BL70" s="683">
        <v>73</v>
      </c>
      <c r="BM70" s="683">
        <v>74</v>
      </c>
      <c r="BN70" s="683">
        <v>75</v>
      </c>
      <c r="BO70" s="684">
        <v>77</v>
      </c>
      <c r="BP70" s="684">
        <v>78</v>
      </c>
      <c r="BQ70" s="684">
        <v>79</v>
      </c>
      <c r="BR70" s="684">
        <v>80</v>
      </c>
      <c r="BS70" s="22">
        <v>81</v>
      </c>
      <c r="BT70" s="22">
        <v>82</v>
      </c>
      <c r="BU70" s="22">
        <v>83</v>
      </c>
      <c r="BV70" s="22">
        <v>85</v>
      </c>
      <c r="CI70" s="22"/>
      <c r="EC70" s="25"/>
      <c r="ED70" s="22"/>
      <c r="EF70" s="24"/>
    </row>
    <row r="71" spans="1:136" x14ac:dyDescent="0.25">
      <c r="A71" s="477" t="str">
        <f>A11</f>
        <v>Name #5</v>
      </c>
      <c r="B71" s="476"/>
      <c r="C71" s="476"/>
      <c r="F71" s="22"/>
      <c r="G71" s="97" t="str">
        <f>A11</f>
        <v>Name #5</v>
      </c>
      <c r="H71" s="548"/>
      <c r="I71" s="549"/>
      <c r="J71" s="549"/>
      <c r="K71" s="549"/>
      <c r="L71" s="550"/>
      <c r="M71" s="540"/>
      <c r="N71" s="329"/>
      <c r="O71" s="329"/>
      <c r="P71" s="677">
        <v>2023</v>
      </c>
      <c r="Q71" s="678">
        <v>126.03229718764565</v>
      </c>
      <c r="R71" s="679">
        <f t="shared" si="294"/>
        <v>1.2603229718764566</v>
      </c>
      <c r="AD71" s="46"/>
      <c r="AH71" s="22"/>
      <c r="AR71" s="211"/>
      <c r="AS71" s="211"/>
      <c r="AT71" s="214"/>
      <c r="AU71" s="211"/>
      <c r="AV71" s="211" t="s">
        <v>269</v>
      </c>
      <c r="AW71" s="685">
        <v>801700</v>
      </c>
      <c r="AX71" s="685">
        <v>814500</v>
      </c>
      <c r="AY71" s="685">
        <v>727400</v>
      </c>
      <c r="AZ71" s="685">
        <v>840600</v>
      </c>
      <c r="BA71" s="685">
        <v>854000</v>
      </c>
      <c r="BB71" s="685">
        <v>867600</v>
      </c>
      <c r="BC71" s="685">
        <v>867600</v>
      </c>
      <c r="BD71" s="685">
        <v>867600</v>
      </c>
      <c r="BE71" s="685">
        <v>867600</v>
      </c>
      <c r="BF71" s="685">
        <v>867600</v>
      </c>
      <c r="BG71" s="685">
        <v>867600</v>
      </c>
      <c r="BH71" s="685">
        <v>867600</v>
      </c>
      <c r="BI71" s="685">
        <v>867600</v>
      </c>
      <c r="BJ71" s="685">
        <v>867600</v>
      </c>
      <c r="BK71" s="685">
        <v>867600</v>
      </c>
      <c r="BL71" s="685">
        <v>867600</v>
      </c>
      <c r="BM71" s="685">
        <v>867600</v>
      </c>
      <c r="BN71" s="685">
        <v>867600</v>
      </c>
      <c r="BO71" s="685">
        <v>867600</v>
      </c>
      <c r="BP71" s="685">
        <v>867600</v>
      </c>
      <c r="BQ71" s="685">
        <v>867600</v>
      </c>
      <c r="BR71" s="685">
        <v>867600</v>
      </c>
      <c r="BS71" s="22">
        <v>867600</v>
      </c>
      <c r="BT71" s="22">
        <v>867600</v>
      </c>
      <c r="BU71" s="22">
        <v>867600</v>
      </c>
      <c r="BV71" s="22">
        <v>867600</v>
      </c>
      <c r="CH71" s="25"/>
      <c r="EB71" s="22"/>
      <c r="EC71" s="24"/>
      <c r="EE71" s="22"/>
    </row>
    <row r="72" spans="1:136" x14ac:dyDescent="0.25">
      <c r="F72" s="22"/>
      <c r="I72" s="22" t="s">
        <v>266</v>
      </c>
      <c r="L72" s="144"/>
      <c r="P72" s="420">
        <v>2024</v>
      </c>
      <c r="Q72" s="567">
        <v>130.55938487302109</v>
      </c>
      <c r="R72" s="679">
        <f t="shared" si="294"/>
        <v>1.3055938487302108</v>
      </c>
      <c r="AE72" s="46"/>
      <c r="AF72" s="46"/>
      <c r="AG72" s="46"/>
      <c r="AH72" s="22"/>
      <c r="AP72" s="211"/>
      <c r="AQ72" s="211"/>
      <c r="AR72" s="214"/>
      <c r="AS72" s="211"/>
      <c r="AT72" s="211"/>
      <c r="AU72" s="211"/>
      <c r="AV72" s="211" t="s">
        <v>270</v>
      </c>
      <c r="AW72" s="686">
        <v>44900</v>
      </c>
      <c r="AX72" s="686">
        <v>45700</v>
      </c>
      <c r="AY72" s="686">
        <v>46500</v>
      </c>
      <c r="AZ72" s="686">
        <v>47300</v>
      </c>
      <c r="BA72" s="686">
        <v>48200</v>
      </c>
      <c r="BB72" s="686">
        <v>49100</v>
      </c>
      <c r="BC72" s="686">
        <v>49100</v>
      </c>
      <c r="BD72" s="686">
        <v>49100</v>
      </c>
      <c r="BE72" s="686">
        <v>49100</v>
      </c>
      <c r="BF72" s="686">
        <v>49100</v>
      </c>
      <c r="BG72" s="686">
        <v>49100</v>
      </c>
      <c r="BH72" s="686">
        <v>49100</v>
      </c>
      <c r="BI72" s="686">
        <v>49100</v>
      </c>
      <c r="BJ72" s="686">
        <v>49100</v>
      </c>
      <c r="BK72" s="686">
        <v>49100</v>
      </c>
      <c r="BL72" s="686">
        <v>49100</v>
      </c>
      <c r="BM72" s="686">
        <v>49100</v>
      </c>
      <c r="BN72" s="686">
        <v>49100</v>
      </c>
      <c r="BO72" s="686">
        <v>49100</v>
      </c>
      <c r="BP72" s="686">
        <v>49100</v>
      </c>
      <c r="BQ72" s="686">
        <v>49100</v>
      </c>
      <c r="BR72" s="686">
        <v>49100</v>
      </c>
      <c r="BS72" s="22">
        <v>49100</v>
      </c>
      <c r="BT72" s="22">
        <v>49100</v>
      </c>
      <c r="BU72" s="22">
        <v>49100</v>
      </c>
      <c r="BV72" s="22">
        <v>49100</v>
      </c>
      <c r="CH72" s="25"/>
      <c r="EB72" s="22"/>
      <c r="EC72" s="24"/>
      <c r="EE72" s="22"/>
    </row>
    <row r="73" spans="1:136" ht="15" customHeight="1" x14ac:dyDescent="0.25">
      <c r="A73" s="144"/>
      <c r="J73" s="532"/>
      <c r="K73" s="533"/>
      <c r="L73" s="144"/>
      <c r="P73" s="680">
        <v>2025</v>
      </c>
      <c r="Q73" s="568">
        <v>135.1416319941992</v>
      </c>
      <c r="R73" s="679">
        <f t="shared" si="294"/>
        <v>1.351416319941992</v>
      </c>
      <c r="AE73" s="46"/>
      <c r="AF73" s="46"/>
      <c r="AG73" s="46"/>
      <c r="AH73" s="22"/>
      <c r="AP73" s="211"/>
      <c r="AQ73" s="211"/>
      <c r="AR73" s="214"/>
      <c r="AS73" s="211"/>
      <c r="AT73" s="211"/>
      <c r="AU73" s="211"/>
      <c r="AV73" s="211" t="s">
        <v>271</v>
      </c>
      <c r="AW73" s="687">
        <v>16500</v>
      </c>
      <c r="AX73" s="687">
        <v>16800</v>
      </c>
      <c r="AY73" s="687">
        <v>17100</v>
      </c>
      <c r="AZ73" s="687">
        <v>17400</v>
      </c>
      <c r="BA73" s="687">
        <v>17700</v>
      </c>
      <c r="BB73" s="687">
        <v>18100</v>
      </c>
      <c r="BC73" s="687">
        <v>18100</v>
      </c>
      <c r="BD73" s="687">
        <v>18100</v>
      </c>
      <c r="BE73" s="687">
        <v>18100</v>
      </c>
      <c r="BF73" s="687">
        <v>18100</v>
      </c>
      <c r="BG73" s="687">
        <v>18100</v>
      </c>
      <c r="BH73" s="687">
        <v>18100</v>
      </c>
      <c r="BI73" s="687">
        <v>18100</v>
      </c>
      <c r="BJ73" s="687">
        <v>18100</v>
      </c>
      <c r="BK73" s="687">
        <v>18100</v>
      </c>
      <c r="BL73" s="687">
        <v>18100</v>
      </c>
      <c r="BM73" s="687">
        <v>18100</v>
      </c>
      <c r="BN73" s="687">
        <v>18100</v>
      </c>
      <c r="BO73" s="687">
        <v>18100</v>
      </c>
      <c r="BP73" s="687">
        <v>18100</v>
      </c>
      <c r="BQ73" s="687">
        <v>18100</v>
      </c>
      <c r="BR73" s="687">
        <v>18100</v>
      </c>
      <c r="BS73" s="22">
        <v>18100</v>
      </c>
      <c r="BT73" s="22">
        <v>18100</v>
      </c>
      <c r="BU73" s="22">
        <v>18100</v>
      </c>
      <c r="BV73" s="22">
        <v>18100</v>
      </c>
      <c r="CH73" s="25"/>
      <c r="EB73" s="22"/>
      <c r="EC73" s="24"/>
      <c r="EE73" s="22"/>
    </row>
    <row r="74" spans="1:136" x14ac:dyDescent="0.25">
      <c r="A74" s="144"/>
      <c r="B74" s="362"/>
      <c r="C74" s="362"/>
      <c r="D74" s="362"/>
      <c r="E74" s="144"/>
      <c r="F74" s="149"/>
      <c r="G74" s="144"/>
      <c r="H74" s="144"/>
      <c r="I74" s="144"/>
      <c r="J74" s="144"/>
      <c r="K74" s="144"/>
      <c r="L74" s="144"/>
      <c r="P74" s="677">
        <v>2026</v>
      </c>
      <c r="Q74" s="678">
        <v>139.86881290679003</v>
      </c>
      <c r="AE74" s="46"/>
      <c r="AF74" s="46"/>
      <c r="AG74" s="46"/>
      <c r="AH74" s="22"/>
      <c r="AP74" s="211"/>
      <c r="AQ74" s="211"/>
      <c r="AR74" s="214"/>
      <c r="AS74" s="211"/>
      <c r="AT74" s="211"/>
      <c r="AU74" s="211"/>
      <c r="AV74" s="211" t="s">
        <v>348</v>
      </c>
      <c r="AW74" s="211"/>
      <c r="AX74" s="211"/>
      <c r="AY74" s="211"/>
      <c r="AZ74" s="211"/>
      <c r="BA74" s="211"/>
      <c r="BB74" s="211"/>
      <c r="BK74" s="168"/>
      <c r="BL74" s="168"/>
      <c r="CH74" s="25"/>
      <c r="EB74" s="22"/>
      <c r="EC74" s="24"/>
      <c r="EE74" s="22"/>
    </row>
    <row r="75" spans="1:136" ht="18.75" customHeight="1" x14ac:dyDescent="0.25">
      <c r="A75" s="144"/>
      <c r="B75" s="362"/>
      <c r="C75" s="362"/>
      <c r="D75" s="362"/>
      <c r="E75" s="144"/>
      <c r="F75" s="144"/>
      <c r="H75" s="381" t="s">
        <v>235</v>
      </c>
      <c r="I75" s="382"/>
      <c r="J75" s="382"/>
      <c r="K75" s="382"/>
      <c r="L75" s="382"/>
      <c r="M75" s="383"/>
      <c r="P75" s="677">
        <v>2027</v>
      </c>
      <c r="Q75" s="678">
        <v>144.72752619857397</v>
      </c>
      <c r="AE75" s="46"/>
      <c r="AF75" s="46"/>
      <c r="AG75" s="46"/>
      <c r="AH75" s="22"/>
      <c r="AP75" s="211"/>
      <c r="AQ75" s="211"/>
      <c r="AR75" s="214"/>
      <c r="AS75" s="211"/>
      <c r="AT75" s="211"/>
      <c r="AU75" s="211"/>
      <c r="AV75" s="688">
        <v>44685</v>
      </c>
      <c r="AW75" s="211"/>
      <c r="AX75" s="211"/>
      <c r="AY75" s="211"/>
      <c r="AZ75" s="211"/>
      <c r="BA75" s="211"/>
      <c r="BB75" s="211"/>
      <c r="BK75" s="168"/>
      <c r="CH75" s="25"/>
      <c r="EB75" s="22"/>
      <c r="EC75" s="24"/>
      <c r="EE75" s="22"/>
    </row>
    <row r="76" spans="1:136" ht="45" customHeight="1" x14ac:dyDescent="0.25">
      <c r="A76" s="144"/>
      <c r="B76" s="363"/>
      <c r="C76" s="363"/>
      <c r="D76" s="363"/>
      <c r="E76" s="144"/>
      <c r="F76" s="144"/>
      <c r="G76" s="72" t="s">
        <v>156</v>
      </c>
      <c r="H76" s="262" t="s">
        <v>237</v>
      </c>
      <c r="I76" s="262" t="s">
        <v>238</v>
      </c>
      <c r="J76" s="262" t="s">
        <v>239</v>
      </c>
      <c r="K76" s="262" t="s">
        <v>240</v>
      </c>
      <c r="L76" s="262" t="s">
        <v>221</v>
      </c>
      <c r="M76" s="262" t="s">
        <v>241</v>
      </c>
      <c r="P76" s="677">
        <v>2028</v>
      </c>
      <c r="Q76" s="678">
        <v>149.73669785750045</v>
      </c>
      <c r="AE76" s="46"/>
      <c r="AF76" s="46"/>
      <c r="AG76" s="46"/>
      <c r="AH76" s="22"/>
      <c r="AP76" s="211"/>
      <c r="AQ76" s="211"/>
      <c r="AR76" s="214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CH76" s="25"/>
      <c r="EB76" s="22"/>
      <c r="EC76" s="24"/>
      <c r="EE76" s="22"/>
    </row>
    <row r="77" spans="1:136" ht="18.75" customHeight="1" x14ac:dyDescent="0.25">
      <c r="A77" s="252"/>
      <c r="B77" s="430"/>
      <c r="C77" s="430"/>
      <c r="D77" s="430"/>
      <c r="E77" s="252"/>
      <c r="F77" s="252"/>
      <c r="G77" s="97" t="str">
        <f>A7</f>
        <v>Not Used</v>
      </c>
      <c r="H77" s="522">
        <f>H85*$B$67</f>
        <v>0</v>
      </c>
      <c r="I77" s="522">
        <f t="shared" ref="I77:M77" si="337">I85*$B$67</f>
        <v>0</v>
      </c>
      <c r="J77" s="522">
        <f t="shared" si="337"/>
        <v>0</v>
      </c>
      <c r="K77" s="522">
        <f t="shared" si="337"/>
        <v>0</v>
      </c>
      <c r="L77" s="522">
        <f t="shared" si="337"/>
        <v>0</v>
      </c>
      <c r="M77" s="522">
        <f t="shared" si="337"/>
        <v>0</v>
      </c>
      <c r="P77" s="677">
        <v>2029</v>
      </c>
      <c r="Q77" s="678">
        <v>154.84662828237487</v>
      </c>
      <c r="AE77" s="46"/>
      <c r="AF77" s="46"/>
      <c r="AG77" s="46"/>
      <c r="AH77" s="22"/>
      <c r="AP77" s="211"/>
      <c r="AQ77" s="211"/>
      <c r="AR77" s="214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CH77" s="25"/>
      <c r="EB77" s="22"/>
      <c r="EC77" s="24"/>
      <c r="EE77" s="22"/>
    </row>
    <row r="78" spans="1:136" ht="18.75" customHeight="1" x14ac:dyDescent="0.25">
      <c r="A78" s="437"/>
      <c r="B78" s="438"/>
      <c r="C78" s="438"/>
      <c r="D78" s="438"/>
      <c r="E78" s="439"/>
      <c r="F78" s="440"/>
      <c r="G78" s="97" t="str">
        <f>A8</f>
        <v>I-205 Corridor Widening: Stafford Road to OR43</v>
      </c>
      <c r="H78" s="522">
        <f>H86*$B$68</f>
        <v>0</v>
      </c>
      <c r="I78" s="522">
        <f t="shared" ref="I78:M78" si="338">I86*$B$68</f>
        <v>0</v>
      </c>
      <c r="J78" s="522">
        <f t="shared" si="338"/>
        <v>0</v>
      </c>
      <c r="K78" s="522">
        <f t="shared" si="338"/>
        <v>0</v>
      </c>
      <c r="L78" s="522">
        <f t="shared" si="338"/>
        <v>0</v>
      </c>
      <c r="M78" s="522">
        <f t="shared" si="338"/>
        <v>0</v>
      </c>
      <c r="O78" s="456"/>
      <c r="P78" s="677">
        <v>2030</v>
      </c>
      <c r="Q78" s="678">
        <v>159.99171313640522</v>
      </c>
      <c r="S78" s="456"/>
      <c r="AR78" s="21"/>
      <c r="AS78" s="22"/>
      <c r="AT78" s="22"/>
      <c r="AU78" s="22"/>
      <c r="AV78" s="22"/>
    </row>
    <row r="79" spans="1:136" ht="18.75" customHeight="1" x14ac:dyDescent="0.25">
      <c r="A79" s="437"/>
      <c r="B79" s="438"/>
      <c r="C79" s="438"/>
      <c r="D79" s="438"/>
      <c r="E79" s="439"/>
      <c r="F79" s="440"/>
      <c r="G79" s="97" t="str">
        <f>A9</f>
        <v>Not Used</v>
      </c>
      <c r="H79" s="522">
        <f>H87*$B$69</f>
        <v>0</v>
      </c>
      <c r="I79" s="522">
        <f t="shared" ref="I79:M79" si="339">I87*$B$69</f>
        <v>0</v>
      </c>
      <c r="J79" s="522">
        <f t="shared" si="339"/>
        <v>0</v>
      </c>
      <c r="K79" s="522">
        <f t="shared" si="339"/>
        <v>0</v>
      </c>
      <c r="L79" s="522">
        <f t="shared" si="339"/>
        <v>0</v>
      </c>
      <c r="M79" s="522">
        <f t="shared" si="339"/>
        <v>0</v>
      </c>
      <c r="O79" s="442"/>
      <c r="P79" s="417" t="s">
        <v>346</v>
      </c>
      <c r="S79" s="459"/>
    </row>
    <row r="80" spans="1:136" ht="18.75" customHeight="1" x14ac:dyDescent="0.25">
      <c r="A80" s="437"/>
      <c r="B80" s="438"/>
      <c r="C80" s="438"/>
      <c r="D80" s="438"/>
      <c r="E80" s="439"/>
      <c r="F80" s="440"/>
      <c r="G80" s="97" t="str">
        <f>A10</f>
        <v>Name #4</v>
      </c>
      <c r="H80" s="522">
        <f>H88*$B$70</f>
        <v>0</v>
      </c>
      <c r="I80" s="522">
        <f t="shared" ref="I80:M80" si="340">I88*$B$70</f>
        <v>0</v>
      </c>
      <c r="J80" s="522">
        <f t="shared" si="340"/>
        <v>0</v>
      </c>
      <c r="K80" s="522">
        <f t="shared" si="340"/>
        <v>0</v>
      </c>
      <c r="L80" s="522">
        <f t="shared" si="340"/>
        <v>0</v>
      </c>
      <c r="M80" s="522">
        <f t="shared" si="340"/>
        <v>0</v>
      </c>
      <c r="O80" s="442"/>
      <c r="P80" s="417" t="s">
        <v>256</v>
      </c>
      <c r="S80" s="459"/>
    </row>
    <row r="81" spans="1:135" ht="18.75" customHeight="1" x14ac:dyDescent="0.25">
      <c r="A81" s="439"/>
      <c r="B81" s="441"/>
      <c r="C81" s="441"/>
      <c r="D81" s="441"/>
      <c r="E81" s="439"/>
      <c r="F81" s="439"/>
      <c r="G81" s="97" t="str">
        <f>A11</f>
        <v>Name #5</v>
      </c>
      <c r="H81" s="522">
        <f>H89*$B$71</f>
        <v>0</v>
      </c>
      <c r="I81" s="522">
        <f t="shared" ref="I81:M81" si="341">I89*$B$71</f>
        <v>0</v>
      </c>
      <c r="J81" s="522">
        <f t="shared" si="341"/>
        <v>0</v>
      </c>
      <c r="K81" s="522">
        <f t="shared" si="341"/>
        <v>0</v>
      </c>
      <c r="L81" s="522">
        <f t="shared" si="341"/>
        <v>0</v>
      </c>
      <c r="M81" s="522">
        <f t="shared" si="341"/>
        <v>0</v>
      </c>
      <c r="O81" s="442"/>
      <c r="P81" s="458"/>
      <c r="Q81" s="442"/>
      <c r="R81" s="442"/>
      <c r="S81" s="459"/>
    </row>
    <row r="82" spans="1:135" x14ac:dyDescent="0.25">
      <c r="G82" s="24"/>
      <c r="O82" s="442"/>
      <c r="P82" s="458"/>
      <c r="Q82" s="442"/>
      <c r="R82" s="442"/>
      <c r="S82" s="459"/>
    </row>
    <row r="83" spans="1:135" ht="18.75" customHeight="1" x14ac:dyDescent="0.25">
      <c r="H83" s="922" t="s">
        <v>236</v>
      </c>
      <c r="I83" s="954"/>
      <c r="J83" s="954"/>
      <c r="K83" s="954"/>
      <c r="L83" s="954"/>
      <c r="M83" s="955"/>
      <c r="O83" s="442"/>
      <c r="P83" s="458"/>
      <c r="Q83" s="442"/>
      <c r="R83" s="442"/>
      <c r="S83" s="459"/>
    </row>
    <row r="84" spans="1:135" ht="45" x14ac:dyDescent="0.25">
      <c r="G84" s="72" t="s">
        <v>156</v>
      </c>
      <c r="H84" s="262" t="s">
        <v>242</v>
      </c>
      <c r="I84" s="262" t="s">
        <v>232</v>
      </c>
      <c r="J84" s="262" t="s">
        <v>233</v>
      </c>
      <c r="K84" s="262" t="s">
        <v>234</v>
      </c>
      <c r="L84" s="262" t="s">
        <v>243</v>
      </c>
      <c r="M84" s="158" t="s">
        <v>244</v>
      </c>
      <c r="O84" s="456"/>
      <c r="P84" s="457"/>
      <c r="Q84" s="456"/>
      <c r="R84" s="456"/>
      <c r="S84" s="460"/>
    </row>
    <row r="85" spans="1:135" s="265" customFormat="1" ht="18.75" customHeight="1" x14ac:dyDescent="0.25">
      <c r="A85" s="264"/>
      <c r="B85" s="364"/>
      <c r="C85" s="364"/>
      <c r="D85" s="364"/>
      <c r="F85" s="264"/>
      <c r="G85" s="30" t="str">
        <f>A7</f>
        <v>Not Used</v>
      </c>
      <c r="H85" s="541"/>
      <c r="I85" s="541"/>
      <c r="J85" s="541"/>
      <c r="K85" s="541"/>
      <c r="L85" s="541"/>
      <c r="M85" s="542"/>
      <c r="AH85" s="267"/>
      <c r="AQ85" s="268"/>
      <c r="AR85" s="268"/>
      <c r="AS85" s="269"/>
      <c r="AT85" s="270"/>
      <c r="AU85" s="270"/>
      <c r="AV85" s="270"/>
      <c r="AW85" s="268"/>
      <c r="AX85" s="268"/>
      <c r="AY85" s="268"/>
      <c r="AZ85" s="268"/>
      <c r="BA85" s="268"/>
      <c r="BB85" s="268"/>
      <c r="BC85" s="268"/>
      <c r="CI85" s="271"/>
      <c r="CJ85" s="271"/>
      <c r="CK85" s="271"/>
      <c r="CL85" s="271"/>
      <c r="CM85" s="271"/>
      <c r="CN85" s="271"/>
      <c r="CO85" s="271"/>
      <c r="CP85" s="271"/>
      <c r="CQ85" s="271"/>
      <c r="CR85" s="271"/>
      <c r="CS85" s="271"/>
      <c r="CT85" s="271"/>
      <c r="CU85" s="271"/>
      <c r="CV85" s="271"/>
      <c r="CW85" s="271"/>
      <c r="CX85" s="271"/>
      <c r="CY85" s="271"/>
      <c r="CZ85" s="271"/>
      <c r="DA85" s="271"/>
      <c r="DB85" s="271"/>
      <c r="DC85" s="271"/>
      <c r="DD85" s="271"/>
      <c r="DE85" s="271"/>
      <c r="DF85" s="271"/>
      <c r="DG85" s="271"/>
      <c r="DH85" s="271"/>
      <c r="DI85" s="271"/>
      <c r="DJ85" s="271"/>
      <c r="DK85" s="271"/>
      <c r="DL85" s="271"/>
      <c r="DM85" s="271"/>
      <c r="DN85" s="271"/>
      <c r="DO85" s="271"/>
      <c r="DP85" s="271"/>
      <c r="DQ85" s="271"/>
      <c r="DR85" s="271"/>
      <c r="DS85" s="271"/>
      <c r="DT85" s="271"/>
      <c r="DU85" s="271"/>
      <c r="DV85" s="271"/>
      <c r="DW85" s="271"/>
      <c r="DX85" s="271"/>
      <c r="DY85" s="271"/>
      <c r="DZ85" s="271"/>
      <c r="EA85" s="271"/>
      <c r="EB85" s="271"/>
      <c r="ED85" s="272"/>
      <c r="EE85" s="272"/>
    </row>
    <row r="86" spans="1:135" s="265" customFormat="1" ht="18.75" customHeight="1" x14ac:dyDescent="0.25">
      <c r="A86" s="264"/>
      <c r="B86" s="364"/>
      <c r="C86" s="364"/>
      <c r="D86" s="364"/>
      <c r="F86" s="264"/>
      <c r="G86" s="30" t="str">
        <f>A8</f>
        <v>I-205 Corridor Widening: Stafford Road to OR43</v>
      </c>
      <c r="H86" s="541"/>
      <c r="I86" s="541"/>
      <c r="J86" s="541"/>
      <c r="K86" s="541"/>
      <c r="L86" s="541"/>
      <c r="M86" s="542"/>
      <c r="AH86" s="267"/>
      <c r="AQ86" s="268"/>
      <c r="AR86" s="268"/>
      <c r="AS86" s="269"/>
      <c r="AT86" s="270"/>
      <c r="AU86" s="270"/>
      <c r="AV86" s="270"/>
      <c r="AW86" s="268"/>
      <c r="AX86" s="268"/>
      <c r="AY86" s="268"/>
      <c r="AZ86" s="268"/>
      <c r="BA86" s="268"/>
      <c r="BB86" s="268"/>
      <c r="BC86" s="268"/>
      <c r="CI86" s="271"/>
      <c r="CJ86" s="271"/>
      <c r="CK86" s="271"/>
      <c r="CL86" s="271"/>
      <c r="CM86" s="271"/>
      <c r="CN86" s="271"/>
      <c r="CO86" s="271"/>
      <c r="CP86" s="271"/>
      <c r="CQ86" s="271"/>
      <c r="CR86" s="271"/>
      <c r="CS86" s="271"/>
      <c r="CT86" s="271"/>
      <c r="CU86" s="271"/>
      <c r="CV86" s="271"/>
      <c r="CW86" s="271"/>
      <c r="CX86" s="271"/>
      <c r="CY86" s="271"/>
      <c r="CZ86" s="271"/>
      <c r="DA86" s="271"/>
      <c r="DB86" s="271"/>
      <c r="DC86" s="271"/>
      <c r="DD86" s="271"/>
      <c r="DE86" s="271"/>
      <c r="DF86" s="271"/>
      <c r="DG86" s="271"/>
      <c r="DH86" s="271"/>
      <c r="DI86" s="271"/>
      <c r="DJ86" s="271"/>
      <c r="DK86" s="271"/>
      <c r="DL86" s="271"/>
      <c r="DM86" s="271"/>
      <c r="DN86" s="271"/>
      <c r="DO86" s="271"/>
      <c r="DP86" s="271"/>
      <c r="DQ86" s="271"/>
      <c r="DR86" s="271"/>
      <c r="DS86" s="271"/>
      <c r="DT86" s="271"/>
      <c r="DU86" s="271"/>
      <c r="DV86" s="271"/>
      <c r="DW86" s="271"/>
      <c r="DX86" s="271"/>
      <c r="DY86" s="271"/>
      <c r="DZ86" s="271"/>
      <c r="EA86" s="271"/>
      <c r="EB86" s="271"/>
      <c r="ED86" s="272"/>
      <c r="EE86" s="272"/>
    </row>
    <row r="87" spans="1:135" s="265" customFormat="1" ht="18.75" customHeight="1" x14ac:dyDescent="0.25">
      <c r="A87" s="264"/>
      <c r="B87" s="364"/>
      <c r="C87" s="364"/>
      <c r="D87" s="364"/>
      <c r="F87" s="264"/>
      <c r="G87" s="97" t="str">
        <f>A9</f>
        <v>Not Used</v>
      </c>
      <c r="H87" s="541"/>
      <c r="I87" s="541"/>
      <c r="J87" s="541"/>
      <c r="K87" s="541"/>
      <c r="L87" s="541"/>
      <c r="M87" s="542"/>
      <c r="AH87" s="267"/>
      <c r="AS87" s="273"/>
      <c r="AT87" s="272"/>
      <c r="AU87" s="272"/>
      <c r="AV87" s="272"/>
      <c r="CI87" s="271"/>
      <c r="CJ87" s="271"/>
      <c r="CK87" s="271"/>
      <c r="CL87" s="271"/>
      <c r="CM87" s="271"/>
      <c r="CN87" s="271"/>
      <c r="CO87" s="271"/>
      <c r="CP87" s="271"/>
      <c r="CQ87" s="271"/>
      <c r="CR87" s="271"/>
      <c r="CS87" s="271"/>
      <c r="CT87" s="271"/>
      <c r="CU87" s="271"/>
      <c r="CV87" s="271"/>
      <c r="CW87" s="271"/>
      <c r="CX87" s="271"/>
      <c r="CY87" s="271"/>
      <c r="CZ87" s="271"/>
      <c r="DA87" s="271"/>
      <c r="DB87" s="271"/>
      <c r="DC87" s="271"/>
      <c r="DD87" s="271"/>
      <c r="DE87" s="271"/>
      <c r="DF87" s="271"/>
      <c r="DG87" s="271"/>
      <c r="DH87" s="271"/>
      <c r="DI87" s="271"/>
      <c r="DJ87" s="271"/>
      <c r="DK87" s="271"/>
      <c r="DL87" s="271"/>
      <c r="DM87" s="271"/>
      <c r="DN87" s="271"/>
      <c r="DO87" s="271"/>
      <c r="DP87" s="271"/>
      <c r="DQ87" s="271"/>
      <c r="DR87" s="271"/>
      <c r="DS87" s="271"/>
      <c r="DT87" s="271"/>
      <c r="DU87" s="271"/>
      <c r="DV87" s="271"/>
      <c r="DW87" s="271"/>
      <c r="DX87" s="271"/>
      <c r="DY87" s="271"/>
      <c r="DZ87" s="271"/>
      <c r="EA87" s="271"/>
      <c r="EB87" s="271"/>
      <c r="ED87" s="272"/>
      <c r="EE87" s="272"/>
    </row>
    <row r="88" spans="1:135" s="265" customFormat="1" ht="18.75" customHeight="1" x14ac:dyDescent="0.25">
      <c r="A88" s="264"/>
      <c r="B88" s="364"/>
      <c r="C88" s="364"/>
      <c r="D88" s="364"/>
      <c r="F88" s="264"/>
      <c r="G88" s="97" t="str">
        <f>A10</f>
        <v>Name #4</v>
      </c>
      <c r="H88" s="541"/>
      <c r="I88" s="541"/>
      <c r="J88" s="541"/>
      <c r="K88" s="541"/>
      <c r="L88" s="541"/>
      <c r="M88" s="542"/>
      <c r="P88" s="353"/>
      <c r="AH88" s="267"/>
      <c r="AS88" s="273"/>
      <c r="AT88" s="272"/>
      <c r="AU88" s="272"/>
      <c r="AV88" s="272"/>
      <c r="CI88" s="271"/>
      <c r="CJ88" s="271"/>
      <c r="CK88" s="271"/>
      <c r="CL88" s="271"/>
      <c r="CM88" s="271"/>
      <c r="CN88" s="271"/>
      <c r="CO88" s="271"/>
      <c r="CP88" s="271"/>
      <c r="CQ88" s="271"/>
      <c r="CR88" s="271"/>
      <c r="CS88" s="271"/>
      <c r="CT88" s="271"/>
      <c r="CU88" s="271"/>
      <c r="CV88" s="271"/>
      <c r="CW88" s="271"/>
      <c r="CX88" s="271"/>
      <c r="CY88" s="271"/>
      <c r="CZ88" s="271"/>
      <c r="DA88" s="271"/>
      <c r="DB88" s="271"/>
      <c r="DC88" s="271"/>
      <c r="DD88" s="271"/>
      <c r="DE88" s="271"/>
      <c r="DF88" s="271"/>
      <c r="DG88" s="271"/>
      <c r="DH88" s="271"/>
      <c r="DI88" s="271"/>
      <c r="DJ88" s="271"/>
      <c r="DK88" s="271"/>
      <c r="DL88" s="271"/>
      <c r="DM88" s="271"/>
      <c r="DN88" s="271"/>
      <c r="DO88" s="271"/>
      <c r="DP88" s="271"/>
      <c r="DQ88" s="271"/>
      <c r="DR88" s="271"/>
      <c r="DS88" s="271"/>
      <c r="DT88" s="271"/>
      <c r="DU88" s="271"/>
      <c r="DV88" s="271"/>
      <c r="DW88" s="271"/>
      <c r="DX88" s="271"/>
      <c r="DY88" s="271"/>
      <c r="DZ88" s="271"/>
      <c r="EA88" s="271"/>
      <c r="EB88" s="271"/>
      <c r="ED88" s="272"/>
      <c r="EE88" s="272"/>
    </row>
    <row r="89" spans="1:135" s="265" customFormat="1" ht="18.75" customHeight="1" x14ac:dyDescent="0.25">
      <c r="A89" s="264"/>
      <c r="B89" s="364"/>
      <c r="C89" s="364"/>
      <c r="D89" s="364"/>
      <c r="F89" s="264"/>
      <c r="G89" s="97" t="str">
        <f>A11</f>
        <v>Name #5</v>
      </c>
      <c r="H89" s="541"/>
      <c r="I89" s="541"/>
      <c r="J89" s="541"/>
      <c r="K89" s="541"/>
      <c r="L89" s="541"/>
      <c r="M89" s="542"/>
      <c r="P89" s="353"/>
      <c r="AH89" s="267"/>
      <c r="AS89" s="273"/>
      <c r="AT89" s="272"/>
      <c r="AU89" s="272"/>
      <c r="AV89" s="272"/>
      <c r="CI89" s="271"/>
      <c r="CJ89" s="271"/>
      <c r="CK89" s="271"/>
      <c r="CL89" s="271"/>
      <c r="CM89" s="271"/>
      <c r="CN89" s="271"/>
      <c r="CO89" s="271"/>
      <c r="CP89" s="271"/>
      <c r="CQ89" s="271"/>
      <c r="CR89" s="271"/>
      <c r="CS89" s="271"/>
      <c r="CT89" s="271"/>
      <c r="CU89" s="271"/>
      <c r="CV89" s="271"/>
      <c r="CW89" s="271"/>
      <c r="CX89" s="271"/>
      <c r="CY89" s="271"/>
      <c r="CZ89" s="271"/>
      <c r="DA89" s="271"/>
      <c r="DB89" s="271"/>
      <c r="DC89" s="271"/>
      <c r="DD89" s="271"/>
      <c r="DE89" s="271"/>
      <c r="DF89" s="271"/>
      <c r="DG89" s="271"/>
      <c r="DH89" s="271"/>
      <c r="DI89" s="271"/>
      <c r="DJ89" s="271"/>
      <c r="DK89" s="271"/>
      <c r="DL89" s="271"/>
      <c r="DM89" s="271"/>
      <c r="DN89" s="271"/>
      <c r="DO89" s="271"/>
      <c r="DP89" s="271"/>
      <c r="DQ89" s="271"/>
      <c r="DR89" s="271"/>
      <c r="DS89" s="271"/>
      <c r="DT89" s="271"/>
      <c r="DU89" s="271"/>
      <c r="DV89" s="271"/>
      <c r="DW89" s="271"/>
      <c r="DX89" s="271"/>
      <c r="DY89" s="271"/>
      <c r="DZ89" s="271"/>
      <c r="EA89" s="271"/>
      <c r="EB89" s="271"/>
      <c r="ED89" s="272"/>
      <c r="EE89" s="272"/>
    </row>
    <row r="90" spans="1:135" s="265" customFormat="1" ht="11.25" x14ac:dyDescent="0.2">
      <c r="A90" s="264"/>
      <c r="B90" s="364"/>
      <c r="C90" s="364"/>
      <c r="D90" s="364"/>
      <c r="F90" s="264"/>
      <c r="G90" s="423"/>
      <c r="H90" s="275"/>
      <c r="P90" s="353"/>
      <c r="AH90" s="267"/>
      <c r="AS90" s="273"/>
      <c r="AT90" s="272"/>
      <c r="AU90" s="272"/>
      <c r="AV90" s="272"/>
      <c r="CI90" s="271"/>
      <c r="CJ90" s="271"/>
      <c r="CK90" s="271"/>
      <c r="CL90" s="271"/>
      <c r="CM90" s="271"/>
      <c r="CN90" s="271"/>
      <c r="CO90" s="271"/>
      <c r="CP90" s="271"/>
      <c r="CQ90" s="271"/>
      <c r="CR90" s="271"/>
      <c r="CS90" s="271"/>
      <c r="CT90" s="271"/>
      <c r="CU90" s="271"/>
      <c r="CV90" s="271"/>
      <c r="CW90" s="271"/>
      <c r="CX90" s="271"/>
      <c r="CY90" s="271"/>
      <c r="CZ90" s="271"/>
      <c r="DA90" s="271"/>
      <c r="DB90" s="271"/>
      <c r="DC90" s="271"/>
      <c r="DD90" s="271"/>
      <c r="DE90" s="271"/>
      <c r="DF90" s="271"/>
      <c r="DG90" s="271"/>
      <c r="DH90" s="271"/>
      <c r="DI90" s="271"/>
      <c r="DJ90" s="271"/>
      <c r="DK90" s="271"/>
      <c r="DL90" s="271"/>
      <c r="DM90" s="271"/>
      <c r="DN90" s="271"/>
      <c r="DO90" s="271"/>
      <c r="DP90" s="271"/>
      <c r="DQ90" s="271"/>
      <c r="DR90" s="271"/>
      <c r="DS90" s="271"/>
      <c r="DT90" s="271"/>
      <c r="DU90" s="271"/>
      <c r="DV90" s="271"/>
      <c r="DW90" s="271"/>
      <c r="DX90" s="271"/>
      <c r="DY90" s="271"/>
      <c r="DZ90" s="271"/>
      <c r="EA90" s="271"/>
      <c r="EB90" s="271"/>
      <c r="ED90" s="272"/>
      <c r="EE90" s="272"/>
    </row>
    <row r="91" spans="1:135" s="265" customFormat="1" ht="11.25" x14ac:dyDescent="0.2">
      <c r="A91" s="264"/>
      <c r="B91" s="364"/>
      <c r="C91" s="364"/>
      <c r="D91" s="364"/>
      <c r="F91" s="264"/>
      <c r="G91" s="333"/>
      <c r="H91" s="333"/>
      <c r="P91" s="353"/>
      <c r="AA91" s="267"/>
      <c r="AL91" s="273"/>
      <c r="AM91" s="273"/>
      <c r="AN91" s="273"/>
      <c r="AO91" s="272"/>
      <c r="AP91" s="272"/>
      <c r="AQ91" s="272"/>
      <c r="CD91" s="271"/>
      <c r="CE91" s="271"/>
      <c r="CF91" s="271"/>
      <c r="CG91" s="271"/>
      <c r="CH91" s="271"/>
      <c r="CI91" s="271"/>
      <c r="CJ91" s="271"/>
      <c r="CK91" s="271"/>
      <c r="CL91" s="271"/>
      <c r="CM91" s="271"/>
      <c r="CN91" s="271"/>
      <c r="CO91" s="271"/>
      <c r="CP91" s="271"/>
      <c r="CQ91" s="271"/>
      <c r="CR91" s="271"/>
      <c r="CS91" s="271"/>
      <c r="CT91" s="271"/>
      <c r="CU91" s="271"/>
      <c r="CV91" s="271"/>
      <c r="CW91" s="271"/>
      <c r="CX91" s="271"/>
      <c r="CY91" s="271"/>
      <c r="CZ91" s="271"/>
      <c r="DA91" s="271"/>
      <c r="DB91" s="271"/>
      <c r="DC91" s="271"/>
      <c r="DD91" s="271"/>
      <c r="DE91" s="271"/>
      <c r="DF91" s="271"/>
      <c r="DG91" s="271"/>
      <c r="DH91" s="271"/>
      <c r="DI91" s="271"/>
      <c r="DJ91" s="271"/>
      <c r="DK91" s="271"/>
      <c r="DL91" s="271"/>
      <c r="DM91" s="271"/>
      <c r="DN91" s="271"/>
      <c r="DO91" s="271"/>
      <c r="DP91" s="271"/>
      <c r="DQ91" s="271"/>
      <c r="DR91" s="271"/>
      <c r="DS91" s="271"/>
      <c r="DT91" s="271"/>
      <c r="DU91" s="271"/>
      <c r="DV91" s="271"/>
      <c r="DW91" s="271"/>
      <c r="DY91" s="272"/>
      <c r="DZ91" s="272"/>
    </row>
    <row r="92" spans="1:135" s="265" customFormat="1" ht="11.25" x14ac:dyDescent="0.2">
      <c r="A92" s="264"/>
      <c r="B92" s="364"/>
      <c r="C92" s="364"/>
      <c r="D92" s="364"/>
      <c r="F92" s="264"/>
      <c r="G92" s="414"/>
      <c r="H92" s="422"/>
      <c r="P92" s="353"/>
      <c r="AA92" s="267"/>
      <c r="AL92" s="273"/>
      <c r="AM92" s="273"/>
      <c r="AN92" s="273"/>
      <c r="AO92" s="272"/>
      <c r="AP92" s="272"/>
      <c r="AQ92" s="272"/>
      <c r="CD92" s="271"/>
      <c r="CE92" s="271"/>
      <c r="CF92" s="271"/>
      <c r="CG92" s="271"/>
      <c r="CH92" s="271"/>
      <c r="CI92" s="271"/>
      <c r="CJ92" s="271"/>
      <c r="CK92" s="271"/>
      <c r="CL92" s="271"/>
      <c r="CM92" s="271"/>
      <c r="CN92" s="271"/>
      <c r="CO92" s="271"/>
      <c r="CP92" s="271"/>
      <c r="CQ92" s="271"/>
      <c r="CR92" s="271"/>
      <c r="CS92" s="271"/>
      <c r="CT92" s="271"/>
      <c r="CU92" s="271"/>
      <c r="CV92" s="271"/>
      <c r="CW92" s="271"/>
      <c r="CX92" s="271"/>
      <c r="CY92" s="271"/>
      <c r="CZ92" s="271"/>
      <c r="DA92" s="271"/>
      <c r="DB92" s="271"/>
      <c r="DC92" s="271"/>
      <c r="DD92" s="271"/>
      <c r="DE92" s="271"/>
      <c r="DF92" s="271"/>
      <c r="DG92" s="271"/>
      <c r="DH92" s="271"/>
      <c r="DI92" s="271"/>
      <c r="DJ92" s="271"/>
      <c r="DK92" s="271"/>
      <c r="DL92" s="271"/>
      <c r="DM92" s="271"/>
      <c r="DN92" s="271"/>
      <c r="DO92" s="271"/>
      <c r="DP92" s="271"/>
      <c r="DQ92" s="271"/>
      <c r="DR92" s="271"/>
      <c r="DS92" s="271"/>
      <c r="DT92" s="271"/>
      <c r="DU92" s="271"/>
      <c r="DV92" s="271"/>
      <c r="DW92" s="271"/>
      <c r="DY92" s="272"/>
      <c r="DZ92" s="272"/>
    </row>
    <row r="93" spans="1:135" s="265" customFormat="1" ht="11.25" x14ac:dyDescent="0.2">
      <c r="A93" s="264"/>
      <c r="B93" s="364"/>
      <c r="C93" s="364"/>
      <c r="D93" s="364"/>
      <c r="F93" s="264"/>
      <c r="G93" s="414"/>
      <c r="H93" s="422"/>
      <c r="P93" s="353"/>
      <c r="AA93" s="267"/>
      <c r="AL93" s="273"/>
      <c r="AM93" s="273"/>
      <c r="AN93" s="273"/>
      <c r="AO93" s="272"/>
      <c r="AP93" s="272"/>
      <c r="AQ93" s="272"/>
      <c r="CD93" s="271"/>
      <c r="CE93" s="271"/>
      <c r="CF93" s="271"/>
      <c r="CG93" s="271"/>
      <c r="CH93" s="271"/>
      <c r="CI93" s="271"/>
      <c r="CJ93" s="271"/>
      <c r="CK93" s="271"/>
      <c r="CL93" s="271"/>
      <c r="CM93" s="271"/>
      <c r="CN93" s="271"/>
      <c r="CO93" s="271"/>
      <c r="CP93" s="271"/>
      <c r="CQ93" s="271"/>
      <c r="CR93" s="271"/>
      <c r="CS93" s="271"/>
      <c r="CT93" s="271"/>
      <c r="CU93" s="271"/>
      <c r="CV93" s="271"/>
      <c r="CW93" s="271"/>
      <c r="CX93" s="271"/>
      <c r="CY93" s="271"/>
      <c r="CZ93" s="271"/>
      <c r="DA93" s="271"/>
      <c r="DB93" s="271"/>
      <c r="DC93" s="271"/>
      <c r="DD93" s="271"/>
      <c r="DE93" s="271"/>
      <c r="DF93" s="271"/>
      <c r="DG93" s="271"/>
      <c r="DH93" s="271"/>
      <c r="DI93" s="271"/>
      <c r="DJ93" s="271"/>
      <c r="DK93" s="271"/>
      <c r="DL93" s="271"/>
      <c r="DM93" s="271"/>
      <c r="DN93" s="271"/>
      <c r="DO93" s="271"/>
      <c r="DP93" s="271"/>
      <c r="DQ93" s="271"/>
      <c r="DR93" s="271"/>
      <c r="DS93" s="271"/>
      <c r="DT93" s="271"/>
      <c r="DU93" s="271"/>
      <c r="DV93" s="271"/>
      <c r="DW93" s="271"/>
      <c r="DY93" s="272"/>
      <c r="DZ93" s="272"/>
    </row>
    <row r="94" spans="1:135" s="265" customFormat="1" ht="11.25" x14ac:dyDescent="0.2">
      <c r="A94" s="264"/>
      <c r="B94" s="364"/>
      <c r="C94" s="364"/>
      <c r="D94" s="364"/>
      <c r="F94" s="264"/>
      <c r="G94" s="414"/>
      <c r="H94" s="422"/>
      <c r="P94" s="353"/>
      <c r="AA94" s="267"/>
      <c r="AL94" s="273"/>
      <c r="AM94" s="273"/>
      <c r="AN94" s="273"/>
      <c r="AO94" s="272"/>
      <c r="AP94" s="272"/>
      <c r="AQ94" s="272"/>
      <c r="CD94" s="271"/>
      <c r="CE94" s="271"/>
      <c r="CF94" s="271"/>
      <c r="CG94" s="271"/>
      <c r="CH94" s="271"/>
      <c r="CI94" s="271"/>
      <c r="CJ94" s="271"/>
      <c r="CK94" s="271"/>
      <c r="CL94" s="271"/>
      <c r="CM94" s="271"/>
      <c r="CN94" s="271"/>
      <c r="CO94" s="271"/>
      <c r="CP94" s="271"/>
      <c r="CQ94" s="271"/>
      <c r="CR94" s="271"/>
      <c r="CS94" s="271"/>
      <c r="CT94" s="271"/>
      <c r="CU94" s="271"/>
      <c r="CV94" s="271"/>
      <c r="CW94" s="271"/>
      <c r="CX94" s="271"/>
      <c r="CY94" s="271"/>
      <c r="CZ94" s="271"/>
      <c r="DA94" s="271"/>
      <c r="DB94" s="271"/>
      <c r="DC94" s="271"/>
      <c r="DD94" s="271"/>
      <c r="DE94" s="271"/>
      <c r="DF94" s="271"/>
      <c r="DG94" s="271"/>
      <c r="DH94" s="271"/>
      <c r="DI94" s="271"/>
      <c r="DJ94" s="271"/>
      <c r="DK94" s="271"/>
      <c r="DL94" s="271"/>
      <c r="DM94" s="271"/>
      <c r="DN94" s="271"/>
      <c r="DO94" s="271"/>
      <c r="DP94" s="271"/>
      <c r="DQ94" s="271"/>
      <c r="DR94" s="271"/>
      <c r="DS94" s="271"/>
      <c r="DT94" s="271"/>
      <c r="DU94" s="271"/>
      <c r="DV94" s="271"/>
      <c r="DW94" s="271"/>
      <c r="DY94" s="272"/>
      <c r="DZ94" s="272"/>
    </row>
    <row r="95" spans="1:135" s="265" customFormat="1" ht="11.25" x14ac:dyDescent="0.2">
      <c r="A95" s="264"/>
      <c r="B95" s="364"/>
      <c r="C95" s="364"/>
      <c r="D95" s="364"/>
      <c r="F95" s="264"/>
      <c r="G95" s="414"/>
      <c r="H95" s="422"/>
      <c r="P95" s="353"/>
      <c r="AA95" s="267"/>
      <c r="AL95" s="273"/>
      <c r="AM95" s="273"/>
      <c r="AN95" s="273"/>
      <c r="AO95" s="272"/>
      <c r="AP95" s="272"/>
      <c r="AQ95" s="272"/>
      <c r="CD95" s="271"/>
      <c r="CE95" s="271"/>
      <c r="CF95" s="271"/>
      <c r="CG95" s="271"/>
      <c r="CH95" s="271"/>
      <c r="CI95" s="271"/>
      <c r="CJ95" s="271"/>
      <c r="CK95" s="271"/>
      <c r="CL95" s="271"/>
      <c r="CM95" s="271"/>
      <c r="CN95" s="271"/>
      <c r="CO95" s="271"/>
      <c r="CP95" s="271"/>
      <c r="CQ95" s="271"/>
      <c r="CR95" s="271"/>
      <c r="CS95" s="271"/>
      <c r="CT95" s="271"/>
      <c r="CU95" s="271"/>
      <c r="CV95" s="271"/>
      <c r="CW95" s="271"/>
      <c r="CX95" s="271"/>
      <c r="CY95" s="271"/>
      <c r="CZ95" s="271"/>
      <c r="DA95" s="271"/>
      <c r="DB95" s="271"/>
      <c r="DC95" s="271"/>
      <c r="DD95" s="271"/>
      <c r="DE95" s="271"/>
      <c r="DF95" s="271"/>
      <c r="DG95" s="271"/>
      <c r="DH95" s="271"/>
      <c r="DI95" s="271"/>
      <c r="DJ95" s="271"/>
      <c r="DK95" s="271"/>
      <c r="DL95" s="271"/>
      <c r="DM95" s="271"/>
      <c r="DN95" s="271"/>
      <c r="DO95" s="271"/>
      <c r="DP95" s="271"/>
      <c r="DQ95" s="271"/>
      <c r="DR95" s="271"/>
      <c r="DS95" s="271"/>
      <c r="DT95" s="271"/>
      <c r="DU95" s="271"/>
      <c r="DV95" s="271"/>
      <c r="DW95" s="271"/>
      <c r="DY95" s="272"/>
      <c r="DZ95" s="272"/>
    </row>
    <row r="96" spans="1:135" s="265" customFormat="1" ht="11.25" x14ac:dyDescent="0.2">
      <c r="A96" s="264"/>
      <c r="B96" s="364"/>
      <c r="C96" s="364"/>
      <c r="D96" s="364"/>
      <c r="F96" s="264"/>
      <c r="G96" s="414"/>
      <c r="H96" s="422"/>
      <c r="P96" s="353"/>
      <c r="AA96" s="267"/>
      <c r="AL96" s="273"/>
      <c r="AM96" s="273"/>
      <c r="AN96" s="273"/>
      <c r="AO96" s="272"/>
      <c r="AP96" s="272"/>
      <c r="AQ96" s="272"/>
      <c r="CD96" s="271"/>
      <c r="CE96" s="271"/>
      <c r="CF96" s="271"/>
      <c r="CG96" s="271"/>
      <c r="CH96" s="271"/>
      <c r="CI96" s="271"/>
      <c r="CJ96" s="271"/>
      <c r="CK96" s="271"/>
      <c r="CL96" s="271"/>
      <c r="CM96" s="271"/>
      <c r="CN96" s="271"/>
      <c r="CO96" s="271"/>
      <c r="CP96" s="271"/>
      <c r="CQ96" s="271"/>
      <c r="CR96" s="271"/>
      <c r="CS96" s="271"/>
      <c r="CT96" s="271"/>
      <c r="CU96" s="271"/>
      <c r="CV96" s="271"/>
      <c r="CW96" s="271"/>
      <c r="CX96" s="271"/>
      <c r="CY96" s="271"/>
      <c r="CZ96" s="271"/>
      <c r="DA96" s="271"/>
      <c r="DB96" s="271"/>
      <c r="DC96" s="271"/>
      <c r="DD96" s="271"/>
      <c r="DE96" s="271"/>
      <c r="DF96" s="271"/>
      <c r="DG96" s="271"/>
      <c r="DH96" s="271"/>
      <c r="DI96" s="271"/>
      <c r="DJ96" s="271"/>
      <c r="DK96" s="271"/>
      <c r="DL96" s="271"/>
      <c r="DM96" s="271"/>
      <c r="DN96" s="271"/>
      <c r="DO96" s="271"/>
      <c r="DP96" s="271"/>
      <c r="DQ96" s="271"/>
      <c r="DR96" s="271"/>
      <c r="DS96" s="271"/>
      <c r="DT96" s="271"/>
      <c r="DU96" s="271"/>
      <c r="DV96" s="271"/>
      <c r="DW96" s="271"/>
      <c r="DY96" s="272"/>
      <c r="DZ96" s="272"/>
    </row>
    <row r="97" spans="1:135" s="265" customFormat="1" ht="14.25" customHeight="1" x14ac:dyDescent="0.2">
      <c r="A97" s="264"/>
      <c r="B97" s="364"/>
      <c r="C97" s="364"/>
      <c r="D97" s="364"/>
      <c r="F97" s="264"/>
      <c r="G97" s="416"/>
      <c r="H97" s="424"/>
      <c r="P97" s="353"/>
      <c r="AA97" s="267"/>
      <c r="AL97" s="273"/>
      <c r="AM97" s="273"/>
      <c r="AN97" s="273"/>
      <c r="AO97" s="272"/>
      <c r="AP97" s="272"/>
      <c r="AQ97" s="272"/>
      <c r="CD97" s="271"/>
      <c r="CE97" s="271"/>
      <c r="CF97" s="271"/>
      <c r="CG97" s="271"/>
      <c r="CH97" s="271"/>
      <c r="CI97" s="271"/>
      <c r="CJ97" s="271"/>
      <c r="CK97" s="271"/>
      <c r="CL97" s="271"/>
      <c r="CM97" s="271"/>
      <c r="CN97" s="271"/>
      <c r="CO97" s="271"/>
      <c r="CP97" s="271"/>
      <c r="CQ97" s="271"/>
      <c r="CR97" s="271"/>
      <c r="CS97" s="271"/>
      <c r="CT97" s="271"/>
      <c r="CU97" s="271"/>
      <c r="CV97" s="271"/>
      <c r="CW97" s="271"/>
      <c r="CX97" s="271"/>
      <c r="CY97" s="271"/>
      <c r="CZ97" s="271"/>
      <c r="DA97" s="271"/>
      <c r="DB97" s="271"/>
      <c r="DC97" s="271"/>
      <c r="DD97" s="271"/>
      <c r="DE97" s="271"/>
      <c r="DF97" s="271"/>
      <c r="DG97" s="271"/>
      <c r="DH97" s="271"/>
      <c r="DI97" s="271"/>
      <c r="DJ97" s="271"/>
      <c r="DK97" s="271"/>
      <c r="DL97" s="271"/>
      <c r="DM97" s="271"/>
      <c r="DN97" s="271"/>
      <c r="DO97" s="271"/>
      <c r="DP97" s="271"/>
      <c r="DQ97" s="271"/>
      <c r="DR97" s="271"/>
      <c r="DS97" s="271"/>
      <c r="DT97" s="271"/>
      <c r="DU97" s="271"/>
      <c r="DV97" s="271"/>
      <c r="DW97" s="271"/>
      <c r="DY97" s="272"/>
      <c r="DZ97" s="272"/>
    </row>
    <row r="98" spans="1:135" s="265" customFormat="1" ht="11.25" x14ac:dyDescent="0.2">
      <c r="A98" s="264"/>
      <c r="B98" s="364"/>
      <c r="C98" s="364"/>
      <c r="D98" s="364"/>
      <c r="F98" s="264"/>
      <c r="G98" s="266"/>
      <c r="P98" s="353"/>
      <c r="AH98" s="267"/>
      <c r="AS98" s="273"/>
      <c r="AT98" s="272"/>
      <c r="AU98" s="272"/>
      <c r="AV98" s="272"/>
      <c r="CI98" s="271"/>
      <c r="CJ98" s="271"/>
      <c r="CK98" s="271"/>
      <c r="CL98" s="271"/>
      <c r="CM98" s="271"/>
      <c r="CN98" s="271"/>
      <c r="CO98" s="271"/>
      <c r="CP98" s="271"/>
      <c r="CQ98" s="271"/>
      <c r="CR98" s="271"/>
      <c r="CS98" s="271"/>
      <c r="CT98" s="271"/>
      <c r="CU98" s="271"/>
      <c r="CV98" s="271"/>
      <c r="CW98" s="271"/>
      <c r="CX98" s="271"/>
      <c r="CY98" s="271"/>
      <c r="CZ98" s="271"/>
      <c r="DA98" s="271"/>
      <c r="DB98" s="271"/>
      <c r="DC98" s="271"/>
      <c r="DD98" s="271"/>
      <c r="DE98" s="271"/>
      <c r="DF98" s="271"/>
      <c r="DG98" s="271"/>
      <c r="DH98" s="271"/>
      <c r="DI98" s="271"/>
      <c r="DJ98" s="271"/>
      <c r="DK98" s="271"/>
      <c r="DL98" s="271"/>
      <c r="DM98" s="271"/>
      <c r="DN98" s="271"/>
      <c r="DO98" s="271"/>
      <c r="DP98" s="271"/>
      <c r="DQ98" s="271"/>
      <c r="DR98" s="271"/>
      <c r="DS98" s="271"/>
      <c r="DT98" s="271"/>
      <c r="DU98" s="271"/>
      <c r="DV98" s="271"/>
      <c r="DW98" s="271"/>
      <c r="DX98" s="271"/>
      <c r="DY98" s="271"/>
      <c r="DZ98" s="271"/>
      <c r="EA98" s="271"/>
      <c r="EB98" s="271"/>
      <c r="ED98" s="272"/>
      <c r="EE98" s="272"/>
    </row>
    <row r="99" spans="1:135" s="265" customFormat="1" ht="11.25" x14ac:dyDescent="0.2">
      <c r="A99" s="264"/>
      <c r="B99" s="364"/>
      <c r="C99" s="364"/>
      <c r="D99" s="364"/>
      <c r="F99" s="264"/>
      <c r="G99" s="413"/>
      <c r="H99" s="933"/>
      <c r="I99" s="935"/>
      <c r="J99" s="933"/>
      <c r="K99" s="935"/>
      <c r="L99" s="933"/>
      <c r="M99" s="935"/>
      <c r="O99" s="413"/>
      <c r="P99" s="432"/>
      <c r="Q99" s="413"/>
      <c r="R99" s="413"/>
      <c r="S99" s="933"/>
      <c r="T99" s="935"/>
      <c r="U99" s="933"/>
      <c r="V99" s="935"/>
      <c r="W99" s="333"/>
      <c r="X99" s="333"/>
      <c r="AH99" s="267"/>
      <c r="AS99" s="273"/>
      <c r="AT99" s="272"/>
      <c r="AU99" s="272"/>
      <c r="AV99" s="272"/>
      <c r="CI99" s="271"/>
      <c r="CJ99" s="271"/>
      <c r="CK99" s="271"/>
      <c r="CL99" s="271"/>
      <c r="CM99" s="271"/>
      <c r="CN99" s="271"/>
      <c r="CO99" s="271"/>
      <c r="CP99" s="271"/>
      <c r="CQ99" s="271"/>
      <c r="CR99" s="271"/>
      <c r="CS99" s="271"/>
      <c r="CT99" s="271"/>
      <c r="CU99" s="271"/>
      <c r="CV99" s="271"/>
      <c r="CW99" s="271"/>
      <c r="CX99" s="271"/>
      <c r="CY99" s="271"/>
      <c r="CZ99" s="271"/>
      <c r="DA99" s="271"/>
      <c r="DB99" s="271"/>
      <c r="DC99" s="271"/>
      <c r="DD99" s="271"/>
      <c r="DE99" s="271"/>
      <c r="DF99" s="271"/>
      <c r="DG99" s="271"/>
      <c r="DH99" s="271"/>
      <c r="DI99" s="271"/>
      <c r="DJ99" s="271"/>
      <c r="DK99" s="271"/>
      <c r="DL99" s="271"/>
      <c r="DM99" s="271"/>
      <c r="DN99" s="271"/>
      <c r="DO99" s="271"/>
      <c r="DP99" s="271"/>
      <c r="DQ99" s="271"/>
      <c r="DR99" s="271"/>
      <c r="DS99" s="271"/>
      <c r="DT99" s="271"/>
      <c r="DU99" s="271"/>
      <c r="DV99" s="271"/>
      <c r="DW99" s="271"/>
      <c r="DX99" s="271"/>
      <c r="DY99" s="271"/>
      <c r="DZ99" s="271"/>
      <c r="EA99" s="271"/>
      <c r="EB99" s="271"/>
      <c r="ED99" s="272"/>
      <c r="EE99" s="272"/>
    </row>
    <row r="100" spans="1:135" s="265" customFormat="1" ht="25.5" customHeight="1" x14ac:dyDescent="0.2">
      <c r="A100" s="264"/>
      <c r="B100" s="364"/>
      <c r="C100" s="364"/>
      <c r="D100" s="364"/>
      <c r="F100" s="264"/>
      <c r="G100" s="333"/>
      <c r="H100" s="333"/>
      <c r="I100" s="333"/>
      <c r="J100" s="333"/>
      <c r="K100" s="333"/>
      <c r="L100" s="333"/>
      <c r="M100" s="333"/>
      <c r="O100" s="333"/>
      <c r="P100" s="333"/>
      <c r="Q100" s="333"/>
      <c r="R100" s="333"/>
      <c r="S100" s="333"/>
      <c r="T100" s="333"/>
      <c r="U100" s="333"/>
      <c r="V100" s="333"/>
      <c r="W100" s="333"/>
      <c r="X100" s="333"/>
      <c r="AB100" s="267"/>
      <c r="AO100" s="273"/>
      <c r="AP100" s="272"/>
      <c r="AQ100" s="272"/>
      <c r="AR100" s="272"/>
      <c r="CE100" s="271"/>
      <c r="CF100" s="271"/>
      <c r="CG100" s="271"/>
      <c r="CH100" s="271"/>
      <c r="CI100" s="271"/>
      <c r="CJ100" s="271"/>
      <c r="CK100" s="271"/>
      <c r="CL100" s="271"/>
      <c r="CM100" s="271"/>
      <c r="CN100" s="271"/>
      <c r="CO100" s="271"/>
      <c r="CP100" s="271"/>
      <c r="CQ100" s="271"/>
      <c r="CR100" s="271"/>
      <c r="CS100" s="271"/>
      <c r="CT100" s="271"/>
      <c r="CU100" s="271"/>
      <c r="CV100" s="271"/>
      <c r="CW100" s="271"/>
      <c r="CX100" s="271"/>
      <c r="CY100" s="271"/>
      <c r="CZ100" s="271"/>
      <c r="DA100" s="271"/>
      <c r="DB100" s="271"/>
      <c r="DC100" s="271"/>
      <c r="DD100" s="271"/>
      <c r="DE100" s="271"/>
      <c r="DF100" s="271"/>
      <c r="DG100" s="271"/>
      <c r="DH100" s="271"/>
      <c r="DI100" s="271"/>
      <c r="DJ100" s="271"/>
      <c r="DK100" s="271"/>
      <c r="DL100" s="271"/>
      <c r="DM100" s="271"/>
      <c r="DN100" s="271"/>
      <c r="DO100" s="271"/>
      <c r="DP100" s="271"/>
      <c r="DQ100" s="271"/>
      <c r="DR100" s="271"/>
      <c r="DS100" s="271"/>
      <c r="DT100" s="271"/>
      <c r="DU100" s="271"/>
      <c r="DV100" s="271"/>
      <c r="DW100" s="271"/>
      <c r="DX100" s="271"/>
      <c r="DZ100" s="272"/>
      <c r="EA100" s="272"/>
    </row>
    <row r="101" spans="1:135" s="265" customFormat="1" ht="11.25" x14ac:dyDescent="0.2">
      <c r="A101" s="264"/>
      <c r="B101" s="364"/>
      <c r="C101" s="364"/>
      <c r="D101" s="364"/>
      <c r="F101" s="264"/>
      <c r="G101" s="414"/>
      <c r="H101" s="334"/>
      <c r="I101" s="334"/>
      <c r="J101" s="334"/>
      <c r="K101" s="334"/>
      <c r="L101" s="415"/>
      <c r="M101" s="415"/>
      <c r="O101" s="414"/>
      <c r="P101" s="425"/>
      <c r="Q101" s="414"/>
      <c r="R101" s="414"/>
      <c r="S101" s="334"/>
      <c r="T101" s="334"/>
      <c r="U101" s="334"/>
      <c r="V101" s="334"/>
      <c r="W101" s="334"/>
      <c r="X101" s="334"/>
      <c r="AB101" s="267"/>
      <c r="AO101" s="273"/>
      <c r="AP101" s="272"/>
      <c r="AQ101" s="272"/>
      <c r="AR101" s="272"/>
      <c r="CE101" s="271"/>
      <c r="CF101" s="271"/>
      <c r="CG101" s="271"/>
      <c r="CH101" s="271"/>
      <c r="CI101" s="271"/>
      <c r="CJ101" s="271"/>
      <c r="CK101" s="271"/>
      <c r="CL101" s="271"/>
      <c r="CM101" s="271"/>
      <c r="CN101" s="271"/>
      <c r="CO101" s="271"/>
      <c r="CP101" s="271"/>
      <c r="CQ101" s="271"/>
      <c r="CR101" s="271"/>
      <c r="CS101" s="271"/>
      <c r="CT101" s="271"/>
      <c r="CU101" s="271"/>
      <c r="CV101" s="271"/>
      <c r="CW101" s="271"/>
      <c r="CX101" s="271"/>
      <c r="CY101" s="271"/>
      <c r="CZ101" s="271"/>
      <c r="DA101" s="271"/>
      <c r="DB101" s="271"/>
      <c r="DC101" s="271"/>
      <c r="DD101" s="271"/>
      <c r="DE101" s="271"/>
      <c r="DF101" s="271"/>
      <c r="DG101" s="271"/>
      <c r="DH101" s="271"/>
      <c r="DI101" s="271"/>
      <c r="DJ101" s="271"/>
      <c r="DK101" s="271"/>
      <c r="DL101" s="271"/>
      <c r="DM101" s="271"/>
      <c r="DN101" s="271"/>
      <c r="DO101" s="271"/>
      <c r="DP101" s="271"/>
      <c r="DQ101" s="271"/>
      <c r="DR101" s="271"/>
      <c r="DS101" s="271"/>
      <c r="DT101" s="271"/>
      <c r="DU101" s="271"/>
      <c r="DV101" s="271"/>
      <c r="DW101" s="271"/>
      <c r="DX101" s="271"/>
      <c r="DZ101" s="272"/>
      <c r="EA101" s="272"/>
    </row>
    <row r="102" spans="1:135" s="265" customFormat="1" ht="11.25" x14ac:dyDescent="0.2">
      <c r="A102" s="264"/>
      <c r="B102" s="364"/>
      <c r="C102" s="364"/>
      <c r="D102" s="364"/>
      <c r="F102" s="264"/>
      <c r="G102" s="414"/>
      <c r="H102" s="334"/>
      <c r="I102" s="334"/>
      <c r="J102" s="334"/>
      <c r="K102" s="334"/>
      <c r="L102" s="415"/>
      <c r="M102" s="415"/>
      <c r="O102" s="414"/>
      <c r="P102" s="425"/>
      <c r="Q102" s="414"/>
      <c r="R102" s="414"/>
      <c r="S102" s="334"/>
      <c r="T102" s="334"/>
      <c r="U102" s="334"/>
      <c r="V102" s="334"/>
      <c r="W102" s="334"/>
      <c r="X102" s="334"/>
      <c r="AB102" s="267"/>
      <c r="AO102" s="273"/>
      <c r="AP102" s="272"/>
      <c r="AQ102" s="272"/>
      <c r="AR102" s="272"/>
      <c r="CE102" s="271"/>
      <c r="CF102" s="271"/>
      <c r="CG102" s="271"/>
      <c r="CH102" s="271"/>
      <c r="CI102" s="271"/>
      <c r="CJ102" s="271"/>
      <c r="CK102" s="271"/>
      <c r="CL102" s="271"/>
      <c r="CM102" s="271"/>
      <c r="CN102" s="271"/>
      <c r="CO102" s="271"/>
      <c r="CP102" s="271"/>
      <c r="CQ102" s="271"/>
      <c r="CR102" s="271"/>
      <c r="CS102" s="271"/>
      <c r="CT102" s="271"/>
      <c r="CU102" s="271"/>
      <c r="CV102" s="271"/>
      <c r="CW102" s="271"/>
      <c r="CX102" s="271"/>
      <c r="CY102" s="271"/>
      <c r="CZ102" s="271"/>
      <c r="DA102" s="271"/>
      <c r="DB102" s="271"/>
      <c r="DC102" s="271"/>
      <c r="DD102" s="271"/>
      <c r="DE102" s="271"/>
      <c r="DF102" s="271"/>
      <c r="DG102" s="271"/>
      <c r="DH102" s="271"/>
      <c r="DI102" s="271"/>
      <c r="DJ102" s="271"/>
      <c r="DK102" s="271"/>
      <c r="DL102" s="271"/>
      <c r="DM102" s="271"/>
      <c r="DN102" s="271"/>
      <c r="DO102" s="271"/>
      <c r="DP102" s="271"/>
      <c r="DQ102" s="271"/>
      <c r="DR102" s="271"/>
      <c r="DS102" s="271"/>
      <c r="DT102" s="271"/>
      <c r="DU102" s="271"/>
      <c r="DV102" s="271"/>
      <c r="DW102" s="271"/>
      <c r="DX102" s="271"/>
      <c r="DZ102" s="272"/>
      <c r="EA102" s="272"/>
    </row>
    <row r="103" spans="1:135" s="265" customFormat="1" ht="11.25" x14ac:dyDescent="0.2">
      <c r="A103" s="264"/>
      <c r="B103" s="364"/>
      <c r="C103" s="364"/>
      <c r="D103" s="364"/>
      <c r="F103" s="264"/>
      <c r="G103" s="414"/>
      <c r="H103" s="334"/>
      <c r="I103" s="334"/>
      <c r="J103" s="334"/>
      <c r="K103" s="334"/>
      <c r="L103" s="415"/>
      <c r="M103" s="415"/>
      <c r="O103" s="414"/>
      <c r="P103" s="425"/>
      <c r="Q103" s="414"/>
      <c r="R103" s="414"/>
      <c r="S103" s="334"/>
      <c r="T103" s="334"/>
      <c r="U103" s="334"/>
      <c r="V103" s="334"/>
      <c r="W103" s="334"/>
      <c r="X103" s="334"/>
      <c r="AB103" s="267"/>
      <c r="AO103" s="273"/>
      <c r="AP103" s="272"/>
      <c r="AQ103" s="272"/>
      <c r="AR103" s="272"/>
      <c r="CE103" s="271"/>
      <c r="CF103" s="271"/>
      <c r="CG103" s="271"/>
      <c r="CH103" s="271"/>
      <c r="CI103" s="271"/>
      <c r="CJ103" s="271"/>
      <c r="CK103" s="271"/>
      <c r="CL103" s="271"/>
      <c r="CM103" s="271"/>
      <c r="CN103" s="271"/>
      <c r="CO103" s="271"/>
      <c r="CP103" s="271"/>
      <c r="CQ103" s="271"/>
      <c r="CR103" s="271"/>
      <c r="CS103" s="271"/>
      <c r="CT103" s="271"/>
      <c r="CU103" s="271"/>
      <c r="CV103" s="271"/>
      <c r="CW103" s="271"/>
      <c r="CX103" s="271"/>
      <c r="CY103" s="271"/>
      <c r="CZ103" s="271"/>
      <c r="DA103" s="271"/>
      <c r="DB103" s="271"/>
      <c r="DC103" s="271"/>
      <c r="DD103" s="271"/>
      <c r="DE103" s="271"/>
      <c r="DF103" s="271"/>
      <c r="DG103" s="271"/>
      <c r="DH103" s="271"/>
      <c r="DI103" s="271"/>
      <c r="DJ103" s="271"/>
      <c r="DK103" s="271"/>
      <c r="DL103" s="271"/>
      <c r="DM103" s="271"/>
      <c r="DN103" s="271"/>
      <c r="DO103" s="271"/>
      <c r="DP103" s="271"/>
      <c r="DQ103" s="271"/>
      <c r="DR103" s="271"/>
      <c r="DS103" s="271"/>
      <c r="DT103" s="271"/>
      <c r="DU103" s="271"/>
      <c r="DV103" s="271"/>
      <c r="DW103" s="271"/>
      <c r="DX103" s="271"/>
      <c r="DZ103" s="272"/>
      <c r="EA103" s="272"/>
    </row>
    <row r="104" spans="1:135" s="265" customFormat="1" ht="11.25" x14ac:dyDescent="0.2">
      <c r="A104" s="264"/>
      <c r="B104" s="364"/>
      <c r="C104" s="364"/>
      <c r="D104" s="364"/>
      <c r="F104" s="264"/>
      <c r="G104" s="414"/>
      <c r="H104" s="334"/>
      <c r="I104" s="334"/>
      <c r="J104" s="334"/>
      <c r="K104" s="334"/>
      <c r="L104" s="415"/>
      <c r="M104" s="415"/>
      <c r="O104" s="414"/>
      <c r="P104" s="425"/>
      <c r="Q104" s="414"/>
      <c r="R104" s="414"/>
      <c r="S104" s="334"/>
      <c r="T104" s="334"/>
      <c r="U104" s="334"/>
      <c r="V104" s="334"/>
      <c r="W104" s="334"/>
      <c r="X104" s="334"/>
      <c r="AB104" s="267"/>
      <c r="AO104" s="273"/>
      <c r="AP104" s="272"/>
      <c r="AQ104" s="272"/>
      <c r="AR104" s="272"/>
      <c r="CE104" s="271"/>
      <c r="CF104" s="271"/>
      <c r="CG104" s="271"/>
      <c r="CH104" s="271"/>
      <c r="CI104" s="271"/>
      <c r="CJ104" s="271"/>
      <c r="CK104" s="271"/>
      <c r="CL104" s="271"/>
      <c r="CM104" s="271"/>
      <c r="CN104" s="271"/>
      <c r="CO104" s="271"/>
      <c r="CP104" s="271"/>
      <c r="CQ104" s="271"/>
      <c r="CR104" s="271"/>
      <c r="CS104" s="271"/>
      <c r="CT104" s="271"/>
      <c r="CU104" s="271"/>
      <c r="CV104" s="271"/>
      <c r="CW104" s="271"/>
      <c r="CX104" s="271"/>
      <c r="CY104" s="271"/>
      <c r="CZ104" s="271"/>
      <c r="DA104" s="271"/>
      <c r="DB104" s="271"/>
      <c r="DC104" s="271"/>
      <c r="DD104" s="271"/>
      <c r="DE104" s="271"/>
      <c r="DF104" s="271"/>
      <c r="DG104" s="271"/>
      <c r="DH104" s="271"/>
      <c r="DI104" s="271"/>
      <c r="DJ104" s="271"/>
      <c r="DK104" s="271"/>
      <c r="DL104" s="271"/>
      <c r="DM104" s="271"/>
      <c r="DN104" s="271"/>
      <c r="DO104" s="271"/>
      <c r="DP104" s="271"/>
      <c r="DQ104" s="271"/>
      <c r="DR104" s="271"/>
      <c r="DS104" s="271"/>
      <c r="DT104" s="271"/>
      <c r="DU104" s="271"/>
      <c r="DV104" s="271"/>
      <c r="DW104" s="271"/>
      <c r="DX104" s="271"/>
      <c r="DZ104" s="272"/>
      <c r="EA104" s="272"/>
    </row>
    <row r="105" spans="1:135" s="265" customFormat="1" ht="11.25" x14ac:dyDescent="0.2">
      <c r="A105" s="264"/>
      <c r="B105" s="364"/>
      <c r="C105" s="364"/>
      <c r="D105" s="364"/>
      <c r="F105" s="264"/>
      <c r="G105" s="414"/>
      <c r="H105" s="334"/>
      <c r="I105" s="334"/>
      <c r="J105" s="334"/>
      <c r="K105" s="334"/>
      <c r="L105" s="415"/>
      <c r="M105" s="415"/>
      <c r="O105" s="414"/>
      <c r="P105" s="425"/>
      <c r="Q105" s="414"/>
      <c r="R105" s="414"/>
      <c r="S105" s="334"/>
      <c r="T105" s="334"/>
      <c r="U105" s="334"/>
      <c r="V105" s="334"/>
      <c r="W105" s="334"/>
      <c r="X105" s="334"/>
      <c r="AB105" s="267"/>
      <c r="AO105" s="273"/>
      <c r="AP105" s="272"/>
      <c r="AQ105" s="272"/>
      <c r="AR105" s="272"/>
      <c r="CE105" s="271"/>
      <c r="CF105" s="271"/>
      <c r="CG105" s="271"/>
      <c r="CH105" s="271"/>
      <c r="CI105" s="271"/>
      <c r="CJ105" s="271"/>
      <c r="CK105" s="271"/>
      <c r="CL105" s="271"/>
      <c r="CM105" s="271"/>
      <c r="CN105" s="271"/>
      <c r="CO105" s="271"/>
      <c r="CP105" s="271"/>
      <c r="CQ105" s="271"/>
      <c r="CR105" s="271"/>
      <c r="CS105" s="271"/>
      <c r="CT105" s="271"/>
      <c r="CU105" s="271"/>
      <c r="CV105" s="271"/>
      <c r="CW105" s="271"/>
      <c r="CX105" s="271"/>
      <c r="CY105" s="271"/>
      <c r="CZ105" s="271"/>
      <c r="DA105" s="271"/>
      <c r="DB105" s="271"/>
      <c r="DC105" s="271"/>
      <c r="DD105" s="271"/>
      <c r="DE105" s="271"/>
      <c r="DF105" s="271"/>
      <c r="DG105" s="271"/>
      <c r="DH105" s="271"/>
      <c r="DI105" s="271"/>
      <c r="DJ105" s="271"/>
      <c r="DK105" s="271"/>
      <c r="DL105" s="271"/>
      <c r="DM105" s="271"/>
      <c r="DN105" s="271"/>
      <c r="DO105" s="271"/>
      <c r="DP105" s="271"/>
      <c r="DQ105" s="271"/>
      <c r="DR105" s="271"/>
      <c r="DS105" s="271"/>
      <c r="DT105" s="271"/>
      <c r="DU105" s="271"/>
      <c r="DV105" s="271"/>
      <c r="DW105" s="271"/>
      <c r="DX105" s="271"/>
      <c r="DZ105" s="272"/>
      <c r="EA105" s="272"/>
    </row>
    <row r="106" spans="1:135" s="265" customFormat="1" ht="11.25" x14ac:dyDescent="0.2">
      <c r="A106" s="264"/>
      <c r="B106" s="364"/>
      <c r="C106" s="364"/>
      <c r="D106" s="364"/>
      <c r="F106" s="264"/>
      <c r="G106" s="416"/>
      <c r="H106" s="335"/>
      <c r="I106" s="335"/>
      <c r="J106" s="335"/>
      <c r="K106" s="335"/>
      <c r="L106" s="335"/>
      <c r="M106" s="335"/>
      <c r="O106" s="416"/>
      <c r="P106" s="333"/>
      <c r="Q106" s="416"/>
      <c r="R106" s="416"/>
      <c r="S106" s="335"/>
      <c r="T106" s="335"/>
      <c r="U106" s="335"/>
      <c r="V106" s="335"/>
      <c r="W106" s="335"/>
      <c r="X106" s="335"/>
      <c r="AB106" s="267"/>
      <c r="AO106" s="273"/>
      <c r="AP106" s="272"/>
      <c r="AQ106" s="272"/>
      <c r="AR106" s="272"/>
      <c r="CE106" s="271"/>
      <c r="CF106" s="271"/>
      <c r="CG106" s="271"/>
      <c r="CH106" s="271"/>
      <c r="CI106" s="271"/>
      <c r="CJ106" s="271"/>
      <c r="CK106" s="271"/>
      <c r="CL106" s="271"/>
      <c r="CM106" s="271"/>
      <c r="CN106" s="271"/>
      <c r="CO106" s="271"/>
      <c r="CP106" s="271"/>
      <c r="CQ106" s="271"/>
      <c r="CR106" s="271"/>
      <c r="CS106" s="271"/>
      <c r="CT106" s="271"/>
      <c r="CU106" s="271"/>
      <c r="CV106" s="271"/>
      <c r="CW106" s="271"/>
      <c r="CX106" s="271"/>
      <c r="CY106" s="271"/>
      <c r="CZ106" s="271"/>
      <c r="DA106" s="271"/>
      <c r="DB106" s="271"/>
      <c r="DC106" s="271"/>
      <c r="DD106" s="271"/>
      <c r="DE106" s="271"/>
      <c r="DF106" s="271"/>
      <c r="DG106" s="271"/>
      <c r="DH106" s="271"/>
      <c r="DI106" s="271"/>
      <c r="DJ106" s="271"/>
      <c r="DK106" s="271"/>
      <c r="DL106" s="271"/>
      <c r="DM106" s="271"/>
      <c r="DN106" s="271"/>
      <c r="DO106" s="271"/>
      <c r="DP106" s="271"/>
      <c r="DQ106" s="271"/>
      <c r="DR106" s="271"/>
      <c r="DS106" s="271"/>
      <c r="DT106" s="271"/>
      <c r="DU106" s="271"/>
      <c r="DV106" s="271"/>
      <c r="DW106" s="271"/>
      <c r="DX106" s="271"/>
      <c r="DZ106" s="272"/>
      <c r="EA106" s="272"/>
    </row>
    <row r="107" spans="1:135" s="265" customFormat="1" ht="11.25" x14ac:dyDescent="0.2">
      <c r="A107" s="264"/>
      <c r="B107" s="364"/>
      <c r="C107" s="364"/>
      <c r="D107" s="364"/>
      <c r="F107" s="264"/>
      <c r="G107" s="266"/>
      <c r="P107" s="353"/>
      <c r="AH107" s="267"/>
      <c r="AS107" s="273"/>
      <c r="AT107" s="272"/>
      <c r="AU107" s="272"/>
      <c r="AV107" s="272"/>
      <c r="CI107" s="271"/>
      <c r="CJ107" s="271"/>
      <c r="CK107" s="271"/>
      <c r="CL107" s="271"/>
      <c r="CM107" s="271"/>
      <c r="CN107" s="271"/>
      <c r="CO107" s="271"/>
      <c r="CP107" s="271"/>
      <c r="CQ107" s="271"/>
      <c r="CR107" s="271"/>
      <c r="CS107" s="271"/>
      <c r="CT107" s="271"/>
      <c r="CU107" s="271"/>
      <c r="CV107" s="271"/>
      <c r="CW107" s="271"/>
      <c r="CX107" s="271"/>
      <c r="CY107" s="271"/>
      <c r="CZ107" s="271"/>
      <c r="DA107" s="271"/>
      <c r="DB107" s="271"/>
      <c r="DC107" s="271"/>
      <c r="DD107" s="271"/>
      <c r="DE107" s="271"/>
      <c r="DF107" s="271"/>
      <c r="DG107" s="271"/>
      <c r="DH107" s="271"/>
      <c r="DI107" s="271"/>
      <c r="DJ107" s="271"/>
      <c r="DK107" s="271"/>
      <c r="DL107" s="271"/>
      <c r="DM107" s="271"/>
      <c r="DN107" s="271"/>
      <c r="DO107" s="271"/>
      <c r="DP107" s="271"/>
      <c r="DQ107" s="271"/>
      <c r="DR107" s="271"/>
      <c r="DS107" s="271"/>
      <c r="DT107" s="271"/>
      <c r="DU107" s="271"/>
      <c r="DV107" s="271"/>
      <c r="DW107" s="271"/>
      <c r="DX107" s="271"/>
      <c r="DY107" s="271"/>
      <c r="DZ107" s="271"/>
      <c r="EA107" s="271"/>
      <c r="EB107" s="271"/>
      <c r="ED107" s="272"/>
      <c r="EE107" s="272"/>
    </row>
    <row r="108" spans="1:135" s="265" customFormat="1" ht="11.25" x14ac:dyDescent="0.2">
      <c r="A108" s="264"/>
      <c r="B108" s="364"/>
      <c r="C108" s="364"/>
      <c r="D108" s="364"/>
      <c r="F108" s="264"/>
      <c r="G108" s="413"/>
      <c r="H108" s="275"/>
      <c r="I108" s="275"/>
      <c r="J108" s="275"/>
      <c r="K108" s="275"/>
      <c r="L108" s="275"/>
      <c r="M108" s="275"/>
      <c r="P108" s="353"/>
      <c r="AH108" s="267"/>
      <c r="AS108" s="273"/>
      <c r="AT108" s="272"/>
      <c r="AU108" s="272"/>
      <c r="AV108" s="272"/>
      <c r="CI108" s="271"/>
      <c r="CJ108" s="271"/>
      <c r="CK108" s="271"/>
      <c r="CL108" s="271"/>
      <c r="CM108" s="271"/>
      <c r="CN108" s="271"/>
      <c r="CO108" s="271"/>
      <c r="CP108" s="271"/>
      <c r="CQ108" s="271"/>
      <c r="CR108" s="271"/>
      <c r="CS108" s="271"/>
      <c r="CT108" s="271"/>
      <c r="CU108" s="271"/>
      <c r="CV108" s="271"/>
      <c r="CW108" s="271"/>
      <c r="CX108" s="271"/>
      <c r="CY108" s="271"/>
      <c r="CZ108" s="271"/>
      <c r="DA108" s="271"/>
      <c r="DB108" s="271"/>
      <c r="DC108" s="271"/>
      <c r="DD108" s="271"/>
      <c r="DE108" s="271"/>
      <c r="DF108" s="271"/>
      <c r="DG108" s="271"/>
      <c r="DH108" s="271"/>
      <c r="DI108" s="271"/>
      <c r="DJ108" s="271"/>
      <c r="DK108" s="271"/>
      <c r="DL108" s="271"/>
      <c r="DM108" s="271"/>
      <c r="DN108" s="271"/>
      <c r="DO108" s="271"/>
      <c r="DP108" s="271"/>
      <c r="DQ108" s="271"/>
      <c r="DR108" s="271"/>
      <c r="DS108" s="271"/>
      <c r="DT108" s="271"/>
      <c r="DU108" s="271"/>
      <c r="DV108" s="271"/>
      <c r="DW108" s="271"/>
      <c r="DX108" s="271"/>
      <c r="DY108" s="271"/>
      <c r="DZ108" s="271"/>
      <c r="EA108" s="271"/>
      <c r="EB108" s="271"/>
      <c r="ED108" s="272"/>
      <c r="EE108" s="272"/>
    </row>
    <row r="109" spans="1:135" s="265" customFormat="1" ht="11.25" x14ac:dyDescent="0.2">
      <c r="A109" s="264"/>
      <c r="B109" s="364"/>
      <c r="C109" s="364"/>
      <c r="D109" s="364"/>
      <c r="F109" s="264"/>
      <c r="G109" s="421"/>
      <c r="H109" s="436"/>
      <c r="I109" s="436"/>
      <c r="J109" s="436"/>
      <c r="K109" s="436"/>
      <c r="L109" s="436"/>
      <c r="M109" s="436"/>
      <c r="P109" s="353"/>
      <c r="AH109" s="267"/>
      <c r="AS109" s="273"/>
      <c r="AT109" s="272"/>
      <c r="AU109" s="272"/>
      <c r="AV109" s="272"/>
      <c r="CI109" s="271"/>
      <c r="CJ109" s="271"/>
      <c r="CK109" s="271"/>
      <c r="CL109" s="271"/>
      <c r="CM109" s="271"/>
      <c r="CN109" s="271"/>
      <c r="CO109" s="271"/>
      <c r="CP109" s="271"/>
      <c r="CQ109" s="271"/>
      <c r="CR109" s="271"/>
      <c r="CS109" s="271"/>
      <c r="CT109" s="271"/>
      <c r="CU109" s="271"/>
      <c r="CV109" s="271"/>
      <c r="CW109" s="271"/>
      <c r="CX109" s="271"/>
      <c r="CY109" s="271"/>
      <c r="CZ109" s="271"/>
      <c r="DA109" s="271"/>
      <c r="DB109" s="271"/>
      <c r="DC109" s="271"/>
      <c r="DD109" s="271"/>
      <c r="DE109" s="271"/>
      <c r="DF109" s="271"/>
      <c r="DG109" s="271"/>
      <c r="DH109" s="271"/>
      <c r="DI109" s="271"/>
      <c r="DJ109" s="271"/>
      <c r="DK109" s="271"/>
      <c r="DL109" s="271"/>
      <c r="DM109" s="271"/>
      <c r="DN109" s="271"/>
      <c r="DO109" s="271"/>
      <c r="DP109" s="271"/>
      <c r="DQ109" s="271"/>
      <c r="DR109" s="271"/>
      <c r="DS109" s="271"/>
      <c r="DT109" s="271"/>
      <c r="DU109" s="271"/>
      <c r="DV109" s="271"/>
      <c r="DW109" s="271"/>
      <c r="DX109" s="271"/>
      <c r="DY109" s="271"/>
      <c r="DZ109" s="271"/>
      <c r="EA109" s="271"/>
      <c r="EB109" s="271"/>
      <c r="ED109" s="272"/>
      <c r="EE109" s="272"/>
    </row>
    <row r="110" spans="1:135" s="265" customFormat="1" ht="11.25" x14ac:dyDescent="0.2">
      <c r="A110" s="264"/>
      <c r="B110" s="364"/>
      <c r="C110" s="364"/>
      <c r="D110" s="364"/>
      <c r="F110" s="264"/>
      <c r="G110" s="433"/>
      <c r="H110" s="434"/>
      <c r="I110" s="434"/>
      <c r="J110" s="434"/>
      <c r="K110" s="434"/>
      <c r="L110" s="434"/>
      <c r="M110" s="434"/>
      <c r="P110" s="353"/>
      <c r="AH110" s="267"/>
      <c r="AS110" s="273"/>
      <c r="AT110" s="272"/>
      <c r="AU110" s="272"/>
      <c r="AV110" s="272"/>
      <c r="CI110" s="271"/>
      <c r="CJ110" s="271"/>
      <c r="CK110" s="271"/>
      <c r="CL110" s="271"/>
      <c r="CM110" s="271"/>
      <c r="CN110" s="271"/>
      <c r="CO110" s="271"/>
      <c r="CP110" s="271"/>
      <c r="CQ110" s="271"/>
      <c r="CR110" s="271"/>
      <c r="CS110" s="271"/>
      <c r="CT110" s="271"/>
      <c r="CU110" s="271"/>
      <c r="CV110" s="271"/>
      <c r="CW110" s="271"/>
      <c r="CX110" s="271"/>
      <c r="CY110" s="271"/>
      <c r="CZ110" s="271"/>
      <c r="DA110" s="271"/>
      <c r="DB110" s="271"/>
      <c r="DC110" s="271"/>
      <c r="DD110" s="271"/>
      <c r="DE110" s="271"/>
      <c r="DF110" s="271"/>
      <c r="DG110" s="271"/>
      <c r="DH110" s="271"/>
      <c r="DI110" s="271"/>
      <c r="DJ110" s="271"/>
      <c r="DK110" s="271"/>
      <c r="DL110" s="271"/>
      <c r="DM110" s="271"/>
      <c r="DN110" s="271"/>
      <c r="DO110" s="271"/>
      <c r="DP110" s="271"/>
      <c r="DQ110" s="271"/>
      <c r="DR110" s="271"/>
      <c r="DS110" s="271"/>
      <c r="DT110" s="271"/>
      <c r="DU110" s="271"/>
      <c r="DV110" s="271"/>
      <c r="DW110" s="271"/>
      <c r="DX110" s="271"/>
      <c r="DY110" s="271"/>
      <c r="DZ110" s="271"/>
      <c r="EA110" s="271"/>
      <c r="EB110" s="271"/>
      <c r="ED110" s="272"/>
      <c r="EE110" s="272"/>
    </row>
    <row r="111" spans="1:135" s="265" customFormat="1" ht="11.25" x14ac:dyDescent="0.2">
      <c r="A111" s="264"/>
      <c r="B111" s="364"/>
      <c r="C111" s="364"/>
      <c r="D111" s="364"/>
      <c r="F111" s="264"/>
      <c r="G111" s="433"/>
      <c r="H111" s="434"/>
      <c r="I111" s="434"/>
      <c r="J111" s="434"/>
      <c r="K111" s="434"/>
      <c r="L111" s="434"/>
      <c r="M111" s="434"/>
      <c r="P111" s="353"/>
      <c r="AH111" s="267"/>
      <c r="AS111" s="273"/>
      <c r="AT111" s="272"/>
      <c r="AU111" s="272"/>
      <c r="AV111" s="272"/>
      <c r="CI111" s="271"/>
      <c r="CJ111" s="271"/>
      <c r="CK111" s="271"/>
      <c r="CL111" s="271"/>
      <c r="CM111" s="271"/>
      <c r="CN111" s="271"/>
      <c r="CO111" s="271"/>
      <c r="CP111" s="271"/>
      <c r="CQ111" s="271"/>
      <c r="CR111" s="271"/>
      <c r="CS111" s="271"/>
      <c r="CT111" s="271"/>
      <c r="CU111" s="271"/>
      <c r="CV111" s="271"/>
      <c r="CW111" s="271"/>
      <c r="CX111" s="271"/>
      <c r="CY111" s="271"/>
      <c r="CZ111" s="271"/>
      <c r="DA111" s="271"/>
      <c r="DB111" s="271"/>
      <c r="DC111" s="271"/>
      <c r="DD111" s="271"/>
      <c r="DE111" s="271"/>
      <c r="DF111" s="271"/>
      <c r="DG111" s="271"/>
      <c r="DH111" s="271"/>
      <c r="DI111" s="271"/>
      <c r="DJ111" s="271"/>
      <c r="DK111" s="271"/>
      <c r="DL111" s="271"/>
      <c r="DM111" s="271"/>
      <c r="DN111" s="271"/>
      <c r="DO111" s="271"/>
      <c r="DP111" s="271"/>
      <c r="DQ111" s="271"/>
      <c r="DR111" s="271"/>
      <c r="DS111" s="271"/>
      <c r="DT111" s="271"/>
      <c r="DU111" s="271"/>
      <c r="DV111" s="271"/>
      <c r="DW111" s="271"/>
      <c r="DX111" s="271"/>
      <c r="DY111" s="271"/>
      <c r="DZ111" s="271"/>
      <c r="EA111" s="271"/>
      <c r="EB111" s="271"/>
      <c r="ED111" s="272"/>
      <c r="EE111" s="272"/>
    </row>
    <row r="112" spans="1:135" s="265" customFormat="1" ht="11.25" x14ac:dyDescent="0.2">
      <c r="A112" s="264"/>
      <c r="B112" s="364"/>
      <c r="C112" s="364"/>
      <c r="D112" s="364"/>
      <c r="F112" s="264"/>
      <c r="G112" s="435"/>
      <c r="H112" s="434"/>
      <c r="I112" s="434"/>
      <c r="J112" s="434"/>
      <c r="K112" s="434"/>
      <c r="L112" s="434"/>
      <c r="M112" s="434"/>
      <c r="P112" s="353"/>
      <c r="AH112" s="267"/>
      <c r="AS112" s="273"/>
      <c r="AT112" s="272"/>
      <c r="AU112" s="272"/>
      <c r="AV112" s="272"/>
      <c r="CI112" s="271"/>
      <c r="CJ112" s="271"/>
      <c r="CK112" s="271"/>
      <c r="CL112" s="271"/>
      <c r="CM112" s="271"/>
      <c r="CN112" s="271"/>
      <c r="CO112" s="271"/>
      <c r="CP112" s="271"/>
      <c r="CQ112" s="271"/>
      <c r="CR112" s="271"/>
      <c r="CS112" s="271"/>
      <c r="CT112" s="271"/>
      <c r="CU112" s="271"/>
      <c r="CV112" s="271"/>
      <c r="CW112" s="271"/>
      <c r="CX112" s="271"/>
      <c r="CY112" s="271"/>
      <c r="CZ112" s="271"/>
      <c r="DA112" s="271"/>
      <c r="DB112" s="271"/>
      <c r="DC112" s="271"/>
      <c r="DD112" s="271"/>
      <c r="DE112" s="271"/>
      <c r="DF112" s="271"/>
      <c r="DG112" s="271"/>
      <c r="DH112" s="271"/>
      <c r="DI112" s="271"/>
      <c r="DJ112" s="271"/>
      <c r="DK112" s="271"/>
      <c r="DL112" s="271"/>
      <c r="DM112" s="271"/>
      <c r="DN112" s="271"/>
      <c r="DO112" s="271"/>
      <c r="DP112" s="271"/>
      <c r="DQ112" s="271"/>
      <c r="DR112" s="271"/>
      <c r="DS112" s="271"/>
      <c r="DT112" s="271"/>
      <c r="DU112" s="271"/>
      <c r="DV112" s="271"/>
      <c r="DW112" s="271"/>
      <c r="DX112" s="271"/>
      <c r="DY112" s="271"/>
      <c r="DZ112" s="271"/>
      <c r="EA112" s="271"/>
      <c r="EB112" s="271"/>
      <c r="ED112" s="272"/>
      <c r="EE112" s="272"/>
    </row>
    <row r="113" spans="1:135" s="265" customFormat="1" ht="11.25" x14ac:dyDescent="0.2">
      <c r="A113" s="264"/>
      <c r="B113" s="364"/>
      <c r="C113" s="364"/>
      <c r="D113" s="364"/>
      <c r="F113" s="264"/>
      <c r="G113" s="435"/>
      <c r="H113" s="434"/>
      <c r="I113" s="434"/>
      <c r="J113" s="434"/>
      <c r="K113" s="434"/>
      <c r="L113" s="434"/>
      <c r="M113" s="434"/>
      <c r="P113" s="353"/>
      <c r="AH113" s="267"/>
      <c r="AS113" s="273"/>
      <c r="AT113" s="272"/>
      <c r="AU113" s="272"/>
      <c r="AV113" s="272"/>
      <c r="CI113" s="271"/>
      <c r="CJ113" s="271"/>
      <c r="CK113" s="271"/>
      <c r="CL113" s="271"/>
      <c r="CM113" s="271"/>
      <c r="CN113" s="271"/>
      <c r="CO113" s="271"/>
      <c r="CP113" s="271"/>
      <c r="CQ113" s="271"/>
      <c r="CR113" s="271"/>
      <c r="CS113" s="271"/>
      <c r="CT113" s="271"/>
      <c r="CU113" s="271"/>
      <c r="CV113" s="271"/>
      <c r="CW113" s="271"/>
      <c r="CX113" s="271"/>
      <c r="CY113" s="271"/>
      <c r="CZ113" s="271"/>
      <c r="DA113" s="271"/>
      <c r="DB113" s="271"/>
      <c r="DC113" s="271"/>
      <c r="DD113" s="271"/>
      <c r="DE113" s="271"/>
      <c r="DF113" s="271"/>
      <c r="DG113" s="271"/>
      <c r="DH113" s="271"/>
      <c r="DI113" s="271"/>
      <c r="DJ113" s="271"/>
      <c r="DK113" s="271"/>
      <c r="DL113" s="271"/>
      <c r="DM113" s="271"/>
      <c r="DN113" s="271"/>
      <c r="DO113" s="271"/>
      <c r="DP113" s="271"/>
      <c r="DQ113" s="271"/>
      <c r="DR113" s="271"/>
      <c r="DS113" s="271"/>
      <c r="DT113" s="271"/>
      <c r="DU113" s="271"/>
      <c r="DV113" s="271"/>
      <c r="DW113" s="271"/>
      <c r="DX113" s="271"/>
      <c r="DY113" s="271"/>
      <c r="DZ113" s="271"/>
      <c r="EA113" s="271"/>
      <c r="EB113" s="271"/>
      <c r="ED113" s="272"/>
      <c r="EE113" s="272"/>
    </row>
    <row r="114" spans="1:135" s="265" customFormat="1" ht="11.25" x14ac:dyDescent="0.2">
      <c r="A114" s="264"/>
      <c r="B114" s="364"/>
      <c r="C114" s="364"/>
      <c r="D114" s="364"/>
      <c r="F114" s="264"/>
      <c r="G114" s="435"/>
      <c r="H114" s="434"/>
      <c r="I114" s="434"/>
      <c r="J114" s="434"/>
      <c r="K114" s="434"/>
      <c r="L114" s="434"/>
      <c r="M114" s="434"/>
      <c r="P114" s="353"/>
      <c r="AH114" s="267"/>
      <c r="AS114" s="273"/>
      <c r="AT114" s="272"/>
      <c r="AU114" s="272"/>
      <c r="AV114" s="272"/>
      <c r="CI114" s="271"/>
      <c r="CJ114" s="271"/>
      <c r="CK114" s="271"/>
      <c r="CL114" s="271"/>
      <c r="CM114" s="271"/>
      <c r="CN114" s="271"/>
      <c r="CO114" s="271"/>
      <c r="CP114" s="271"/>
      <c r="CQ114" s="271"/>
      <c r="CR114" s="271"/>
      <c r="CS114" s="271"/>
      <c r="CT114" s="271"/>
      <c r="CU114" s="271"/>
      <c r="CV114" s="271"/>
      <c r="CW114" s="271"/>
      <c r="CX114" s="271"/>
      <c r="CY114" s="271"/>
      <c r="CZ114" s="271"/>
      <c r="DA114" s="271"/>
      <c r="DB114" s="271"/>
      <c r="DC114" s="271"/>
      <c r="DD114" s="271"/>
      <c r="DE114" s="271"/>
      <c r="DF114" s="271"/>
      <c r="DG114" s="271"/>
      <c r="DH114" s="271"/>
      <c r="DI114" s="271"/>
      <c r="DJ114" s="271"/>
      <c r="DK114" s="271"/>
      <c r="DL114" s="271"/>
      <c r="DM114" s="271"/>
      <c r="DN114" s="271"/>
      <c r="DO114" s="271"/>
      <c r="DP114" s="271"/>
      <c r="DQ114" s="271"/>
      <c r="DR114" s="271"/>
      <c r="DS114" s="271"/>
      <c r="DT114" s="271"/>
      <c r="DU114" s="271"/>
      <c r="DV114" s="271"/>
      <c r="DW114" s="271"/>
      <c r="DX114" s="271"/>
      <c r="DY114" s="271"/>
      <c r="DZ114" s="271"/>
      <c r="EA114" s="271"/>
      <c r="EB114" s="271"/>
      <c r="ED114" s="272"/>
      <c r="EE114" s="272"/>
    </row>
    <row r="115" spans="1:135" s="265" customFormat="1" ht="11.25" x14ac:dyDescent="0.2">
      <c r="A115" s="264"/>
      <c r="B115" s="364"/>
      <c r="C115" s="364"/>
      <c r="D115" s="364"/>
      <c r="F115" s="264"/>
      <c r="G115" s="266"/>
      <c r="P115" s="353"/>
      <c r="AH115" s="267"/>
      <c r="AS115" s="273"/>
      <c r="AT115" s="272"/>
      <c r="AU115" s="272"/>
      <c r="AV115" s="272"/>
      <c r="CI115" s="271"/>
      <c r="CJ115" s="271"/>
      <c r="CK115" s="271"/>
      <c r="CL115" s="271"/>
      <c r="CM115" s="271"/>
      <c r="CN115" s="271"/>
      <c r="CO115" s="271"/>
      <c r="CP115" s="271"/>
      <c r="CQ115" s="271"/>
      <c r="CR115" s="271"/>
      <c r="CS115" s="271"/>
      <c r="CT115" s="271"/>
      <c r="CU115" s="271"/>
      <c r="CV115" s="271"/>
      <c r="CW115" s="271"/>
      <c r="CX115" s="271"/>
      <c r="CY115" s="271"/>
      <c r="CZ115" s="271"/>
      <c r="DA115" s="271"/>
      <c r="DB115" s="271"/>
      <c r="DC115" s="271"/>
      <c r="DD115" s="271"/>
      <c r="DE115" s="271"/>
      <c r="DF115" s="271"/>
      <c r="DG115" s="271"/>
      <c r="DH115" s="271"/>
      <c r="DI115" s="271"/>
      <c r="DJ115" s="271"/>
      <c r="DK115" s="271"/>
      <c r="DL115" s="271"/>
      <c r="DM115" s="271"/>
      <c r="DN115" s="271"/>
      <c r="DO115" s="271"/>
      <c r="DP115" s="271"/>
      <c r="DQ115" s="271"/>
      <c r="DR115" s="271"/>
      <c r="DS115" s="271"/>
      <c r="DT115" s="271"/>
      <c r="DU115" s="271"/>
      <c r="DV115" s="271"/>
      <c r="DW115" s="271"/>
      <c r="DX115" s="271"/>
      <c r="DY115" s="271"/>
      <c r="DZ115" s="271"/>
      <c r="EA115" s="271"/>
      <c r="EB115" s="271"/>
      <c r="ED115" s="272"/>
      <c r="EE115" s="272"/>
    </row>
    <row r="116" spans="1:135" s="265" customFormat="1" ht="11.25" x14ac:dyDescent="0.2">
      <c r="A116" s="264"/>
      <c r="B116" s="364"/>
      <c r="C116" s="364"/>
      <c r="D116" s="364"/>
      <c r="F116" s="264"/>
      <c r="G116" s="933"/>
      <c r="H116" s="934"/>
      <c r="I116" s="934"/>
      <c r="J116" s="274"/>
      <c r="K116" s="274"/>
      <c r="O116" s="933"/>
      <c r="P116" s="933"/>
      <c r="Q116" s="933"/>
      <c r="R116" s="933"/>
      <c r="S116" s="934"/>
      <c r="T116" s="934"/>
      <c r="AH116" s="267"/>
      <c r="AS116" s="273"/>
      <c r="AT116" s="272"/>
      <c r="AU116" s="272"/>
      <c r="AV116" s="272"/>
      <c r="CI116" s="271"/>
      <c r="CJ116" s="271"/>
      <c r="CK116" s="271"/>
      <c r="CL116" s="271"/>
      <c r="CM116" s="271"/>
      <c r="CN116" s="271"/>
      <c r="CO116" s="271"/>
      <c r="CP116" s="271"/>
      <c r="CQ116" s="271"/>
      <c r="CR116" s="271"/>
      <c r="CS116" s="271"/>
      <c r="CT116" s="271"/>
      <c r="CU116" s="271"/>
      <c r="CV116" s="271"/>
      <c r="CW116" s="271"/>
      <c r="CX116" s="271"/>
      <c r="CY116" s="271"/>
      <c r="CZ116" s="271"/>
      <c r="DA116" s="271"/>
      <c r="DB116" s="271"/>
      <c r="DC116" s="271"/>
      <c r="DD116" s="271"/>
      <c r="DE116" s="271"/>
      <c r="DF116" s="271"/>
      <c r="DG116" s="271"/>
      <c r="DH116" s="271"/>
      <c r="DI116" s="271"/>
      <c r="DJ116" s="271"/>
      <c r="DK116" s="271"/>
      <c r="DL116" s="271"/>
      <c r="DM116" s="271"/>
      <c r="DN116" s="271"/>
      <c r="DO116" s="271"/>
      <c r="DP116" s="271"/>
      <c r="DQ116" s="271"/>
      <c r="DR116" s="271"/>
      <c r="DS116" s="271"/>
      <c r="DT116" s="271"/>
      <c r="DU116" s="271"/>
      <c r="DV116" s="271"/>
      <c r="DW116" s="271"/>
      <c r="DX116" s="271"/>
      <c r="DY116" s="271"/>
      <c r="DZ116" s="271"/>
      <c r="EA116" s="271"/>
      <c r="EB116" s="271"/>
      <c r="ED116" s="272"/>
      <c r="EE116" s="272"/>
    </row>
    <row r="117" spans="1:135" s="265" customFormat="1" ht="11.25" x14ac:dyDescent="0.2">
      <c r="A117" s="264"/>
      <c r="B117" s="364"/>
      <c r="C117" s="364"/>
      <c r="D117" s="364"/>
      <c r="F117" s="264"/>
      <c r="G117" s="333"/>
      <c r="H117" s="333"/>
      <c r="I117" s="333"/>
      <c r="J117" s="275"/>
      <c r="K117" s="275"/>
      <c r="O117" s="333"/>
      <c r="P117" s="333"/>
      <c r="Q117" s="333"/>
      <c r="R117" s="333"/>
      <c r="S117" s="333"/>
      <c r="T117" s="333"/>
      <c r="AD117" s="267"/>
      <c r="AQ117" s="273"/>
      <c r="AR117" s="272"/>
      <c r="AS117" s="272"/>
      <c r="AT117" s="272"/>
      <c r="CG117" s="271"/>
      <c r="CH117" s="271"/>
      <c r="CI117" s="271"/>
      <c r="CJ117" s="271"/>
      <c r="CK117" s="271"/>
      <c r="CL117" s="271"/>
      <c r="CM117" s="271"/>
      <c r="CN117" s="271"/>
      <c r="CO117" s="271"/>
      <c r="CP117" s="271"/>
      <c r="CQ117" s="271"/>
      <c r="CR117" s="271"/>
      <c r="CS117" s="271"/>
      <c r="CT117" s="271"/>
      <c r="CU117" s="271"/>
      <c r="CV117" s="271"/>
      <c r="CW117" s="271"/>
      <c r="CX117" s="271"/>
      <c r="CY117" s="271"/>
      <c r="CZ117" s="271"/>
      <c r="DA117" s="271"/>
      <c r="DB117" s="271"/>
      <c r="DC117" s="271"/>
      <c r="DD117" s="271"/>
      <c r="DE117" s="271"/>
      <c r="DF117" s="271"/>
      <c r="DG117" s="271"/>
      <c r="DH117" s="271"/>
      <c r="DI117" s="271"/>
      <c r="DJ117" s="271"/>
      <c r="DK117" s="271"/>
      <c r="DL117" s="271"/>
      <c r="DM117" s="271"/>
      <c r="DN117" s="271"/>
      <c r="DO117" s="271"/>
      <c r="DP117" s="271"/>
      <c r="DQ117" s="271"/>
      <c r="DR117" s="271"/>
      <c r="DS117" s="271"/>
      <c r="DT117" s="271"/>
      <c r="DU117" s="271"/>
      <c r="DV117" s="271"/>
      <c r="DW117" s="271"/>
      <c r="DX117" s="271"/>
      <c r="DY117" s="271"/>
      <c r="DZ117" s="271"/>
      <c r="EB117" s="272"/>
      <c r="EC117" s="272"/>
    </row>
    <row r="118" spans="1:135" s="265" customFormat="1" ht="11.25" x14ac:dyDescent="0.2">
      <c r="A118" s="264"/>
      <c r="B118" s="364"/>
      <c r="C118" s="364"/>
      <c r="D118" s="364"/>
      <c r="F118" s="264"/>
      <c r="G118" s="414"/>
      <c r="H118" s="334"/>
      <c r="I118" s="334"/>
      <c r="O118" s="414"/>
      <c r="P118" s="425"/>
      <c r="Q118" s="414"/>
      <c r="R118" s="414"/>
      <c r="S118" s="334"/>
      <c r="T118" s="334"/>
      <c r="AD118" s="267"/>
      <c r="AQ118" s="273"/>
      <c r="AR118" s="272"/>
      <c r="AS118" s="272"/>
      <c r="AT118" s="272"/>
      <c r="CG118" s="271"/>
      <c r="CH118" s="271"/>
      <c r="CI118" s="271"/>
      <c r="CJ118" s="271"/>
      <c r="CK118" s="271"/>
      <c r="CL118" s="271"/>
      <c r="CM118" s="271"/>
      <c r="CN118" s="271"/>
      <c r="CO118" s="271"/>
      <c r="CP118" s="271"/>
      <c r="CQ118" s="271"/>
      <c r="CR118" s="271"/>
      <c r="CS118" s="271"/>
      <c r="CT118" s="271"/>
      <c r="CU118" s="271"/>
      <c r="CV118" s="271"/>
      <c r="CW118" s="271"/>
      <c r="CX118" s="271"/>
      <c r="CY118" s="271"/>
      <c r="CZ118" s="271"/>
      <c r="DA118" s="271"/>
      <c r="DB118" s="271"/>
      <c r="DC118" s="271"/>
      <c r="DD118" s="271"/>
      <c r="DE118" s="271"/>
      <c r="DF118" s="271"/>
      <c r="DG118" s="271"/>
      <c r="DH118" s="271"/>
      <c r="DI118" s="271"/>
      <c r="DJ118" s="271"/>
      <c r="DK118" s="271"/>
      <c r="DL118" s="271"/>
      <c r="DM118" s="271"/>
      <c r="DN118" s="271"/>
      <c r="DO118" s="271"/>
      <c r="DP118" s="271"/>
      <c r="DQ118" s="271"/>
      <c r="DR118" s="271"/>
      <c r="DS118" s="271"/>
      <c r="DT118" s="271"/>
      <c r="DU118" s="271"/>
      <c r="DV118" s="271"/>
      <c r="DW118" s="271"/>
      <c r="DX118" s="271"/>
      <c r="DY118" s="271"/>
      <c r="DZ118" s="271"/>
      <c r="EB118" s="272"/>
      <c r="EC118" s="272"/>
    </row>
    <row r="119" spans="1:135" s="265" customFormat="1" ht="11.25" x14ac:dyDescent="0.2">
      <c r="A119" s="264"/>
      <c r="B119" s="364"/>
      <c r="C119" s="364"/>
      <c r="D119" s="364"/>
      <c r="F119" s="264"/>
      <c r="G119" s="414"/>
      <c r="H119" s="334"/>
      <c r="I119" s="334"/>
      <c r="O119" s="414"/>
      <c r="P119" s="425"/>
      <c r="Q119" s="414"/>
      <c r="R119" s="414"/>
      <c r="S119" s="334"/>
      <c r="T119" s="334"/>
      <c r="AD119" s="267"/>
      <c r="AQ119" s="273"/>
      <c r="AR119" s="272"/>
      <c r="AS119" s="272"/>
      <c r="AT119" s="272"/>
      <c r="CG119" s="271"/>
      <c r="CH119" s="271"/>
      <c r="CI119" s="271"/>
      <c r="CJ119" s="271"/>
      <c r="CK119" s="271"/>
      <c r="CL119" s="271"/>
      <c r="CM119" s="271"/>
      <c r="CN119" s="271"/>
      <c r="CO119" s="271"/>
      <c r="CP119" s="271"/>
      <c r="CQ119" s="271"/>
      <c r="CR119" s="271"/>
      <c r="CS119" s="271"/>
      <c r="CT119" s="271"/>
      <c r="CU119" s="271"/>
      <c r="CV119" s="271"/>
      <c r="CW119" s="271"/>
      <c r="CX119" s="271"/>
      <c r="CY119" s="271"/>
      <c r="CZ119" s="271"/>
      <c r="DA119" s="271"/>
      <c r="DB119" s="271"/>
      <c r="DC119" s="271"/>
      <c r="DD119" s="271"/>
      <c r="DE119" s="271"/>
      <c r="DF119" s="271"/>
      <c r="DG119" s="271"/>
      <c r="DH119" s="271"/>
      <c r="DI119" s="271"/>
      <c r="DJ119" s="271"/>
      <c r="DK119" s="271"/>
      <c r="DL119" s="271"/>
      <c r="DM119" s="271"/>
      <c r="DN119" s="271"/>
      <c r="DO119" s="271"/>
      <c r="DP119" s="271"/>
      <c r="DQ119" s="271"/>
      <c r="DR119" s="271"/>
      <c r="DS119" s="271"/>
      <c r="DT119" s="271"/>
      <c r="DU119" s="271"/>
      <c r="DV119" s="271"/>
      <c r="DW119" s="271"/>
      <c r="DX119" s="271"/>
      <c r="DY119" s="271"/>
      <c r="DZ119" s="271"/>
      <c r="EB119" s="272"/>
      <c r="EC119" s="272"/>
    </row>
    <row r="120" spans="1:135" s="265" customFormat="1" ht="11.25" x14ac:dyDescent="0.2">
      <c r="A120" s="264"/>
      <c r="B120" s="364"/>
      <c r="C120" s="364"/>
      <c r="D120" s="364"/>
      <c r="F120" s="264"/>
      <c r="G120" s="414"/>
      <c r="H120" s="334"/>
      <c r="I120" s="334"/>
      <c r="O120" s="414"/>
      <c r="P120" s="425"/>
      <c r="Q120" s="414"/>
      <c r="R120" s="414"/>
      <c r="S120" s="334"/>
      <c r="T120" s="334"/>
      <c r="AD120" s="267"/>
      <c r="AQ120" s="273"/>
      <c r="AR120" s="272"/>
      <c r="AS120" s="272"/>
      <c r="AT120" s="272"/>
      <c r="CG120" s="271"/>
      <c r="CH120" s="271"/>
      <c r="CI120" s="271"/>
      <c r="CJ120" s="271"/>
      <c r="CK120" s="271"/>
      <c r="CL120" s="271"/>
      <c r="CM120" s="271"/>
      <c r="CN120" s="271"/>
      <c r="CO120" s="271"/>
      <c r="CP120" s="271"/>
      <c r="CQ120" s="271"/>
      <c r="CR120" s="271"/>
      <c r="CS120" s="271"/>
      <c r="CT120" s="271"/>
      <c r="CU120" s="271"/>
      <c r="CV120" s="271"/>
      <c r="CW120" s="271"/>
      <c r="CX120" s="271"/>
      <c r="CY120" s="271"/>
      <c r="CZ120" s="271"/>
      <c r="DA120" s="271"/>
      <c r="DB120" s="271"/>
      <c r="DC120" s="271"/>
      <c r="DD120" s="271"/>
      <c r="DE120" s="271"/>
      <c r="DF120" s="271"/>
      <c r="DG120" s="271"/>
      <c r="DH120" s="271"/>
      <c r="DI120" s="271"/>
      <c r="DJ120" s="271"/>
      <c r="DK120" s="271"/>
      <c r="DL120" s="271"/>
      <c r="DM120" s="271"/>
      <c r="DN120" s="271"/>
      <c r="DO120" s="271"/>
      <c r="DP120" s="271"/>
      <c r="DQ120" s="271"/>
      <c r="DR120" s="271"/>
      <c r="DS120" s="271"/>
      <c r="DT120" s="271"/>
      <c r="DU120" s="271"/>
      <c r="DV120" s="271"/>
      <c r="DW120" s="271"/>
      <c r="DX120" s="271"/>
      <c r="DY120" s="271"/>
      <c r="DZ120" s="271"/>
      <c r="EB120" s="272"/>
      <c r="EC120" s="272"/>
    </row>
    <row r="121" spans="1:135" s="265" customFormat="1" ht="11.25" x14ac:dyDescent="0.2">
      <c r="A121" s="264"/>
      <c r="B121" s="364"/>
      <c r="C121" s="364"/>
      <c r="D121" s="364"/>
      <c r="F121" s="264"/>
      <c r="G121" s="414"/>
      <c r="H121" s="334"/>
      <c r="I121" s="334"/>
      <c r="O121" s="414"/>
      <c r="P121" s="425"/>
      <c r="Q121" s="414"/>
      <c r="R121" s="414"/>
      <c r="S121" s="334"/>
      <c r="T121" s="334"/>
      <c r="AD121" s="267"/>
      <c r="AQ121" s="273"/>
      <c r="AR121" s="272"/>
      <c r="AS121" s="272"/>
      <c r="AT121" s="272"/>
      <c r="CG121" s="271"/>
      <c r="CH121" s="271"/>
      <c r="CI121" s="271"/>
      <c r="CJ121" s="271"/>
      <c r="CK121" s="271"/>
      <c r="CL121" s="271"/>
      <c r="CM121" s="271"/>
      <c r="CN121" s="271"/>
      <c r="CO121" s="271"/>
      <c r="CP121" s="271"/>
      <c r="CQ121" s="271"/>
      <c r="CR121" s="271"/>
      <c r="CS121" s="271"/>
      <c r="CT121" s="271"/>
      <c r="CU121" s="271"/>
      <c r="CV121" s="271"/>
      <c r="CW121" s="271"/>
      <c r="CX121" s="271"/>
      <c r="CY121" s="271"/>
      <c r="CZ121" s="271"/>
      <c r="DA121" s="271"/>
      <c r="DB121" s="271"/>
      <c r="DC121" s="271"/>
      <c r="DD121" s="271"/>
      <c r="DE121" s="271"/>
      <c r="DF121" s="271"/>
      <c r="DG121" s="271"/>
      <c r="DH121" s="271"/>
      <c r="DI121" s="271"/>
      <c r="DJ121" s="271"/>
      <c r="DK121" s="271"/>
      <c r="DL121" s="271"/>
      <c r="DM121" s="271"/>
      <c r="DN121" s="271"/>
      <c r="DO121" s="271"/>
      <c r="DP121" s="271"/>
      <c r="DQ121" s="271"/>
      <c r="DR121" s="271"/>
      <c r="DS121" s="271"/>
      <c r="DT121" s="271"/>
      <c r="DU121" s="271"/>
      <c r="DV121" s="271"/>
      <c r="DW121" s="271"/>
      <c r="DX121" s="271"/>
      <c r="DY121" s="271"/>
      <c r="DZ121" s="271"/>
      <c r="EB121" s="272"/>
      <c r="EC121" s="272"/>
    </row>
    <row r="122" spans="1:135" s="265" customFormat="1" ht="11.25" x14ac:dyDescent="0.2">
      <c r="A122" s="264"/>
      <c r="B122" s="364"/>
      <c r="C122" s="364"/>
      <c r="D122" s="364"/>
      <c r="F122" s="264"/>
      <c r="G122" s="414"/>
      <c r="H122" s="334"/>
      <c r="I122" s="334"/>
      <c r="K122" s="271"/>
      <c r="O122" s="414"/>
      <c r="P122" s="425"/>
      <c r="Q122" s="414"/>
      <c r="R122" s="414"/>
      <c r="S122" s="334"/>
      <c r="T122" s="334"/>
      <c r="AD122" s="267"/>
      <c r="AQ122" s="273"/>
      <c r="AR122" s="272"/>
      <c r="AS122" s="272"/>
      <c r="AT122" s="272"/>
      <c r="CG122" s="271"/>
      <c r="CH122" s="271"/>
      <c r="CI122" s="271"/>
      <c r="CJ122" s="271"/>
      <c r="CK122" s="271"/>
      <c r="CL122" s="271"/>
      <c r="CM122" s="271"/>
      <c r="CN122" s="271"/>
      <c r="CO122" s="271"/>
      <c r="CP122" s="271"/>
      <c r="CQ122" s="271"/>
      <c r="CR122" s="271"/>
      <c r="CS122" s="271"/>
      <c r="CT122" s="271"/>
      <c r="CU122" s="271"/>
      <c r="CV122" s="271"/>
      <c r="CW122" s="271"/>
      <c r="CX122" s="271"/>
      <c r="CY122" s="271"/>
      <c r="CZ122" s="271"/>
      <c r="DA122" s="271"/>
      <c r="DB122" s="271"/>
      <c r="DC122" s="271"/>
      <c r="DD122" s="271"/>
      <c r="DE122" s="271"/>
      <c r="DF122" s="271"/>
      <c r="DG122" s="271"/>
      <c r="DH122" s="271"/>
      <c r="DI122" s="271"/>
      <c r="DJ122" s="271"/>
      <c r="DK122" s="271"/>
      <c r="DL122" s="271"/>
      <c r="DM122" s="271"/>
      <c r="DN122" s="271"/>
      <c r="DO122" s="271"/>
      <c r="DP122" s="271"/>
      <c r="DQ122" s="271"/>
      <c r="DR122" s="271"/>
      <c r="DS122" s="271"/>
      <c r="DT122" s="271"/>
      <c r="DU122" s="271"/>
      <c r="DV122" s="271"/>
      <c r="DW122" s="271"/>
      <c r="DX122" s="271"/>
      <c r="DY122" s="271"/>
      <c r="DZ122" s="271"/>
      <c r="EB122" s="272"/>
      <c r="EC122" s="272"/>
    </row>
    <row r="123" spans="1:135" s="265" customFormat="1" ht="11.25" x14ac:dyDescent="0.2">
      <c r="A123" s="264"/>
      <c r="B123" s="364"/>
      <c r="C123" s="364"/>
      <c r="D123" s="364"/>
      <c r="F123" s="264"/>
      <c r="G123" s="416"/>
      <c r="H123" s="335"/>
      <c r="I123" s="335"/>
      <c r="O123" s="416"/>
      <c r="P123" s="333"/>
      <c r="Q123" s="416"/>
      <c r="R123" s="416"/>
      <c r="S123" s="335"/>
      <c r="T123" s="335"/>
      <c r="AD123" s="267"/>
      <c r="AQ123" s="273"/>
      <c r="AR123" s="272"/>
      <c r="AS123" s="272"/>
      <c r="AT123" s="272"/>
      <c r="CG123" s="271"/>
      <c r="CH123" s="271"/>
      <c r="CI123" s="271"/>
      <c r="CJ123" s="271"/>
      <c r="CK123" s="271"/>
      <c r="CL123" s="271"/>
      <c r="CM123" s="271"/>
      <c r="CN123" s="271"/>
      <c r="CO123" s="271"/>
      <c r="CP123" s="271"/>
      <c r="CQ123" s="271"/>
      <c r="CR123" s="271"/>
      <c r="CS123" s="271"/>
      <c r="CT123" s="271"/>
      <c r="CU123" s="271"/>
      <c r="CV123" s="271"/>
      <c r="CW123" s="271"/>
      <c r="CX123" s="271"/>
      <c r="CY123" s="271"/>
      <c r="CZ123" s="271"/>
      <c r="DA123" s="271"/>
      <c r="DB123" s="271"/>
      <c r="DC123" s="271"/>
      <c r="DD123" s="271"/>
      <c r="DE123" s="271"/>
      <c r="DF123" s="271"/>
      <c r="DG123" s="271"/>
      <c r="DH123" s="271"/>
      <c r="DI123" s="271"/>
      <c r="DJ123" s="271"/>
      <c r="DK123" s="271"/>
      <c r="DL123" s="271"/>
      <c r="DM123" s="271"/>
      <c r="DN123" s="271"/>
      <c r="DO123" s="271"/>
      <c r="DP123" s="271"/>
      <c r="DQ123" s="271"/>
      <c r="DR123" s="271"/>
      <c r="DS123" s="271"/>
      <c r="DT123" s="271"/>
      <c r="DU123" s="271"/>
      <c r="DV123" s="271"/>
      <c r="DW123" s="271"/>
      <c r="DX123" s="271"/>
      <c r="DY123" s="271"/>
      <c r="DZ123" s="271"/>
      <c r="EB123" s="272"/>
      <c r="EC123" s="272"/>
    </row>
    <row r="124" spans="1:135" s="265" customFormat="1" ht="11.25" x14ac:dyDescent="0.2">
      <c r="A124" s="264"/>
      <c r="B124" s="364"/>
      <c r="C124" s="364"/>
      <c r="D124" s="364"/>
      <c r="F124" s="264"/>
      <c r="G124" s="266"/>
      <c r="P124" s="353"/>
      <c r="AH124" s="267"/>
      <c r="AS124" s="273"/>
      <c r="AT124" s="272"/>
      <c r="AU124" s="272"/>
      <c r="AV124" s="272"/>
      <c r="CI124" s="271"/>
      <c r="CJ124" s="271"/>
      <c r="CK124" s="271"/>
      <c r="CL124" s="271"/>
      <c r="CM124" s="271"/>
      <c r="CN124" s="271"/>
      <c r="CO124" s="271"/>
      <c r="CP124" s="271"/>
      <c r="CQ124" s="271"/>
      <c r="CR124" s="271"/>
      <c r="CS124" s="271"/>
      <c r="CT124" s="271"/>
      <c r="CU124" s="271"/>
      <c r="CV124" s="271"/>
      <c r="CW124" s="271"/>
      <c r="CX124" s="271"/>
      <c r="CY124" s="271"/>
      <c r="CZ124" s="271"/>
      <c r="DA124" s="271"/>
      <c r="DB124" s="271"/>
      <c r="DC124" s="271"/>
      <c r="DD124" s="271"/>
      <c r="DE124" s="271"/>
      <c r="DF124" s="271"/>
      <c r="DG124" s="271"/>
      <c r="DH124" s="271"/>
      <c r="DI124" s="271"/>
      <c r="DJ124" s="271"/>
      <c r="DK124" s="271"/>
      <c r="DL124" s="271"/>
      <c r="DM124" s="271"/>
      <c r="DN124" s="271"/>
      <c r="DO124" s="271"/>
      <c r="DP124" s="271"/>
      <c r="DQ124" s="271"/>
      <c r="DR124" s="271"/>
      <c r="DS124" s="271"/>
      <c r="DT124" s="271"/>
      <c r="DU124" s="271"/>
      <c r="DV124" s="271"/>
      <c r="DW124" s="271"/>
      <c r="DX124" s="271"/>
      <c r="DY124" s="271"/>
      <c r="DZ124" s="271"/>
      <c r="EA124" s="271"/>
      <c r="EB124" s="271"/>
      <c r="ED124" s="272"/>
      <c r="EE124" s="272"/>
    </row>
    <row r="125" spans="1:135" s="265" customFormat="1" ht="11.25" x14ac:dyDescent="0.2">
      <c r="A125" s="264"/>
      <c r="B125" s="364"/>
      <c r="C125" s="364"/>
      <c r="D125" s="364"/>
      <c r="F125" s="264"/>
      <c r="G125" s="266"/>
      <c r="P125" s="353"/>
      <c r="AH125" s="267"/>
      <c r="AS125" s="273"/>
      <c r="AT125" s="272"/>
      <c r="AU125" s="272"/>
      <c r="AV125" s="272"/>
      <c r="CI125" s="271"/>
      <c r="CJ125" s="271"/>
      <c r="CK125" s="271"/>
      <c r="CL125" s="271"/>
      <c r="CM125" s="271"/>
      <c r="CN125" s="271"/>
      <c r="CO125" s="271"/>
      <c r="CP125" s="271"/>
      <c r="CQ125" s="271"/>
      <c r="CR125" s="271"/>
      <c r="CS125" s="271"/>
      <c r="CT125" s="271"/>
      <c r="CU125" s="271"/>
      <c r="CV125" s="271"/>
      <c r="CW125" s="271"/>
      <c r="CX125" s="271"/>
      <c r="CY125" s="271"/>
      <c r="CZ125" s="271"/>
      <c r="DA125" s="271"/>
      <c r="DB125" s="271"/>
      <c r="DC125" s="271"/>
      <c r="DD125" s="271"/>
      <c r="DE125" s="271"/>
      <c r="DF125" s="271"/>
      <c r="DG125" s="271"/>
      <c r="DH125" s="271"/>
      <c r="DI125" s="271"/>
      <c r="DJ125" s="271"/>
      <c r="DK125" s="271"/>
      <c r="DL125" s="271"/>
      <c r="DM125" s="271"/>
      <c r="DN125" s="271"/>
      <c r="DO125" s="271"/>
      <c r="DP125" s="271"/>
      <c r="DQ125" s="271"/>
      <c r="DR125" s="271"/>
      <c r="DS125" s="271"/>
      <c r="DT125" s="271"/>
      <c r="DU125" s="271"/>
      <c r="DV125" s="271"/>
      <c r="DW125" s="271"/>
      <c r="DX125" s="271"/>
      <c r="DY125" s="271"/>
      <c r="DZ125" s="271"/>
      <c r="EA125" s="271"/>
      <c r="EB125" s="271"/>
      <c r="ED125" s="272"/>
      <c r="EE125" s="272"/>
    </row>
    <row r="126" spans="1:135" s="265" customFormat="1" ht="21.75" customHeight="1" x14ac:dyDescent="0.2">
      <c r="A126" s="264"/>
      <c r="B126" s="364"/>
      <c r="C126" s="364"/>
      <c r="D126" s="364"/>
      <c r="F126" s="264"/>
      <c r="G126" s="333"/>
      <c r="H126" s="333"/>
      <c r="I126" s="333"/>
      <c r="J126" s="333"/>
      <c r="K126" s="333"/>
      <c r="L126" s="333"/>
      <c r="M126" s="333"/>
      <c r="AH126" s="267"/>
      <c r="AS126" s="273"/>
      <c r="AT126" s="272"/>
      <c r="AU126" s="272"/>
      <c r="AV126" s="272"/>
      <c r="CI126" s="271"/>
      <c r="CJ126" s="271"/>
      <c r="CK126" s="271"/>
      <c r="CL126" s="271"/>
      <c r="CM126" s="271"/>
      <c r="CN126" s="271"/>
      <c r="CO126" s="271"/>
      <c r="CP126" s="271"/>
      <c r="CQ126" s="271"/>
      <c r="CR126" s="271"/>
      <c r="CS126" s="271"/>
      <c r="CT126" s="271"/>
      <c r="CU126" s="271"/>
      <c r="CV126" s="271"/>
      <c r="CW126" s="271"/>
      <c r="CX126" s="271"/>
      <c r="CY126" s="271"/>
      <c r="CZ126" s="271"/>
      <c r="DA126" s="271"/>
      <c r="DB126" s="271"/>
      <c r="DC126" s="271"/>
      <c r="DD126" s="271"/>
      <c r="DE126" s="271"/>
      <c r="DF126" s="271"/>
      <c r="DG126" s="271"/>
      <c r="DH126" s="271"/>
      <c r="DI126" s="271"/>
      <c r="DJ126" s="271"/>
      <c r="DK126" s="271"/>
      <c r="DL126" s="271"/>
      <c r="DM126" s="271"/>
      <c r="DN126" s="271"/>
      <c r="DO126" s="271"/>
      <c r="DP126" s="271"/>
      <c r="DQ126" s="271"/>
      <c r="DR126" s="271"/>
      <c r="DS126" s="271"/>
      <c r="DT126" s="271"/>
      <c r="DU126" s="271"/>
      <c r="DV126" s="271"/>
      <c r="DW126" s="271"/>
      <c r="DX126" s="271"/>
      <c r="DY126" s="271"/>
      <c r="DZ126" s="271"/>
      <c r="EA126" s="271"/>
      <c r="EB126" s="271"/>
      <c r="ED126" s="272"/>
      <c r="EE126" s="272"/>
    </row>
    <row r="127" spans="1:135" s="265" customFormat="1" ht="11.25" x14ac:dyDescent="0.2">
      <c r="A127" s="264"/>
      <c r="B127" s="364"/>
      <c r="C127" s="364"/>
      <c r="D127" s="364"/>
      <c r="F127" s="264"/>
      <c r="G127" s="414"/>
      <c r="H127" s="422"/>
      <c r="I127" s="422"/>
      <c r="J127" s="422"/>
      <c r="K127" s="422"/>
      <c r="L127" s="422"/>
      <c r="M127" s="431"/>
      <c r="AH127" s="267"/>
      <c r="AS127" s="273"/>
      <c r="AT127" s="272"/>
      <c r="AU127" s="272"/>
      <c r="AV127" s="272"/>
      <c r="CI127" s="271"/>
      <c r="CJ127" s="271"/>
      <c r="CK127" s="271"/>
      <c r="CL127" s="271"/>
      <c r="CM127" s="271"/>
      <c r="CN127" s="271"/>
      <c r="CO127" s="271"/>
      <c r="CP127" s="271"/>
      <c r="CQ127" s="271"/>
      <c r="CR127" s="271"/>
      <c r="CS127" s="271"/>
      <c r="CT127" s="271"/>
      <c r="CU127" s="271"/>
      <c r="CV127" s="271"/>
      <c r="CW127" s="271"/>
      <c r="CX127" s="271"/>
      <c r="CY127" s="271"/>
      <c r="CZ127" s="271"/>
      <c r="DA127" s="271"/>
      <c r="DB127" s="271"/>
      <c r="DC127" s="271"/>
      <c r="DD127" s="271"/>
      <c r="DE127" s="271"/>
      <c r="DF127" s="271"/>
      <c r="DG127" s="271"/>
      <c r="DH127" s="271"/>
      <c r="DI127" s="271"/>
      <c r="DJ127" s="271"/>
      <c r="DK127" s="271"/>
      <c r="DL127" s="271"/>
      <c r="DM127" s="271"/>
      <c r="DN127" s="271"/>
      <c r="DO127" s="271"/>
      <c r="DP127" s="271"/>
      <c r="DQ127" s="271"/>
      <c r="DR127" s="271"/>
      <c r="DS127" s="271"/>
      <c r="DT127" s="271"/>
      <c r="DU127" s="271"/>
      <c r="DV127" s="271"/>
      <c r="DW127" s="271"/>
      <c r="DX127" s="271"/>
      <c r="DY127" s="271"/>
      <c r="DZ127" s="271"/>
      <c r="EA127" s="271"/>
      <c r="EB127" s="271"/>
      <c r="ED127" s="272"/>
      <c r="EE127" s="272"/>
    </row>
    <row r="128" spans="1:135" s="265" customFormat="1" ht="11.25" x14ac:dyDescent="0.2">
      <c r="A128" s="264"/>
      <c r="B128" s="364"/>
      <c r="C128" s="364"/>
      <c r="D128" s="364"/>
      <c r="F128" s="264"/>
      <c r="G128" s="414"/>
      <c r="H128" s="422"/>
      <c r="I128" s="422"/>
      <c r="J128" s="422"/>
      <c r="K128" s="422"/>
      <c r="L128" s="422"/>
      <c r="M128" s="431"/>
      <c r="AH128" s="267"/>
      <c r="AS128" s="273"/>
      <c r="AT128" s="272"/>
      <c r="AU128" s="272"/>
      <c r="AV128" s="272"/>
      <c r="CI128" s="271"/>
      <c r="CJ128" s="271"/>
      <c r="CK128" s="271"/>
      <c r="CL128" s="271"/>
      <c r="CM128" s="271"/>
      <c r="CN128" s="271"/>
      <c r="CO128" s="271"/>
      <c r="CP128" s="271"/>
      <c r="CQ128" s="271"/>
      <c r="CR128" s="271"/>
      <c r="CS128" s="271"/>
      <c r="CT128" s="271"/>
      <c r="CU128" s="271"/>
      <c r="CV128" s="271"/>
      <c r="CW128" s="271"/>
      <c r="CX128" s="271"/>
      <c r="CY128" s="271"/>
      <c r="CZ128" s="271"/>
      <c r="DA128" s="271"/>
      <c r="DB128" s="271"/>
      <c r="DC128" s="271"/>
      <c r="DD128" s="271"/>
      <c r="DE128" s="271"/>
      <c r="DF128" s="271"/>
      <c r="DG128" s="271"/>
      <c r="DH128" s="271"/>
      <c r="DI128" s="271"/>
      <c r="DJ128" s="271"/>
      <c r="DK128" s="271"/>
      <c r="DL128" s="271"/>
      <c r="DM128" s="271"/>
      <c r="DN128" s="271"/>
      <c r="DO128" s="271"/>
      <c r="DP128" s="271"/>
      <c r="DQ128" s="271"/>
      <c r="DR128" s="271"/>
      <c r="DS128" s="271"/>
      <c r="DT128" s="271"/>
      <c r="DU128" s="271"/>
      <c r="DV128" s="271"/>
      <c r="DW128" s="271"/>
      <c r="DX128" s="271"/>
      <c r="DY128" s="271"/>
      <c r="DZ128" s="271"/>
      <c r="EA128" s="271"/>
      <c r="EB128" s="271"/>
      <c r="ED128" s="272"/>
      <c r="EE128" s="272"/>
    </row>
    <row r="129" spans="1:135" s="265" customFormat="1" ht="11.25" x14ac:dyDescent="0.2">
      <c r="A129" s="264"/>
      <c r="B129" s="364"/>
      <c r="C129" s="364"/>
      <c r="D129" s="364"/>
      <c r="F129" s="264"/>
      <c r="G129" s="414"/>
      <c r="H129" s="422"/>
      <c r="I129" s="422"/>
      <c r="J129" s="422"/>
      <c r="K129" s="422"/>
      <c r="L129" s="422"/>
      <c r="M129" s="431"/>
      <c r="AH129" s="267"/>
      <c r="AS129" s="273"/>
      <c r="AT129" s="272"/>
      <c r="AU129" s="272"/>
      <c r="AV129" s="272"/>
      <c r="CI129" s="271"/>
      <c r="CJ129" s="271"/>
      <c r="CK129" s="271"/>
      <c r="CL129" s="271"/>
      <c r="CM129" s="271"/>
      <c r="CN129" s="271"/>
      <c r="CO129" s="271"/>
      <c r="CP129" s="271"/>
      <c r="CQ129" s="271"/>
      <c r="CR129" s="271"/>
      <c r="CS129" s="271"/>
      <c r="CT129" s="271"/>
      <c r="CU129" s="271"/>
      <c r="CV129" s="271"/>
      <c r="CW129" s="271"/>
      <c r="CX129" s="271"/>
      <c r="CY129" s="271"/>
      <c r="CZ129" s="271"/>
      <c r="DA129" s="271"/>
      <c r="DB129" s="271"/>
      <c r="DC129" s="271"/>
      <c r="DD129" s="271"/>
      <c r="DE129" s="271"/>
      <c r="DF129" s="271"/>
      <c r="DG129" s="271"/>
      <c r="DH129" s="271"/>
      <c r="DI129" s="271"/>
      <c r="DJ129" s="271"/>
      <c r="DK129" s="271"/>
      <c r="DL129" s="271"/>
      <c r="DM129" s="271"/>
      <c r="DN129" s="271"/>
      <c r="DO129" s="271"/>
      <c r="DP129" s="271"/>
      <c r="DQ129" s="271"/>
      <c r="DR129" s="271"/>
      <c r="DS129" s="271"/>
      <c r="DT129" s="271"/>
      <c r="DU129" s="271"/>
      <c r="DV129" s="271"/>
      <c r="DW129" s="271"/>
      <c r="DX129" s="271"/>
      <c r="DY129" s="271"/>
      <c r="DZ129" s="271"/>
      <c r="EA129" s="271"/>
      <c r="EB129" s="271"/>
      <c r="ED129" s="272"/>
      <c r="EE129" s="272"/>
    </row>
    <row r="130" spans="1:135" s="265" customFormat="1" ht="11.25" x14ac:dyDescent="0.2">
      <c r="A130" s="264"/>
      <c r="B130" s="364"/>
      <c r="C130" s="364"/>
      <c r="D130" s="364"/>
      <c r="F130" s="264"/>
      <c r="G130" s="414"/>
      <c r="H130" s="422"/>
      <c r="I130" s="422"/>
      <c r="J130" s="422"/>
      <c r="K130" s="422"/>
      <c r="L130" s="422"/>
      <c r="M130" s="431"/>
      <c r="AH130" s="267"/>
      <c r="AS130" s="273"/>
      <c r="AT130" s="272"/>
      <c r="AU130" s="272"/>
      <c r="AV130" s="272"/>
      <c r="CI130" s="271"/>
      <c r="CJ130" s="271"/>
      <c r="CK130" s="271"/>
      <c r="CL130" s="271"/>
      <c r="CM130" s="271"/>
      <c r="CN130" s="271"/>
      <c r="CO130" s="271"/>
      <c r="CP130" s="271"/>
      <c r="CQ130" s="271"/>
      <c r="CR130" s="271"/>
      <c r="CS130" s="271"/>
      <c r="CT130" s="271"/>
      <c r="CU130" s="271"/>
      <c r="CV130" s="271"/>
      <c r="CW130" s="271"/>
      <c r="CX130" s="271"/>
      <c r="CY130" s="271"/>
      <c r="CZ130" s="271"/>
      <c r="DA130" s="271"/>
      <c r="DB130" s="271"/>
      <c r="DC130" s="271"/>
      <c r="DD130" s="271"/>
      <c r="DE130" s="271"/>
      <c r="DF130" s="271"/>
      <c r="DG130" s="271"/>
      <c r="DH130" s="271"/>
      <c r="DI130" s="271"/>
      <c r="DJ130" s="271"/>
      <c r="DK130" s="271"/>
      <c r="DL130" s="271"/>
      <c r="DM130" s="271"/>
      <c r="DN130" s="271"/>
      <c r="DO130" s="271"/>
      <c r="DP130" s="271"/>
      <c r="DQ130" s="271"/>
      <c r="DR130" s="271"/>
      <c r="DS130" s="271"/>
      <c r="DT130" s="271"/>
      <c r="DU130" s="271"/>
      <c r="DV130" s="271"/>
      <c r="DW130" s="271"/>
      <c r="DX130" s="271"/>
      <c r="DY130" s="271"/>
      <c r="DZ130" s="271"/>
      <c r="EA130" s="271"/>
      <c r="EB130" s="271"/>
      <c r="ED130" s="272"/>
      <c r="EE130" s="272"/>
    </row>
    <row r="131" spans="1:135" s="265" customFormat="1" ht="11.25" x14ac:dyDescent="0.2">
      <c r="A131" s="264"/>
      <c r="B131" s="364"/>
      <c r="C131" s="364"/>
      <c r="D131" s="364"/>
      <c r="F131" s="264"/>
      <c r="G131" s="414"/>
      <c r="H131" s="422"/>
      <c r="I131" s="422"/>
      <c r="J131" s="422"/>
      <c r="K131" s="422"/>
      <c r="L131" s="422"/>
      <c r="M131" s="431"/>
      <c r="AH131" s="267"/>
      <c r="AS131" s="273"/>
      <c r="AT131" s="272"/>
      <c r="AU131" s="272"/>
      <c r="AV131" s="272"/>
      <c r="CI131" s="271"/>
      <c r="CJ131" s="271"/>
      <c r="CK131" s="271"/>
      <c r="CL131" s="271"/>
      <c r="CM131" s="271"/>
      <c r="CN131" s="271"/>
      <c r="CO131" s="271"/>
      <c r="CP131" s="271"/>
      <c r="CQ131" s="271"/>
      <c r="CR131" s="271"/>
      <c r="CS131" s="271"/>
      <c r="CT131" s="271"/>
      <c r="CU131" s="271"/>
      <c r="CV131" s="271"/>
      <c r="CW131" s="271"/>
      <c r="CX131" s="271"/>
      <c r="CY131" s="271"/>
      <c r="CZ131" s="271"/>
      <c r="DA131" s="271"/>
      <c r="DB131" s="271"/>
      <c r="DC131" s="271"/>
      <c r="DD131" s="271"/>
      <c r="DE131" s="271"/>
      <c r="DF131" s="271"/>
      <c r="DG131" s="271"/>
      <c r="DH131" s="271"/>
      <c r="DI131" s="271"/>
      <c r="DJ131" s="271"/>
      <c r="DK131" s="271"/>
      <c r="DL131" s="271"/>
      <c r="DM131" s="271"/>
      <c r="DN131" s="271"/>
      <c r="DO131" s="271"/>
      <c r="DP131" s="271"/>
      <c r="DQ131" s="271"/>
      <c r="DR131" s="271"/>
      <c r="DS131" s="271"/>
      <c r="DT131" s="271"/>
      <c r="DU131" s="271"/>
      <c r="DV131" s="271"/>
      <c r="DW131" s="271"/>
      <c r="DX131" s="271"/>
      <c r="DY131" s="271"/>
      <c r="DZ131" s="271"/>
      <c r="EA131" s="271"/>
      <c r="EB131" s="271"/>
      <c r="ED131" s="272"/>
      <c r="EE131" s="272"/>
    </row>
    <row r="132" spans="1:135" s="265" customFormat="1" ht="11.25" x14ac:dyDescent="0.2">
      <c r="A132" s="264"/>
      <c r="B132" s="364"/>
      <c r="C132" s="364"/>
      <c r="D132" s="364"/>
      <c r="F132" s="264"/>
      <c r="G132" s="416"/>
      <c r="H132" s="424"/>
      <c r="I132" s="424"/>
      <c r="J132" s="424"/>
      <c r="K132" s="424"/>
      <c r="L132" s="424"/>
      <c r="M132" s="424"/>
      <c r="AH132" s="267"/>
      <c r="AS132" s="273"/>
      <c r="AT132" s="272"/>
      <c r="AU132" s="272"/>
      <c r="AV132" s="272"/>
      <c r="CI132" s="271"/>
      <c r="CJ132" s="271"/>
      <c r="CK132" s="271"/>
      <c r="CL132" s="271"/>
      <c r="CM132" s="271"/>
      <c r="CN132" s="271"/>
      <c r="CO132" s="271"/>
      <c r="CP132" s="271"/>
      <c r="CQ132" s="271"/>
      <c r="CR132" s="271"/>
      <c r="CS132" s="271"/>
      <c r="CT132" s="271"/>
      <c r="CU132" s="271"/>
      <c r="CV132" s="271"/>
      <c r="CW132" s="271"/>
      <c r="CX132" s="271"/>
      <c r="CY132" s="271"/>
      <c r="CZ132" s="271"/>
      <c r="DA132" s="271"/>
      <c r="DB132" s="271"/>
      <c r="DC132" s="271"/>
      <c r="DD132" s="271"/>
      <c r="DE132" s="271"/>
      <c r="DF132" s="271"/>
      <c r="DG132" s="271"/>
      <c r="DH132" s="271"/>
      <c r="DI132" s="271"/>
      <c r="DJ132" s="271"/>
      <c r="DK132" s="271"/>
      <c r="DL132" s="271"/>
      <c r="DM132" s="271"/>
      <c r="DN132" s="271"/>
      <c r="DO132" s="271"/>
      <c r="DP132" s="271"/>
      <c r="DQ132" s="271"/>
      <c r="DR132" s="271"/>
      <c r="DS132" s="271"/>
      <c r="DT132" s="271"/>
      <c r="DU132" s="271"/>
      <c r="DV132" s="271"/>
      <c r="DW132" s="271"/>
      <c r="DX132" s="271"/>
      <c r="DY132" s="271"/>
      <c r="DZ132" s="271"/>
      <c r="EA132" s="271"/>
      <c r="EB132" s="271"/>
      <c r="ED132" s="272"/>
      <c r="EE132" s="272"/>
    </row>
    <row r="133" spans="1:135" s="265" customFormat="1" ht="11.25" x14ac:dyDescent="0.2">
      <c r="A133" s="264"/>
      <c r="B133" s="364"/>
      <c r="C133" s="364"/>
      <c r="D133" s="364"/>
      <c r="F133" s="264"/>
      <c r="G133" s="423"/>
      <c r="H133" s="275"/>
      <c r="I133" s="275"/>
      <c r="J133" s="275"/>
      <c r="K133" s="275"/>
      <c r="L133" s="275"/>
      <c r="M133" s="275"/>
      <c r="P133" s="353"/>
      <c r="AH133" s="267"/>
      <c r="AS133" s="273"/>
      <c r="AT133" s="272"/>
      <c r="AU133" s="272"/>
      <c r="AV133" s="272"/>
      <c r="CI133" s="271"/>
      <c r="CJ133" s="271"/>
      <c r="CK133" s="271"/>
      <c r="CL133" s="271"/>
      <c r="CM133" s="271"/>
      <c r="CN133" s="271"/>
      <c r="CO133" s="271"/>
      <c r="CP133" s="271"/>
      <c r="CQ133" s="271"/>
      <c r="CR133" s="271"/>
      <c r="CS133" s="271"/>
      <c r="CT133" s="271"/>
      <c r="CU133" s="271"/>
      <c r="CV133" s="271"/>
      <c r="CW133" s="271"/>
      <c r="CX133" s="271"/>
      <c r="CY133" s="271"/>
      <c r="CZ133" s="271"/>
      <c r="DA133" s="271"/>
      <c r="DB133" s="271"/>
      <c r="DC133" s="271"/>
      <c r="DD133" s="271"/>
      <c r="DE133" s="271"/>
      <c r="DF133" s="271"/>
      <c r="DG133" s="271"/>
      <c r="DH133" s="271"/>
      <c r="DI133" s="271"/>
      <c r="DJ133" s="271"/>
      <c r="DK133" s="271"/>
      <c r="DL133" s="271"/>
      <c r="DM133" s="271"/>
      <c r="DN133" s="271"/>
      <c r="DO133" s="271"/>
      <c r="DP133" s="271"/>
      <c r="DQ133" s="271"/>
      <c r="DR133" s="271"/>
      <c r="DS133" s="271"/>
      <c r="DT133" s="271"/>
      <c r="DU133" s="271"/>
      <c r="DV133" s="271"/>
      <c r="DW133" s="271"/>
      <c r="DX133" s="271"/>
      <c r="DY133" s="271"/>
      <c r="DZ133" s="271"/>
      <c r="EA133" s="271"/>
      <c r="EB133" s="271"/>
      <c r="ED133" s="272"/>
      <c r="EE133" s="272"/>
    </row>
    <row r="134" spans="1:135" s="265" customFormat="1" ht="11.25" x14ac:dyDescent="0.2">
      <c r="A134" s="264"/>
      <c r="B134" s="364"/>
      <c r="C134" s="364"/>
      <c r="D134" s="364"/>
      <c r="F134" s="264"/>
      <c r="G134" s="333"/>
      <c r="H134" s="333"/>
      <c r="I134" s="333"/>
      <c r="J134" s="333"/>
      <c r="K134" s="333"/>
      <c r="L134" s="333"/>
      <c r="M134" s="333"/>
      <c r="P134" s="353"/>
      <c r="AH134" s="267"/>
      <c r="AS134" s="273"/>
      <c r="AT134" s="272"/>
      <c r="AU134" s="272"/>
      <c r="AV134" s="272"/>
      <c r="CI134" s="271"/>
      <c r="CJ134" s="271"/>
      <c r="CK134" s="271"/>
      <c r="CL134" s="271"/>
      <c r="CM134" s="271"/>
      <c r="CN134" s="271"/>
      <c r="CO134" s="271"/>
      <c r="CP134" s="271"/>
      <c r="CQ134" s="271"/>
      <c r="CR134" s="271"/>
      <c r="CS134" s="271"/>
      <c r="CT134" s="271"/>
      <c r="CU134" s="271"/>
      <c r="CV134" s="271"/>
      <c r="CW134" s="271"/>
      <c r="CX134" s="271"/>
      <c r="CY134" s="271"/>
      <c r="CZ134" s="271"/>
      <c r="DA134" s="271"/>
      <c r="DB134" s="271"/>
      <c r="DC134" s="271"/>
      <c r="DD134" s="271"/>
      <c r="DE134" s="271"/>
      <c r="DF134" s="271"/>
      <c r="DG134" s="271"/>
      <c r="DH134" s="271"/>
      <c r="DI134" s="271"/>
      <c r="DJ134" s="271"/>
      <c r="DK134" s="271"/>
      <c r="DL134" s="271"/>
      <c r="DM134" s="271"/>
      <c r="DN134" s="271"/>
      <c r="DO134" s="271"/>
      <c r="DP134" s="271"/>
      <c r="DQ134" s="271"/>
      <c r="DR134" s="271"/>
      <c r="DS134" s="271"/>
      <c r="DT134" s="271"/>
      <c r="DU134" s="271"/>
      <c r="DV134" s="271"/>
      <c r="DW134" s="271"/>
      <c r="DX134" s="271"/>
      <c r="DY134" s="271"/>
      <c r="DZ134" s="271"/>
      <c r="EA134" s="271"/>
      <c r="EB134" s="271"/>
      <c r="ED134" s="272"/>
      <c r="EE134" s="272"/>
    </row>
    <row r="135" spans="1:135" s="265" customFormat="1" ht="11.25" x14ac:dyDescent="0.2">
      <c r="A135" s="264"/>
      <c r="B135" s="364"/>
      <c r="C135" s="364"/>
      <c r="D135" s="364"/>
      <c r="F135" s="264"/>
      <c r="G135" s="414"/>
      <c r="H135" s="422"/>
      <c r="I135" s="422"/>
      <c r="J135" s="422"/>
      <c r="K135" s="422"/>
      <c r="L135" s="422"/>
      <c r="M135" s="431"/>
      <c r="P135" s="353"/>
      <c r="AH135" s="267"/>
      <c r="AS135" s="273"/>
      <c r="AT135" s="272"/>
      <c r="AU135" s="272"/>
      <c r="AV135" s="272"/>
      <c r="CI135" s="271"/>
      <c r="CJ135" s="271"/>
      <c r="CK135" s="271"/>
      <c r="CL135" s="271"/>
      <c r="CM135" s="271"/>
      <c r="CN135" s="271"/>
      <c r="CO135" s="271"/>
      <c r="CP135" s="271"/>
      <c r="CQ135" s="271"/>
      <c r="CR135" s="271"/>
      <c r="CS135" s="271"/>
      <c r="CT135" s="271"/>
      <c r="CU135" s="271"/>
      <c r="CV135" s="271"/>
      <c r="CW135" s="271"/>
      <c r="CX135" s="271"/>
      <c r="CY135" s="271"/>
      <c r="CZ135" s="271"/>
      <c r="DA135" s="271"/>
      <c r="DB135" s="271"/>
      <c r="DC135" s="271"/>
      <c r="DD135" s="271"/>
      <c r="DE135" s="271"/>
      <c r="DF135" s="271"/>
      <c r="DG135" s="271"/>
      <c r="DH135" s="271"/>
      <c r="DI135" s="271"/>
      <c r="DJ135" s="271"/>
      <c r="DK135" s="271"/>
      <c r="DL135" s="271"/>
      <c r="DM135" s="271"/>
      <c r="DN135" s="271"/>
      <c r="DO135" s="271"/>
      <c r="DP135" s="271"/>
      <c r="DQ135" s="271"/>
      <c r="DR135" s="271"/>
      <c r="DS135" s="271"/>
      <c r="DT135" s="271"/>
      <c r="DU135" s="271"/>
      <c r="DV135" s="271"/>
      <c r="DW135" s="271"/>
      <c r="DX135" s="271"/>
      <c r="DY135" s="271"/>
      <c r="DZ135" s="271"/>
      <c r="EA135" s="271"/>
      <c r="EB135" s="271"/>
      <c r="ED135" s="272"/>
      <c r="EE135" s="272"/>
    </row>
    <row r="136" spans="1:135" s="265" customFormat="1" ht="11.25" x14ac:dyDescent="0.2">
      <c r="A136" s="264"/>
      <c r="B136" s="364"/>
      <c r="C136" s="364"/>
      <c r="D136" s="364"/>
      <c r="F136" s="264"/>
      <c r="G136" s="414"/>
      <c r="H136" s="422"/>
      <c r="I136" s="422"/>
      <c r="J136" s="422"/>
      <c r="K136" s="422"/>
      <c r="L136" s="422"/>
      <c r="M136" s="431"/>
      <c r="P136" s="353"/>
      <c r="AH136" s="267"/>
      <c r="AS136" s="273"/>
      <c r="AT136" s="272"/>
      <c r="AU136" s="272"/>
      <c r="AV136" s="272"/>
      <c r="CI136" s="271"/>
      <c r="CJ136" s="271"/>
      <c r="CK136" s="271"/>
      <c r="CL136" s="271"/>
      <c r="CM136" s="271"/>
      <c r="CN136" s="271"/>
      <c r="CO136" s="271"/>
      <c r="CP136" s="271"/>
      <c r="CQ136" s="271"/>
      <c r="CR136" s="271"/>
      <c r="CS136" s="271"/>
      <c r="CT136" s="271"/>
      <c r="CU136" s="271"/>
      <c r="CV136" s="271"/>
      <c r="CW136" s="271"/>
      <c r="CX136" s="271"/>
      <c r="CY136" s="271"/>
      <c r="CZ136" s="271"/>
      <c r="DA136" s="271"/>
      <c r="DB136" s="271"/>
      <c r="DC136" s="271"/>
      <c r="DD136" s="271"/>
      <c r="DE136" s="271"/>
      <c r="DF136" s="271"/>
      <c r="DG136" s="271"/>
      <c r="DH136" s="271"/>
      <c r="DI136" s="271"/>
      <c r="DJ136" s="271"/>
      <c r="DK136" s="271"/>
      <c r="DL136" s="271"/>
      <c r="DM136" s="271"/>
      <c r="DN136" s="271"/>
      <c r="DO136" s="271"/>
      <c r="DP136" s="271"/>
      <c r="DQ136" s="271"/>
      <c r="DR136" s="271"/>
      <c r="DS136" s="271"/>
      <c r="DT136" s="271"/>
      <c r="DU136" s="271"/>
      <c r="DV136" s="271"/>
      <c r="DW136" s="271"/>
      <c r="DX136" s="271"/>
      <c r="DY136" s="271"/>
      <c r="DZ136" s="271"/>
      <c r="EA136" s="271"/>
      <c r="EB136" s="271"/>
      <c r="ED136" s="272"/>
      <c r="EE136" s="272"/>
    </row>
    <row r="137" spans="1:135" s="265" customFormat="1" ht="11.25" x14ac:dyDescent="0.2">
      <c r="A137" s="264"/>
      <c r="B137" s="364"/>
      <c r="C137" s="364"/>
      <c r="D137" s="364"/>
      <c r="F137" s="264"/>
      <c r="G137" s="414"/>
      <c r="H137" s="422"/>
      <c r="I137" s="422"/>
      <c r="J137" s="422"/>
      <c r="K137" s="422"/>
      <c r="L137" s="422"/>
      <c r="M137" s="431"/>
      <c r="P137" s="353"/>
      <c r="AH137" s="267"/>
      <c r="AS137" s="273"/>
      <c r="AT137" s="272"/>
      <c r="AU137" s="272"/>
      <c r="AV137" s="272"/>
      <c r="CI137" s="271"/>
      <c r="CJ137" s="271"/>
      <c r="CK137" s="271"/>
      <c r="CL137" s="271"/>
      <c r="CM137" s="271"/>
      <c r="CN137" s="271"/>
      <c r="CO137" s="271"/>
      <c r="CP137" s="271"/>
      <c r="CQ137" s="271"/>
      <c r="CR137" s="271"/>
      <c r="CS137" s="271"/>
      <c r="CT137" s="271"/>
      <c r="CU137" s="271"/>
      <c r="CV137" s="271"/>
      <c r="CW137" s="271"/>
      <c r="CX137" s="271"/>
      <c r="CY137" s="271"/>
      <c r="CZ137" s="271"/>
      <c r="DA137" s="271"/>
      <c r="DB137" s="271"/>
      <c r="DC137" s="271"/>
      <c r="DD137" s="271"/>
      <c r="DE137" s="271"/>
      <c r="DF137" s="271"/>
      <c r="DG137" s="271"/>
      <c r="DH137" s="271"/>
      <c r="DI137" s="271"/>
      <c r="DJ137" s="271"/>
      <c r="DK137" s="271"/>
      <c r="DL137" s="271"/>
      <c r="DM137" s="271"/>
      <c r="DN137" s="271"/>
      <c r="DO137" s="271"/>
      <c r="DP137" s="271"/>
      <c r="DQ137" s="271"/>
      <c r="DR137" s="271"/>
      <c r="DS137" s="271"/>
      <c r="DT137" s="271"/>
      <c r="DU137" s="271"/>
      <c r="DV137" s="271"/>
      <c r="DW137" s="271"/>
      <c r="DX137" s="271"/>
      <c r="DY137" s="271"/>
      <c r="DZ137" s="271"/>
      <c r="EA137" s="271"/>
      <c r="EB137" s="271"/>
      <c r="ED137" s="272"/>
      <c r="EE137" s="272"/>
    </row>
    <row r="138" spans="1:135" s="265" customFormat="1" ht="11.25" x14ac:dyDescent="0.2">
      <c r="A138" s="264"/>
      <c r="B138" s="364"/>
      <c r="C138" s="364"/>
      <c r="D138" s="364"/>
      <c r="F138" s="264"/>
      <c r="G138" s="414"/>
      <c r="H138" s="422"/>
      <c r="I138" s="422"/>
      <c r="J138" s="422"/>
      <c r="K138" s="422"/>
      <c r="L138" s="422"/>
      <c r="M138" s="431"/>
      <c r="P138" s="353"/>
      <c r="AH138" s="267"/>
      <c r="AS138" s="273"/>
      <c r="AT138" s="272"/>
      <c r="AU138" s="272"/>
      <c r="AV138" s="272"/>
      <c r="CI138" s="271"/>
      <c r="CJ138" s="271"/>
      <c r="CK138" s="271"/>
      <c r="CL138" s="271"/>
      <c r="CM138" s="271"/>
      <c r="CN138" s="271"/>
      <c r="CO138" s="271"/>
      <c r="CP138" s="271"/>
      <c r="CQ138" s="271"/>
      <c r="CR138" s="271"/>
      <c r="CS138" s="271"/>
      <c r="CT138" s="271"/>
      <c r="CU138" s="271"/>
      <c r="CV138" s="271"/>
      <c r="CW138" s="271"/>
      <c r="CX138" s="271"/>
      <c r="CY138" s="271"/>
      <c r="CZ138" s="271"/>
      <c r="DA138" s="271"/>
      <c r="DB138" s="271"/>
      <c r="DC138" s="271"/>
      <c r="DD138" s="271"/>
      <c r="DE138" s="271"/>
      <c r="DF138" s="271"/>
      <c r="DG138" s="271"/>
      <c r="DH138" s="271"/>
      <c r="DI138" s="271"/>
      <c r="DJ138" s="271"/>
      <c r="DK138" s="271"/>
      <c r="DL138" s="271"/>
      <c r="DM138" s="271"/>
      <c r="DN138" s="271"/>
      <c r="DO138" s="271"/>
      <c r="DP138" s="271"/>
      <c r="DQ138" s="271"/>
      <c r="DR138" s="271"/>
      <c r="DS138" s="271"/>
      <c r="DT138" s="271"/>
      <c r="DU138" s="271"/>
      <c r="DV138" s="271"/>
      <c r="DW138" s="271"/>
      <c r="DX138" s="271"/>
      <c r="DY138" s="271"/>
      <c r="DZ138" s="271"/>
      <c r="EA138" s="271"/>
      <c r="EB138" s="271"/>
      <c r="ED138" s="272"/>
      <c r="EE138" s="272"/>
    </row>
    <row r="139" spans="1:135" s="265" customFormat="1" ht="11.25" x14ac:dyDescent="0.2">
      <c r="A139" s="264"/>
      <c r="B139" s="364"/>
      <c r="C139" s="364"/>
      <c r="D139" s="364"/>
      <c r="F139" s="264"/>
      <c r="G139" s="414"/>
      <c r="H139" s="422"/>
      <c r="I139" s="422"/>
      <c r="J139" s="422"/>
      <c r="K139" s="422"/>
      <c r="L139" s="422"/>
      <c r="M139" s="431"/>
      <c r="P139" s="353"/>
      <c r="AH139" s="267"/>
      <c r="AS139" s="273"/>
      <c r="AT139" s="272"/>
      <c r="AU139" s="272"/>
      <c r="AV139" s="272"/>
      <c r="CI139" s="271"/>
      <c r="CJ139" s="271"/>
      <c r="CK139" s="271"/>
      <c r="CL139" s="271"/>
      <c r="CM139" s="271"/>
      <c r="CN139" s="271"/>
      <c r="CO139" s="271"/>
      <c r="CP139" s="271"/>
      <c r="CQ139" s="271"/>
      <c r="CR139" s="271"/>
      <c r="CS139" s="271"/>
      <c r="CT139" s="271"/>
      <c r="CU139" s="271"/>
      <c r="CV139" s="271"/>
      <c r="CW139" s="271"/>
      <c r="CX139" s="271"/>
      <c r="CY139" s="271"/>
      <c r="CZ139" s="271"/>
      <c r="DA139" s="271"/>
      <c r="DB139" s="271"/>
      <c r="DC139" s="271"/>
      <c r="DD139" s="271"/>
      <c r="DE139" s="271"/>
      <c r="DF139" s="271"/>
      <c r="DG139" s="271"/>
      <c r="DH139" s="271"/>
      <c r="DI139" s="271"/>
      <c r="DJ139" s="271"/>
      <c r="DK139" s="271"/>
      <c r="DL139" s="271"/>
      <c r="DM139" s="271"/>
      <c r="DN139" s="271"/>
      <c r="DO139" s="271"/>
      <c r="DP139" s="271"/>
      <c r="DQ139" s="271"/>
      <c r="DR139" s="271"/>
      <c r="DS139" s="271"/>
      <c r="DT139" s="271"/>
      <c r="DU139" s="271"/>
      <c r="DV139" s="271"/>
      <c r="DW139" s="271"/>
      <c r="DX139" s="271"/>
      <c r="DY139" s="271"/>
      <c r="DZ139" s="271"/>
      <c r="EA139" s="271"/>
      <c r="EB139" s="271"/>
      <c r="ED139" s="272"/>
      <c r="EE139" s="272"/>
    </row>
    <row r="140" spans="1:135" s="265" customFormat="1" ht="11.25" x14ac:dyDescent="0.2">
      <c r="A140" s="264"/>
      <c r="B140" s="364"/>
      <c r="C140" s="364"/>
      <c r="D140" s="364"/>
      <c r="F140" s="264"/>
      <c r="G140" s="416"/>
      <c r="H140" s="424"/>
      <c r="I140" s="424"/>
      <c r="J140" s="424"/>
      <c r="K140" s="424"/>
      <c r="L140" s="424"/>
      <c r="M140" s="424"/>
      <c r="P140" s="353"/>
      <c r="AH140" s="267"/>
      <c r="AS140" s="273"/>
      <c r="AT140" s="272"/>
      <c r="AU140" s="272"/>
      <c r="AV140" s="272"/>
      <c r="CI140" s="271"/>
      <c r="CJ140" s="271"/>
      <c r="CK140" s="271"/>
      <c r="CL140" s="271"/>
      <c r="CM140" s="271"/>
      <c r="CN140" s="271"/>
      <c r="CO140" s="271"/>
      <c r="CP140" s="271"/>
      <c r="CQ140" s="271"/>
      <c r="CR140" s="271"/>
      <c r="CS140" s="271"/>
      <c r="CT140" s="271"/>
      <c r="CU140" s="271"/>
      <c r="CV140" s="271"/>
      <c r="CW140" s="271"/>
      <c r="CX140" s="271"/>
      <c r="CY140" s="271"/>
      <c r="CZ140" s="271"/>
      <c r="DA140" s="271"/>
      <c r="DB140" s="271"/>
      <c r="DC140" s="271"/>
      <c r="DD140" s="271"/>
      <c r="DE140" s="271"/>
      <c r="DF140" s="271"/>
      <c r="DG140" s="271"/>
      <c r="DH140" s="271"/>
      <c r="DI140" s="271"/>
      <c r="DJ140" s="271"/>
      <c r="DK140" s="271"/>
      <c r="DL140" s="271"/>
      <c r="DM140" s="271"/>
      <c r="DN140" s="271"/>
      <c r="DO140" s="271"/>
      <c r="DP140" s="271"/>
      <c r="DQ140" s="271"/>
      <c r="DR140" s="271"/>
      <c r="DS140" s="271"/>
      <c r="DT140" s="271"/>
      <c r="DU140" s="271"/>
      <c r="DV140" s="271"/>
      <c r="DW140" s="271"/>
      <c r="DX140" s="271"/>
      <c r="DY140" s="271"/>
      <c r="DZ140" s="271"/>
      <c r="EA140" s="271"/>
      <c r="EB140" s="271"/>
      <c r="ED140" s="272"/>
      <c r="EE140" s="272"/>
    </row>
    <row r="141" spans="1:135" s="265" customFormat="1" ht="11.25" x14ac:dyDescent="0.2">
      <c r="A141" s="264"/>
      <c r="B141" s="364"/>
      <c r="C141" s="364"/>
      <c r="D141" s="364"/>
      <c r="F141" s="264"/>
      <c r="G141" s="266"/>
      <c r="P141" s="353"/>
      <c r="AH141" s="267"/>
      <c r="AS141" s="273"/>
      <c r="AT141" s="272"/>
      <c r="AU141" s="272"/>
      <c r="AV141" s="272"/>
      <c r="CI141" s="271"/>
      <c r="CJ141" s="271"/>
      <c r="CK141" s="271"/>
      <c r="CL141" s="271"/>
      <c r="CM141" s="271"/>
      <c r="CN141" s="271"/>
      <c r="CO141" s="271"/>
      <c r="CP141" s="271"/>
      <c r="CQ141" s="271"/>
      <c r="CR141" s="271"/>
      <c r="CS141" s="271"/>
      <c r="CT141" s="271"/>
      <c r="CU141" s="271"/>
      <c r="CV141" s="271"/>
      <c r="CW141" s="271"/>
      <c r="CX141" s="271"/>
      <c r="CY141" s="271"/>
      <c r="CZ141" s="271"/>
      <c r="DA141" s="271"/>
      <c r="DB141" s="271"/>
      <c r="DC141" s="271"/>
      <c r="DD141" s="271"/>
      <c r="DE141" s="271"/>
      <c r="DF141" s="271"/>
      <c r="DG141" s="271"/>
      <c r="DH141" s="271"/>
      <c r="DI141" s="271"/>
      <c r="DJ141" s="271"/>
      <c r="DK141" s="271"/>
      <c r="DL141" s="271"/>
      <c r="DM141" s="271"/>
      <c r="DN141" s="271"/>
      <c r="DO141" s="271"/>
      <c r="DP141" s="271"/>
      <c r="DQ141" s="271"/>
      <c r="DR141" s="271"/>
      <c r="DS141" s="271"/>
      <c r="DT141" s="271"/>
      <c r="DU141" s="271"/>
      <c r="DV141" s="271"/>
      <c r="DW141" s="271"/>
      <c r="DX141" s="271"/>
      <c r="DY141" s="271"/>
      <c r="DZ141" s="271"/>
      <c r="EA141" s="271"/>
      <c r="EB141" s="271"/>
      <c r="ED141" s="272"/>
      <c r="EE141" s="272"/>
    </row>
    <row r="142" spans="1:135" s="265" customFormat="1" ht="11.25" x14ac:dyDescent="0.2">
      <c r="A142" s="264"/>
      <c r="B142" s="364"/>
      <c r="C142" s="364"/>
      <c r="D142" s="364"/>
      <c r="F142" s="264"/>
      <c r="G142" s="266"/>
      <c r="P142" s="353"/>
      <c r="AH142" s="267"/>
      <c r="AS142" s="273"/>
      <c r="AT142" s="272"/>
      <c r="AU142" s="272"/>
      <c r="AV142" s="272"/>
      <c r="CI142" s="271"/>
      <c r="CJ142" s="271"/>
      <c r="CK142" s="271"/>
      <c r="CL142" s="271"/>
      <c r="CM142" s="271"/>
      <c r="CN142" s="271"/>
      <c r="CO142" s="271"/>
      <c r="CP142" s="271"/>
      <c r="CQ142" s="271"/>
      <c r="CR142" s="271"/>
      <c r="CS142" s="271"/>
      <c r="CT142" s="271"/>
      <c r="CU142" s="271"/>
      <c r="CV142" s="271"/>
      <c r="CW142" s="271"/>
      <c r="CX142" s="271"/>
      <c r="CY142" s="271"/>
      <c r="CZ142" s="271"/>
      <c r="DA142" s="271"/>
      <c r="DB142" s="271"/>
      <c r="DC142" s="271"/>
      <c r="DD142" s="271"/>
      <c r="DE142" s="271"/>
      <c r="DF142" s="271"/>
      <c r="DG142" s="271"/>
      <c r="DH142" s="271"/>
      <c r="DI142" s="271"/>
      <c r="DJ142" s="271"/>
      <c r="DK142" s="271"/>
      <c r="DL142" s="271"/>
      <c r="DM142" s="271"/>
      <c r="DN142" s="271"/>
      <c r="DO142" s="271"/>
      <c r="DP142" s="271"/>
      <c r="DQ142" s="271"/>
      <c r="DR142" s="271"/>
      <c r="DS142" s="271"/>
      <c r="DT142" s="271"/>
      <c r="DU142" s="271"/>
      <c r="DV142" s="271"/>
      <c r="DW142" s="271"/>
      <c r="DX142" s="271"/>
      <c r="DY142" s="271"/>
      <c r="DZ142" s="271"/>
      <c r="EA142" s="271"/>
      <c r="EB142" s="271"/>
      <c r="ED142" s="272"/>
      <c r="EE142" s="272"/>
    </row>
    <row r="143" spans="1:135" s="265" customFormat="1" ht="11.25" x14ac:dyDescent="0.2">
      <c r="A143" s="264"/>
      <c r="B143" s="364"/>
      <c r="C143" s="364"/>
      <c r="D143" s="364"/>
      <c r="F143" s="264"/>
      <c r="G143" s="266"/>
      <c r="P143" s="353"/>
      <c r="AH143" s="267"/>
      <c r="AS143" s="273"/>
      <c r="AT143" s="272"/>
      <c r="AU143" s="272"/>
      <c r="AV143" s="272"/>
      <c r="CI143" s="271"/>
      <c r="CJ143" s="271"/>
      <c r="CK143" s="271"/>
      <c r="CL143" s="271"/>
      <c r="CM143" s="271"/>
      <c r="CN143" s="271"/>
      <c r="CO143" s="271"/>
      <c r="CP143" s="271"/>
      <c r="CQ143" s="271"/>
      <c r="CR143" s="271"/>
      <c r="CS143" s="271"/>
      <c r="CT143" s="271"/>
      <c r="CU143" s="271"/>
      <c r="CV143" s="271"/>
      <c r="CW143" s="271"/>
      <c r="CX143" s="271"/>
      <c r="CY143" s="271"/>
      <c r="CZ143" s="271"/>
      <c r="DA143" s="271"/>
      <c r="DB143" s="271"/>
      <c r="DC143" s="271"/>
      <c r="DD143" s="271"/>
      <c r="DE143" s="271"/>
      <c r="DF143" s="271"/>
      <c r="DG143" s="271"/>
      <c r="DH143" s="271"/>
      <c r="DI143" s="271"/>
      <c r="DJ143" s="271"/>
      <c r="DK143" s="271"/>
      <c r="DL143" s="271"/>
      <c r="DM143" s="271"/>
      <c r="DN143" s="271"/>
      <c r="DO143" s="271"/>
      <c r="DP143" s="271"/>
      <c r="DQ143" s="271"/>
      <c r="DR143" s="271"/>
      <c r="DS143" s="271"/>
      <c r="DT143" s="271"/>
      <c r="DU143" s="271"/>
      <c r="DV143" s="271"/>
      <c r="DW143" s="271"/>
      <c r="DX143" s="271"/>
      <c r="DY143" s="271"/>
      <c r="DZ143" s="271"/>
      <c r="EA143" s="271"/>
      <c r="EB143" s="271"/>
      <c r="ED143" s="272"/>
      <c r="EE143" s="272"/>
    </row>
  </sheetData>
  <mergeCells count="48">
    <mergeCell ref="AF27:AN27"/>
    <mergeCell ref="DE63:EA63"/>
    <mergeCell ref="CH51:DD51"/>
    <mergeCell ref="CH63:DD63"/>
    <mergeCell ref="CH41:DD41"/>
    <mergeCell ref="AN51:BJ51"/>
    <mergeCell ref="DE51:EA51"/>
    <mergeCell ref="BY29:CU29"/>
    <mergeCell ref="AN41:BJ41"/>
    <mergeCell ref="BK41:CG41"/>
    <mergeCell ref="AF1:AN1"/>
    <mergeCell ref="AF14:AN14"/>
    <mergeCell ref="F2:H2"/>
    <mergeCell ref="P2:Y2"/>
    <mergeCell ref="Z2:AE2"/>
    <mergeCell ref="B1:N1"/>
    <mergeCell ref="O1:AE1"/>
    <mergeCell ref="B14:N14"/>
    <mergeCell ref="O14:AE14"/>
    <mergeCell ref="O3:Q3"/>
    <mergeCell ref="I2:N2"/>
    <mergeCell ref="E7:H11"/>
    <mergeCell ref="J7:L11"/>
    <mergeCell ref="H65:L65"/>
    <mergeCell ref="E20:H24"/>
    <mergeCell ref="G116:I116"/>
    <mergeCell ref="S99:T99"/>
    <mergeCell ref="U99:V99"/>
    <mergeCell ref="O116:T116"/>
    <mergeCell ref="H99:I99"/>
    <mergeCell ref="J99:K99"/>
    <mergeCell ref="L99:M99"/>
    <mergeCell ref="J20:L24"/>
    <mergeCell ref="S33:Y37"/>
    <mergeCell ref="H83:M83"/>
    <mergeCell ref="O29:Q29"/>
    <mergeCell ref="Z15:AE15"/>
    <mergeCell ref="T60:V60"/>
    <mergeCell ref="P15:Y15"/>
    <mergeCell ref="P28:Y28"/>
    <mergeCell ref="E15:H15"/>
    <mergeCell ref="I15:N15"/>
    <mergeCell ref="O16:Q16"/>
    <mergeCell ref="F28:H28"/>
    <mergeCell ref="I28:N28"/>
    <mergeCell ref="B27:N27"/>
    <mergeCell ref="O27:AE27"/>
    <mergeCell ref="Z28:AE28"/>
  </mergeCells>
  <pageMargins left="0.2" right="0.2" top="0.5" bottom="0.5" header="0.05" footer="0.05"/>
  <pageSetup paperSize="17" scale="9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pageSetUpPr fitToPage="1"/>
  </sheetPr>
  <dimension ref="B2:S78"/>
  <sheetViews>
    <sheetView workbookViewId="0">
      <selection activeCell="E3" sqref="E3:E4"/>
    </sheetView>
  </sheetViews>
  <sheetFormatPr defaultColWidth="8.85546875" defaultRowHeight="15" x14ac:dyDescent="0.25"/>
  <cols>
    <col min="1" max="1" width="8.85546875" style="595"/>
    <col min="2" max="2" width="32.7109375" style="595" customWidth="1"/>
    <col min="3" max="3" width="18.5703125" style="595" customWidth="1"/>
    <col min="4" max="4" width="18.85546875" style="595" customWidth="1"/>
    <col min="5" max="5" width="18.140625" style="595" bestFit="1" customWidth="1"/>
    <col min="6" max="6" width="17.7109375" style="595" customWidth="1"/>
    <col min="7" max="7" width="17.140625" style="595" customWidth="1"/>
    <col min="8" max="8" width="17.42578125" style="595" customWidth="1"/>
    <col min="9" max="9" width="18.140625" style="595" customWidth="1"/>
    <col min="10" max="10" width="15.7109375" style="595" customWidth="1"/>
    <col min="11" max="11" width="21.7109375" style="595" customWidth="1"/>
    <col min="12" max="12" width="15.5703125" style="595" bestFit="1" customWidth="1"/>
    <col min="13" max="13" width="8.85546875" style="595"/>
    <col min="14" max="14" width="12.7109375" style="595" customWidth="1"/>
    <col min="15" max="15" width="15.85546875" style="595" customWidth="1"/>
    <col min="16" max="16" width="8.85546875" style="595"/>
    <col min="17" max="17" width="15.28515625" style="595" customWidth="1"/>
    <col min="18" max="18" width="17.5703125" style="595" customWidth="1"/>
    <col min="19" max="19" width="2" style="595" customWidth="1"/>
    <col min="20" max="20" width="14.5703125" style="595" customWidth="1"/>
    <col min="21" max="16384" width="8.85546875" style="595"/>
  </cols>
  <sheetData>
    <row r="2" spans="2:18" x14ac:dyDescent="0.25">
      <c r="B2" s="199" t="s">
        <v>96</v>
      </c>
      <c r="C2" s="200" t="s">
        <v>130</v>
      </c>
      <c r="D2" s="200" t="s">
        <v>131</v>
      </c>
      <c r="E2" s="596" t="s">
        <v>136</v>
      </c>
      <c r="F2" s="348" t="s">
        <v>137</v>
      </c>
    </row>
    <row r="3" spans="2:18" ht="15.75" x14ac:dyDescent="0.25">
      <c r="B3" s="193" t="s">
        <v>97</v>
      </c>
      <c r="C3" s="208">
        <f>300000</f>
        <v>300000</v>
      </c>
      <c r="D3" s="349">
        <f>ABS(8.8-2.73)</f>
        <v>6.07</v>
      </c>
      <c r="E3" s="597">
        <f>6*D3</f>
        <v>36.42</v>
      </c>
      <c r="F3" s="206">
        <f>C3*E3</f>
        <v>10926000</v>
      </c>
      <c r="G3" s="198"/>
      <c r="L3" s="203"/>
    </row>
    <row r="4" spans="2:18" s="598" customFormat="1" ht="16.5" thickBot="1" x14ac:dyDescent="0.3">
      <c r="B4" s="193" t="s">
        <v>138</v>
      </c>
      <c r="C4" s="208">
        <f>20000</f>
        <v>20000</v>
      </c>
      <c r="D4" s="349">
        <f>ABS(8.8-2.73)</f>
        <v>6.07</v>
      </c>
      <c r="E4" s="597">
        <f>6*D4</f>
        <v>36.42</v>
      </c>
      <c r="F4" s="206">
        <f>C4*E4</f>
        <v>728400</v>
      </c>
      <c r="G4" s="147"/>
      <c r="H4" s="599"/>
      <c r="L4" s="204"/>
    </row>
    <row r="5" spans="2:18" x14ac:dyDescent="0.25">
      <c r="B5" s="600"/>
      <c r="C5" s="201"/>
      <c r="D5" s="202"/>
      <c r="E5" s="601"/>
      <c r="F5" s="207"/>
      <c r="G5" s="602"/>
      <c r="H5" s="603"/>
      <c r="I5" s="604"/>
      <c r="J5" s="604"/>
      <c r="K5" s="604"/>
      <c r="L5" s="604"/>
      <c r="M5" s="605"/>
      <c r="N5" s="604"/>
      <c r="O5" s="604"/>
      <c r="P5" s="604"/>
      <c r="Q5" s="606"/>
    </row>
    <row r="6" spans="2:18" s="598" customFormat="1" ht="15.75" customHeight="1" x14ac:dyDescent="0.2">
      <c r="G6" s="607"/>
      <c r="H6" s="608"/>
      <c r="I6" s="608"/>
      <c r="J6" s="608"/>
      <c r="K6" s="608"/>
      <c r="L6" s="608"/>
      <c r="M6" s="305"/>
      <c r="N6" s="608"/>
      <c r="O6" s="608"/>
      <c r="P6" s="608"/>
      <c r="Q6" s="609"/>
    </row>
    <row r="7" spans="2:18" s="598" customFormat="1" x14ac:dyDescent="0.25">
      <c r="E7" s="20"/>
      <c r="G7" s="607"/>
      <c r="H7" s="608"/>
      <c r="I7" s="610"/>
      <c r="J7" s="610"/>
      <c r="K7" s="610"/>
      <c r="L7" s="610"/>
      <c r="M7" s="306"/>
      <c r="N7" s="306"/>
      <c r="O7" s="610"/>
      <c r="P7" s="610"/>
      <c r="Q7" s="609"/>
    </row>
    <row r="8" spans="2:18" s="598" customFormat="1" x14ac:dyDescent="0.25">
      <c r="E8" s="20"/>
      <c r="G8" s="307" t="s">
        <v>111</v>
      </c>
      <c r="H8" s="608"/>
      <c r="I8" s="608"/>
      <c r="J8" s="608"/>
      <c r="K8" s="608"/>
      <c r="L8" s="608"/>
      <c r="M8" s="308"/>
      <c r="N8" s="308"/>
      <c r="O8" s="608"/>
      <c r="P8" s="608"/>
      <c r="Q8" s="609"/>
    </row>
    <row r="9" spans="2:18" s="598" customFormat="1" x14ac:dyDescent="0.25">
      <c r="E9" s="20"/>
      <c r="G9" s="309" t="s">
        <v>110</v>
      </c>
      <c r="H9" s="608"/>
      <c r="I9" s="608"/>
      <c r="J9" s="608"/>
      <c r="K9" s="608"/>
      <c r="L9" s="608"/>
      <c r="M9" s="306"/>
      <c r="N9" s="306"/>
      <c r="O9" s="608"/>
      <c r="P9" s="608"/>
      <c r="Q9" s="609"/>
    </row>
    <row r="10" spans="2:18" s="598" customFormat="1" x14ac:dyDescent="0.25">
      <c r="E10" s="20"/>
      <c r="G10" s="607"/>
      <c r="H10" s="608"/>
      <c r="I10" s="608"/>
      <c r="J10" s="608"/>
      <c r="K10" s="608"/>
      <c r="L10" s="608"/>
      <c r="M10" s="306"/>
      <c r="N10" s="306"/>
      <c r="O10" s="608"/>
      <c r="P10" s="608"/>
      <c r="Q10" s="609"/>
    </row>
    <row r="11" spans="2:18" ht="15.75" thickBot="1" x14ac:dyDescent="0.3">
      <c r="E11" s="20"/>
      <c r="G11" s="611"/>
      <c r="H11" s="612"/>
      <c r="I11" s="612"/>
      <c r="J11" s="612"/>
      <c r="K11" s="612"/>
      <c r="L11" s="612"/>
      <c r="M11" s="310"/>
      <c r="N11" s="310"/>
      <c r="O11" s="612"/>
      <c r="P11" s="612"/>
      <c r="Q11" s="613"/>
    </row>
    <row r="12" spans="2:18" s="598" customFormat="1" x14ac:dyDescent="0.25">
      <c r="E12" s="20"/>
      <c r="L12" s="583"/>
      <c r="M12" s="144"/>
    </row>
    <row r="13" spans="2:18" s="598" customFormat="1" x14ac:dyDescent="0.25">
      <c r="E13" s="20"/>
      <c r="L13" s="583"/>
      <c r="M13" s="144"/>
      <c r="N13" s="98" t="s">
        <v>281</v>
      </c>
    </row>
    <row r="14" spans="2:18" s="598" customFormat="1" x14ac:dyDescent="0.25">
      <c r="E14" s="20"/>
      <c r="F14" s="20"/>
      <c r="L14" s="583"/>
      <c r="M14" s="144"/>
      <c r="N14" s="614" t="s">
        <v>282</v>
      </c>
      <c r="O14" s="615">
        <v>198577730.91999999</v>
      </c>
      <c r="Q14" s="598" t="s">
        <v>283</v>
      </c>
      <c r="R14" s="615">
        <f>45353658+13506425.1</f>
        <v>58860083.100000001</v>
      </c>
    </row>
    <row r="15" spans="2:18" s="598" customFormat="1" ht="15.75" thickBot="1" x14ac:dyDescent="0.3">
      <c r="E15" s="20"/>
      <c r="F15" s="20"/>
      <c r="L15" s="583"/>
      <c r="M15" s="144"/>
      <c r="N15" s="614" t="s">
        <v>284</v>
      </c>
      <c r="O15" s="615">
        <v>20631452.559999999</v>
      </c>
      <c r="Q15" s="598" t="s">
        <v>285</v>
      </c>
      <c r="R15" s="615">
        <v>11465177.09</v>
      </c>
    </row>
    <row r="16" spans="2:18" s="598" customFormat="1" ht="16.5" thickBot="1" x14ac:dyDescent="0.3">
      <c r="B16" s="616" t="s">
        <v>48</v>
      </c>
      <c r="C16" s="617"/>
      <c r="D16" s="617"/>
      <c r="E16" s="617"/>
      <c r="F16" s="618"/>
      <c r="I16" s="586" t="s">
        <v>47</v>
      </c>
      <c r="J16" s="587"/>
      <c r="K16" s="588"/>
      <c r="L16" s="583"/>
      <c r="M16" s="144"/>
      <c r="N16" s="619" t="s">
        <v>286</v>
      </c>
      <c r="O16" s="620">
        <v>46488803.880000003</v>
      </c>
      <c r="Q16" s="598" t="s">
        <v>287</v>
      </c>
      <c r="R16" s="615">
        <v>5095960</v>
      </c>
    </row>
    <row r="17" spans="2:18" s="598" customFormat="1" ht="15.75" x14ac:dyDescent="0.25">
      <c r="B17" s="621" t="s">
        <v>23</v>
      </c>
      <c r="C17" s="622" t="s">
        <v>24</v>
      </c>
      <c r="D17" s="623" t="s">
        <v>25</v>
      </c>
      <c r="E17" s="623" t="s">
        <v>20</v>
      </c>
      <c r="F17" s="624" t="s">
        <v>21</v>
      </c>
      <c r="I17" s="975" t="s">
        <v>17</v>
      </c>
      <c r="J17" s="976"/>
      <c r="K17" s="589" t="s">
        <v>19</v>
      </c>
      <c r="L17" s="583"/>
      <c r="M17" s="144"/>
      <c r="N17" s="614" t="s">
        <v>99</v>
      </c>
      <c r="O17" s="615">
        <f>SUM(O14:O16)</f>
        <v>265697987.35999998</v>
      </c>
      <c r="Q17" s="598" t="s">
        <v>278</v>
      </c>
      <c r="R17" s="615">
        <f>1269875+1638480</f>
        <v>2908355</v>
      </c>
    </row>
    <row r="18" spans="2:18" s="598" customFormat="1" ht="15.75" x14ac:dyDescent="0.25">
      <c r="B18" s="79"/>
      <c r="C18" s="75"/>
      <c r="D18" s="75"/>
      <c r="E18" s="428">
        <v>0</v>
      </c>
      <c r="F18" s="76">
        <v>20</v>
      </c>
      <c r="I18" s="977" t="s">
        <v>258</v>
      </c>
      <c r="J18" s="978"/>
      <c r="K18" s="590">
        <f>L18*0.25</f>
        <v>3113151.25</v>
      </c>
      <c r="L18" s="583">
        <v>12452605</v>
      </c>
      <c r="M18" s="144"/>
      <c r="N18" s="614"/>
      <c r="O18" s="615"/>
      <c r="Q18" s="598" t="s">
        <v>279</v>
      </c>
      <c r="R18" s="615">
        <v>2935770.1</v>
      </c>
    </row>
    <row r="19" spans="2:18" s="598" customFormat="1" ht="15.75" x14ac:dyDescent="0.25">
      <c r="B19" s="426" t="s">
        <v>262</v>
      </c>
      <c r="C19" s="429" t="s">
        <v>181</v>
      </c>
      <c r="D19" s="625">
        <f>0</f>
        <v>0</v>
      </c>
      <c r="E19" s="625">
        <v>0</v>
      </c>
      <c r="F19" s="626">
        <f>E19</f>
        <v>0</v>
      </c>
      <c r="I19" s="979" t="s">
        <v>73</v>
      </c>
      <c r="J19" s="980"/>
      <c r="K19" s="590">
        <f>L19*0.5</f>
        <v>16100000</v>
      </c>
      <c r="L19" s="598">
        <v>32200000</v>
      </c>
      <c r="N19" s="614"/>
      <c r="O19" s="627"/>
    </row>
    <row r="20" spans="2:18" s="598" customFormat="1" ht="15.75" x14ac:dyDescent="0.25">
      <c r="B20" s="426" t="s">
        <v>179</v>
      </c>
      <c r="C20" s="429" t="s">
        <v>181</v>
      </c>
      <c r="D20" s="625">
        <f>0</f>
        <v>0</v>
      </c>
      <c r="E20" s="625">
        <v>0</v>
      </c>
      <c r="F20" s="626">
        <f>E20</f>
        <v>0</v>
      </c>
      <c r="I20" s="979" t="s">
        <v>179</v>
      </c>
      <c r="J20" s="980"/>
      <c r="K20" s="590">
        <v>1000000</v>
      </c>
      <c r="N20" s="98" t="s">
        <v>288</v>
      </c>
    </row>
    <row r="21" spans="2:18" s="598" customFormat="1" ht="15.75" x14ac:dyDescent="0.25">
      <c r="B21" s="426" t="s">
        <v>180</v>
      </c>
      <c r="C21" s="429" t="s">
        <v>181</v>
      </c>
      <c r="D21" s="625">
        <f>0</f>
        <v>0</v>
      </c>
      <c r="E21" s="625">
        <f>K21</f>
        <v>0</v>
      </c>
      <c r="F21" s="626">
        <f>E21</f>
        <v>0</v>
      </c>
      <c r="I21" s="979" t="s">
        <v>180</v>
      </c>
      <c r="J21" s="980"/>
      <c r="K21" s="590">
        <v>0</v>
      </c>
      <c r="N21" s="614" t="s">
        <v>282</v>
      </c>
      <c r="O21" s="615">
        <v>71983499.549999997</v>
      </c>
      <c r="Q21" s="598" t="s">
        <v>283</v>
      </c>
      <c r="R21" s="615">
        <f>28258739.06+5080220</f>
        <v>33338959.059999999</v>
      </c>
    </row>
    <row r="22" spans="2:18" s="598" customFormat="1" ht="15.75" x14ac:dyDescent="0.25">
      <c r="B22" s="628" t="s">
        <v>289</v>
      </c>
      <c r="C22" s="427">
        <v>75</v>
      </c>
      <c r="D22" s="629">
        <f t="shared" ref="D22:D28" si="0">E22/C22</f>
        <v>1462578.3843613663</v>
      </c>
      <c r="E22" s="630">
        <f>K24*(1+$L$32)</f>
        <v>109693378.82710247</v>
      </c>
      <c r="F22" s="631">
        <f>IF(E22-(D22*F$18)&lt;0,0,E22-(D22*F$18))</f>
        <v>80441811.139875144</v>
      </c>
      <c r="G22" s="632"/>
      <c r="I22" s="979" t="s">
        <v>51</v>
      </c>
      <c r="J22" s="980"/>
      <c r="K22" s="74"/>
      <c r="N22" s="614" t="s">
        <v>284</v>
      </c>
      <c r="O22" s="615">
        <v>9203608.3300000001</v>
      </c>
      <c r="Q22" s="598" t="s">
        <v>285</v>
      </c>
      <c r="R22" s="615">
        <v>13006445</v>
      </c>
    </row>
    <row r="23" spans="2:18" s="598" customFormat="1" ht="15.75" x14ac:dyDescent="0.25">
      <c r="B23" s="628" t="s">
        <v>290</v>
      </c>
      <c r="C23" s="427">
        <f>AVERAGE(Q35:Q38)</f>
        <v>29.273937499999999</v>
      </c>
      <c r="D23" s="629">
        <f t="shared" si="0"/>
        <v>541771.58451223758</v>
      </c>
      <c r="E23" s="630">
        <f t="shared" ref="E23:E27" si="1">K25*(1+$L$32)</f>
        <v>15859787.504287209</v>
      </c>
      <c r="F23" s="631">
        <f t="shared" ref="F23:F28" si="2">IF(E23-(D23*F$18)&lt;0,0,E23-(D23*F$18))</f>
        <v>5024355.8140424583</v>
      </c>
      <c r="I23" s="981" t="s">
        <v>71</v>
      </c>
      <c r="J23" s="982"/>
      <c r="K23" s="590">
        <f>R14+R21</f>
        <v>92199042.159999996</v>
      </c>
      <c r="N23" s="619" t="s">
        <v>286</v>
      </c>
      <c r="O23" s="620">
        <v>17156085.670000002</v>
      </c>
      <c r="Q23" s="598" t="s">
        <v>278</v>
      </c>
      <c r="R23" s="615">
        <v>3703777.08</v>
      </c>
    </row>
    <row r="24" spans="2:18" s="598" customFormat="1" ht="15.75" x14ac:dyDescent="0.25">
      <c r="B24" s="628" t="s">
        <v>291</v>
      </c>
      <c r="C24" s="427">
        <v>50</v>
      </c>
      <c r="D24" s="629">
        <f t="shared" si="0"/>
        <v>125893.94396370917</v>
      </c>
      <c r="E24" s="630">
        <f t="shared" si="1"/>
        <v>6294697.1981854588</v>
      </c>
      <c r="F24" s="631">
        <f t="shared" si="2"/>
        <v>3776818.3189112754</v>
      </c>
      <c r="I24" s="981" t="s">
        <v>275</v>
      </c>
      <c r="J24" s="982"/>
      <c r="K24" s="590">
        <f>SUM(R39:R46)</f>
        <v>88803806.309999987</v>
      </c>
      <c r="N24" s="614" t="s">
        <v>99</v>
      </c>
      <c r="O24" s="615">
        <f>SUM(O21:O23)</f>
        <v>98343193.549999997</v>
      </c>
      <c r="Q24" s="598" t="s">
        <v>279</v>
      </c>
      <c r="R24" s="615">
        <v>2660392.7599999998</v>
      </c>
    </row>
    <row r="25" spans="2:18" s="598" customFormat="1" ht="16.5" thickBot="1" x14ac:dyDescent="0.3">
      <c r="B25" s="628" t="s">
        <v>292</v>
      </c>
      <c r="C25" s="427">
        <v>30</v>
      </c>
      <c r="D25" s="629">
        <f t="shared" si="0"/>
        <v>1007605.0505693163</v>
      </c>
      <c r="E25" s="630">
        <f t="shared" si="1"/>
        <v>30228151.517079487</v>
      </c>
      <c r="F25" s="631">
        <f t="shared" si="2"/>
        <v>10076050.505693164</v>
      </c>
      <c r="I25" s="981" t="s">
        <v>276</v>
      </c>
      <c r="J25" s="982"/>
      <c r="K25" s="590">
        <f>SUM(R35:R38)</f>
        <v>12839512.399999999</v>
      </c>
      <c r="N25" s="614"/>
      <c r="O25" s="615"/>
    </row>
    <row r="26" spans="2:18" s="598" customFormat="1" ht="15.75" x14ac:dyDescent="0.25">
      <c r="B26" s="628" t="s">
        <v>70</v>
      </c>
      <c r="C26" s="427">
        <v>100</v>
      </c>
      <c r="D26" s="629">
        <f t="shared" si="0"/>
        <v>81675.227588144713</v>
      </c>
      <c r="E26" s="630">
        <f t="shared" si="1"/>
        <v>8167522.7588144708</v>
      </c>
      <c r="F26" s="631">
        <f t="shared" si="2"/>
        <v>6534018.207051577</v>
      </c>
      <c r="I26" s="981" t="s">
        <v>277</v>
      </c>
      <c r="J26" s="982"/>
      <c r="K26" s="590">
        <f>R16</f>
        <v>5095960</v>
      </c>
      <c r="N26" s="633" t="s">
        <v>50</v>
      </c>
      <c r="O26" s="634"/>
    </row>
    <row r="27" spans="2:18" s="598" customFormat="1" ht="15.75" x14ac:dyDescent="0.25">
      <c r="B27" s="628" t="s">
        <v>293</v>
      </c>
      <c r="C27" s="427">
        <v>30</v>
      </c>
      <c r="D27" s="629">
        <f t="shared" si="0"/>
        <v>230418.80676347224</v>
      </c>
      <c r="E27" s="630">
        <f t="shared" si="1"/>
        <v>6912564.2029041676</v>
      </c>
      <c r="F27" s="631">
        <f t="shared" si="2"/>
        <v>2304188.0676347231</v>
      </c>
      <c r="G27" s="595"/>
      <c r="I27" s="981" t="s">
        <v>70</v>
      </c>
      <c r="J27" s="982"/>
      <c r="K27" s="590">
        <f>R15+R22</f>
        <v>24471622.09</v>
      </c>
      <c r="N27" s="635" t="s">
        <v>282</v>
      </c>
      <c r="O27" s="636">
        <f>O14+O21</f>
        <v>270561230.46999997</v>
      </c>
    </row>
    <row r="28" spans="2:18" s="598" customFormat="1" ht="15.75" x14ac:dyDescent="0.25">
      <c r="B28" s="637" t="s">
        <v>279</v>
      </c>
      <c r="C28" s="638">
        <v>50</v>
      </c>
      <c r="D28" s="639">
        <f t="shared" si="0"/>
        <v>138251.28405808334</v>
      </c>
      <c r="E28" s="640">
        <f>K29*(1+$L$32)</f>
        <v>6912564.2029041676</v>
      </c>
      <c r="F28" s="641">
        <f t="shared" si="2"/>
        <v>4147538.5217425008</v>
      </c>
      <c r="G28" s="595"/>
      <c r="I28" s="981" t="s">
        <v>278</v>
      </c>
      <c r="J28" s="982"/>
      <c r="K28" s="590">
        <f>R17+R23</f>
        <v>6612132.0800000001</v>
      </c>
      <c r="N28" s="635" t="s">
        <v>284</v>
      </c>
      <c r="O28" s="636">
        <f>O15+O22</f>
        <v>29835060.890000001</v>
      </c>
    </row>
    <row r="29" spans="2:18" s="598" customFormat="1" ht="16.5" thickBot="1" x14ac:dyDescent="0.3">
      <c r="B29" s="592" t="s">
        <v>49</v>
      </c>
      <c r="C29" s="642"/>
      <c r="D29" s="643">
        <f>SUM(D19:D28)</f>
        <v>3588194.2818163293</v>
      </c>
      <c r="E29" s="643">
        <f>SUM(E19:E28)</f>
        <v>184068666.21127746</v>
      </c>
      <c r="F29" s="644">
        <f>SUM(F19:F28)</f>
        <v>112304780.57495084</v>
      </c>
      <c r="G29" s="645"/>
      <c r="I29" s="981" t="s">
        <v>279</v>
      </c>
      <c r="J29" s="982"/>
      <c r="K29" s="590">
        <f>R18+R24</f>
        <v>5596162.8599999994</v>
      </c>
      <c r="L29" s="632"/>
      <c r="N29" s="646" t="s">
        <v>286</v>
      </c>
      <c r="O29" s="647">
        <f>O16+O23</f>
        <v>63644889.550000004</v>
      </c>
    </row>
    <row r="30" spans="2:18" s="598" customFormat="1" ht="16.5" thickBot="1" x14ac:dyDescent="0.3">
      <c r="B30" s="77" t="s">
        <v>22</v>
      </c>
      <c r="C30" s="20"/>
      <c r="D30" s="20"/>
      <c r="E30" s="20"/>
      <c r="F30" s="20"/>
      <c r="I30" s="981" t="s">
        <v>74</v>
      </c>
      <c r="J30" s="982"/>
      <c r="K30" s="590">
        <f>O27-K23-K24-K25-K26-K27-K28-K29</f>
        <v>34942992.569999993</v>
      </c>
      <c r="N30" s="648" t="s">
        <v>99</v>
      </c>
      <c r="O30" s="649">
        <f>SUM(O27:O29)</f>
        <v>364041180.90999997</v>
      </c>
    </row>
    <row r="31" spans="2:18" s="598" customFormat="1" ht="15.75" x14ac:dyDescent="0.25">
      <c r="B31" s="77"/>
      <c r="C31" s="20"/>
      <c r="D31" s="20"/>
      <c r="E31" s="20"/>
      <c r="F31" s="20"/>
      <c r="I31" s="981" t="s">
        <v>75</v>
      </c>
      <c r="J31" s="982"/>
      <c r="K31" s="590">
        <f>O28</f>
        <v>29835060.890000001</v>
      </c>
      <c r="O31" s="645">
        <f>SUM(K23:K32)</f>
        <v>364041180.90999997</v>
      </c>
      <c r="P31" s="598" t="str">
        <f>IF((O31=O30),"ok","err")</f>
        <v>ok</v>
      </c>
    </row>
    <row r="32" spans="2:18" s="598" customFormat="1" ht="15.75" x14ac:dyDescent="0.25">
      <c r="B32" s="77"/>
      <c r="C32" s="20"/>
      <c r="D32" s="20"/>
      <c r="E32" s="20"/>
      <c r="F32" s="20"/>
      <c r="I32" s="983" t="s">
        <v>280</v>
      </c>
      <c r="J32" s="984"/>
      <c r="K32" s="591">
        <f>O29</f>
        <v>63644889.550000004</v>
      </c>
      <c r="L32" s="598">
        <f>K32/SUM(K23:K30)</f>
        <v>0.23523285076520598</v>
      </c>
      <c r="N32" s="650"/>
      <c r="O32" s="651"/>
    </row>
    <row r="33" spans="2:19" s="598" customFormat="1" ht="16.5" thickBot="1" x14ac:dyDescent="0.3">
      <c r="B33" s="77"/>
      <c r="C33" s="20"/>
      <c r="D33" s="20"/>
      <c r="E33" s="20"/>
      <c r="F33" s="20"/>
      <c r="I33" s="592" t="s">
        <v>18</v>
      </c>
      <c r="J33" s="593"/>
      <c r="K33" s="594">
        <f>SUM(K18:K32)</f>
        <v>384254332.15999997</v>
      </c>
      <c r="O33" s="651"/>
    </row>
    <row r="34" spans="2:19" s="598" customFormat="1" ht="15.75" x14ac:dyDescent="0.25">
      <c r="B34" s="77"/>
      <c r="C34" s="20"/>
      <c r="D34" s="20"/>
      <c r="E34" s="20"/>
      <c r="F34" s="20"/>
      <c r="L34" s="652"/>
      <c r="N34" s="653" t="s">
        <v>72</v>
      </c>
      <c r="Q34" s="598" t="s">
        <v>294</v>
      </c>
    </row>
    <row r="35" spans="2:19" s="598" customFormat="1" ht="15.75" thickBot="1" x14ac:dyDescent="0.3">
      <c r="B35" s="598" t="s">
        <v>295</v>
      </c>
      <c r="G35" s="595"/>
      <c r="H35" s="595"/>
      <c r="I35" s="595"/>
      <c r="J35" s="595"/>
      <c r="K35" s="595"/>
      <c r="L35" s="654"/>
      <c r="N35" s="598" t="s">
        <v>296</v>
      </c>
      <c r="O35" s="598" t="s">
        <v>297</v>
      </c>
      <c r="P35" s="598" t="s">
        <v>298</v>
      </c>
      <c r="Q35" s="598">
        <v>29.595500000000001</v>
      </c>
      <c r="R35" s="615">
        <v>3307320.5</v>
      </c>
      <c r="S35" s="595"/>
    </row>
    <row r="36" spans="2:19" s="598" customFormat="1" ht="15.75" thickBot="1" x14ac:dyDescent="0.3">
      <c r="B36" s="655" t="s">
        <v>259</v>
      </c>
      <c r="C36" s="656" t="s">
        <v>299</v>
      </c>
      <c r="D36" s="656" t="s">
        <v>300</v>
      </c>
      <c r="E36" s="656" t="s">
        <v>301</v>
      </c>
      <c r="F36" s="656" t="s">
        <v>302</v>
      </c>
      <c r="G36" s="656" t="s">
        <v>303</v>
      </c>
      <c r="H36" s="656" t="s">
        <v>304</v>
      </c>
      <c r="I36" s="656" t="s">
        <v>305</v>
      </c>
      <c r="J36" s="656" t="s">
        <v>306</v>
      </c>
      <c r="K36" s="656" t="s">
        <v>99</v>
      </c>
      <c r="L36" s="657"/>
      <c r="N36" s="598">
        <v>9728</v>
      </c>
      <c r="O36" s="598" t="s">
        <v>307</v>
      </c>
      <c r="P36" s="598" t="s">
        <v>298</v>
      </c>
      <c r="Q36" s="598">
        <v>29.502500000000001</v>
      </c>
      <c r="R36" s="615">
        <v>3221146.5</v>
      </c>
      <c r="S36" s="595"/>
    </row>
    <row r="37" spans="2:19" s="598" customFormat="1" ht="15.75" thickBot="1" x14ac:dyDescent="0.3">
      <c r="B37" s="215" t="s">
        <v>100</v>
      </c>
      <c r="C37" s="221">
        <f>K18</f>
        <v>3113151.25</v>
      </c>
      <c r="D37" s="221"/>
      <c r="E37" s="216"/>
      <c r="F37" s="216"/>
      <c r="G37" s="216"/>
      <c r="H37" s="216"/>
      <c r="I37" s="216"/>
      <c r="J37" s="216"/>
      <c r="K37" s="217">
        <f>SUM(B37:J37)</f>
        <v>3113151.25</v>
      </c>
      <c r="L37" s="657"/>
      <c r="N37" s="598" t="s">
        <v>308</v>
      </c>
      <c r="O37" s="598" t="s">
        <v>309</v>
      </c>
      <c r="P37" s="598" t="s">
        <v>298</v>
      </c>
      <c r="Q37" s="598">
        <v>29.098749999999999</v>
      </c>
      <c r="R37" s="615">
        <v>3155522.7</v>
      </c>
      <c r="S37" s="595"/>
    </row>
    <row r="38" spans="2:19" s="598" customFormat="1" ht="15.75" thickBot="1" x14ac:dyDescent="0.3">
      <c r="B38" s="215" t="s">
        <v>73</v>
      </c>
      <c r="C38" s="221">
        <f>K19-D38-E38-F38</f>
        <v>3700000</v>
      </c>
      <c r="D38" s="221">
        <v>2400000</v>
      </c>
      <c r="E38" s="216">
        <v>8400000</v>
      </c>
      <c r="F38" s="216">
        <v>1600000</v>
      </c>
      <c r="G38" s="218"/>
      <c r="H38" s="218"/>
      <c r="I38" s="218"/>
      <c r="J38" s="218"/>
      <c r="K38" s="217">
        <f>SUM(C38:J38)</f>
        <v>16100000</v>
      </c>
      <c r="L38" s="657"/>
      <c r="M38" s="595"/>
      <c r="N38" s="598">
        <v>9734</v>
      </c>
      <c r="O38" s="598" t="s">
        <v>310</v>
      </c>
      <c r="P38" s="598" t="s">
        <v>298</v>
      </c>
      <c r="Q38" s="598">
        <v>28.899000000000001</v>
      </c>
      <c r="R38" s="615">
        <v>3155522.7</v>
      </c>
      <c r="S38" s="595"/>
    </row>
    <row r="39" spans="2:19" s="598" customFormat="1" ht="15.75" thickBot="1" x14ac:dyDescent="0.3">
      <c r="B39" s="215" t="s">
        <v>57</v>
      </c>
      <c r="C39" s="221">
        <v>0</v>
      </c>
      <c r="D39" s="221"/>
      <c r="E39" s="658">
        <v>500000</v>
      </c>
      <c r="F39" s="658">
        <v>500000</v>
      </c>
      <c r="G39" s="218"/>
      <c r="H39" s="216"/>
      <c r="I39" s="218"/>
      <c r="J39" s="218"/>
      <c r="K39" s="217">
        <f>SUM(B39:J39)</f>
        <v>1000000</v>
      </c>
      <c r="L39" s="657"/>
      <c r="M39" s="595"/>
      <c r="N39" s="598">
        <v>23866</v>
      </c>
      <c r="O39" s="598" t="s">
        <v>311</v>
      </c>
      <c r="P39" s="598" t="s">
        <v>312</v>
      </c>
      <c r="Q39" s="598">
        <v>75</v>
      </c>
      <c r="R39" s="615">
        <v>5612987.5999999996</v>
      </c>
      <c r="S39" s="595"/>
    </row>
    <row r="40" spans="2:19" ht="15.75" thickBot="1" x14ac:dyDescent="0.3">
      <c r="B40" s="215" t="s">
        <v>101</v>
      </c>
      <c r="C40" s="659">
        <v>0</v>
      </c>
      <c r="D40" s="659"/>
      <c r="E40" s="660"/>
      <c r="F40" s="661"/>
      <c r="G40" s="218"/>
      <c r="H40" s="216"/>
      <c r="I40" s="218"/>
      <c r="J40" s="218"/>
      <c r="K40" s="217">
        <f>SUM(B40:J40)</f>
        <v>0</v>
      </c>
      <c r="L40" s="657"/>
      <c r="N40" s="598">
        <v>23865</v>
      </c>
      <c r="O40" s="598" t="s">
        <v>313</v>
      </c>
      <c r="P40" s="598" t="s">
        <v>312</v>
      </c>
      <c r="Q40" s="598">
        <v>75</v>
      </c>
      <c r="R40" s="615">
        <v>5938696.5</v>
      </c>
    </row>
    <row r="41" spans="2:19" ht="15.75" thickBot="1" x14ac:dyDescent="0.3">
      <c r="B41" s="215" t="s">
        <v>314</v>
      </c>
      <c r="C41" s="221">
        <v>0</v>
      </c>
      <c r="D41" s="221"/>
      <c r="E41" s="218"/>
      <c r="F41" s="218"/>
      <c r="G41" s="216">
        <v>156269696.85958919</v>
      </c>
      <c r="H41" s="216">
        <v>80067215.649026066</v>
      </c>
      <c r="I41" s="216">
        <v>110901075.1906762</v>
      </c>
      <c r="J41" s="216">
        <v>16803193.210708514</v>
      </c>
      <c r="K41" s="217">
        <f>SUM(B41:J41)</f>
        <v>364041180.90999997</v>
      </c>
      <c r="L41" s="662"/>
      <c r="N41" s="598">
        <v>23868</v>
      </c>
      <c r="O41" s="598" t="s">
        <v>315</v>
      </c>
      <c r="P41" s="598" t="s">
        <v>312</v>
      </c>
      <c r="Q41" s="598">
        <v>75</v>
      </c>
      <c r="R41" s="615">
        <v>28306844.5</v>
      </c>
    </row>
    <row r="42" spans="2:19" ht="15.75" thickBot="1" x14ac:dyDescent="0.3">
      <c r="B42" s="219" t="s">
        <v>50</v>
      </c>
      <c r="C42" s="220">
        <f t="shared" ref="C42:H42" si="3">SUM(C37:C41)</f>
        <v>6813151.25</v>
      </c>
      <c r="D42" s="220">
        <f t="shared" si="3"/>
        <v>2400000</v>
      </c>
      <c r="E42" s="220">
        <f t="shared" si="3"/>
        <v>8900000</v>
      </c>
      <c r="F42" s="220">
        <f>SUM(F37:F41)</f>
        <v>2100000</v>
      </c>
      <c r="G42" s="220">
        <f t="shared" si="3"/>
        <v>156269696.85958919</v>
      </c>
      <c r="H42" s="220">
        <f t="shared" si="3"/>
        <v>80067215.649026066</v>
      </c>
      <c r="I42" s="220">
        <f>SUM(I37:I41)</f>
        <v>110901075.1906762</v>
      </c>
      <c r="J42" s="220">
        <f>SUM(J37:J41)</f>
        <v>16803193.210708514</v>
      </c>
      <c r="K42" s="220">
        <f t="shared" ref="K42" si="4">SUM(K37:K41)</f>
        <v>384254332.15999997</v>
      </c>
      <c r="L42" s="652"/>
      <c r="N42" s="598">
        <v>23867</v>
      </c>
      <c r="O42" s="598" t="s">
        <v>316</v>
      </c>
      <c r="P42" s="598" t="s">
        <v>312</v>
      </c>
      <c r="Q42" s="598">
        <v>75</v>
      </c>
      <c r="R42" s="615">
        <v>27303963.5</v>
      </c>
    </row>
    <row r="43" spans="2:19" x14ac:dyDescent="0.25">
      <c r="B43" s="595" t="s">
        <v>317</v>
      </c>
      <c r="I43" s="663"/>
      <c r="L43" s="652"/>
      <c r="N43" s="598">
        <v>23870</v>
      </c>
      <c r="O43" s="598" t="s">
        <v>318</v>
      </c>
      <c r="P43" s="598" t="s">
        <v>312</v>
      </c>
      <c r="Q43" s="598">
        <v>75</v>
      </c>
      <c r="R43" s="615">
        <v>4025971.4</v>
      </c>
    </row>
    <row r="44" spans="2:19" x14ac:dyDescent="0.25">
      <c r="G44" s="595">
        <v>186000000</v>
      </c>
      <c r="H44" s="595">
        <v>95300000</v>
      </c>
      <c r="I44" s="652">
        <v>132000000</v>
      </c>
      <c r="J44" s="652">
        <v>20000000</v>
      </c>
      <c r="K44" s="652"/>
      <c r="L44" s="78"/>
      <c r="N44" s="598">
        <v>23869</v>
      </c>
      <c r="O44" s="598" t="s">
        <v>319</v>
      </c>
      <c r="P44" s="598" t="s">
        <v>312</v>
      </c>
      <c r="Q44" s="598">
        <v>75</v>
      </c>
      <c r="R44" s="615">
        <v>4350000.5999999996</v>
      </c>
    </row>
    <row r="45" spans="2:19" x14ac:dyDescent="0.25">
      <c r="B45" s="297"/>
      <c r="C45" s="18"/>
      <c r="D45" s="7"/>
      <c r="G45" s="671">
        <f>SUM(G41:J41)</f>
        <v>364041180.90999997</v>
      </c>
      <c r="H45" s="672">
        <f>SUM(K23:K32)</f>
        <v>364041180.90999997</v>
      </c>
      <c r="I45" s="78"/>
      <c r="J45" s="78"/>
      <c r="K45" s="78"/>
      <c r="L45" s="664"/>
      <c r="N45" s="598">
        <v>9404</v>
      </c>
      <c r="O45" s="598" t="s">
        <v>320</v>
      </c>
      <c r="P45" s="598" t="s">
        <v>312</v>
      </c>
      <c r="Q45" s="598">
        <v>75</v>
      </c>
      <c r="R45" s="615">
        <v>6206736.71</v>
      </c>
    </row>
    <row r="46" spans="2:19" x14ac:dyDescent="0.25">
      <c r="B46" s="585" t="s">
        <v>300</v>
      </c>
      <c r="C46" s="665" t="s">
        <v>321</v>
      </c>
      <c r="D46" s="585"/>
      <c r="E46" s="666">
        <f>4*600000</f>
        <v>2400000</v>
      </c>
      <c r="G46" s="78">
        <f>G41/$G$45</f>
        <v>0.42926378952227096</v>
      </c>
      <c r="H46" s="78">
        <f t="shared" ref="H46:J46" si="5">H41/$G$45</f>
        <v>0.21993999538426032</v>
      </c>
      <c r="I46" s="78">
        <f t="shared" si="5"/>
        <v>0.30463881837064388</v>
      </c>
      <c r="J46" s="78">
        <f t="shared" si="5"/>
        <v>4.6157396722824831E-2</v>
      </c>
      <c r="K46" s="652"/>
      <c r="L46" s="599"/>
      <c r="N46" s="598">
        <v>9724</v>
      </c>
      <c r="O46" s="598" t="s">
        <v>322</v>
      </c>
      <c r="P46" s="598" t="s">
        <v>312</v>
      </c>
      <c r="Q46" s="598">
        <v>75</v>
      </c>
      <c r="R46" s="615">
        <v>7058605.5</v>
      </c>
    </row>
    <row r="47" spans="2:19" x14ac:dyDescent="0.25">
      <c r="B47" s="585" t="s">
        <v>301</v>
      </c>
      <c r="C47" s="665" t="s">
        <v>323</v>
      </c>
      <c r="D47" s="585"/>
      <c r="E47" s="666">
        <f>12*700000</f>
        <v>8400000</v>
      </c>
      <c r="G47" s="664">
        <f>G46*$H$45</f>
        <v>156269696.85958919</v>
      </c>
      <c r="H47" s="664">
        <f t="shared" ref="H47:J47" si="6">H46*$H$45</f>
        <v>80067215.649026066</v>
      </c>
      <c r="I47" s="664">
        <f t="shared" si="6"/>
        <v>110901075.1906762</v>
      </c>
      <c r="J47" s="664">
        <f t="shared" si="6"/>
        <v>16803193.210708514</v>
      </c>
      <c r="K47" s="599"/>
      <c r="M47" s="652"/>
      <c r="N47" s="598"/>
      <c r="O47" s="598"/>
      <c r="P47" s="598"/>
      <c r="Q47" s="598"/>
      <c r="R47" s="615"/>
    </row>
    <row r="48" spans="2:19" x14ac:dyDescent="0.25">
      <c r="B48" s="585" t="s">
        <v>302</v>
      </c>
      <c r="C48" s="665" t="s">
        <v>324</v>
      </c>
      <c r="D48" s="585" t="s">
        <v>325</v>
      </c>
      <c r="E48" s="667">
        <f>2*800000</f>
        <v>1600000</v>
      </c>
      <c r="F48" s="652"/>
      <c r="G48" s="599"/>
      <c r="H48" s="599"/>
      <c r="M48" s="78"/>
      <c r="N48" s="598"/>
      <c r="O48" s="598"/>
      <c r="P48" s="598"/>
      <c r="Q48" s="598"/>
      <c r="R48" s="627"/>
    </row>
    <row r="49" spans="2:18" s="652" customFormat="1" x14ac:dyDescent="0.25">
      <c r="B49" s="585" t="s">
        <v>303</v>
      </c>
      <c r="C49" s="665" t="s">
        <v>326</v>
      </c>
      <c r="D49" s="668" t="s">
        <v>327</v>
      </c>
      <c r="E49" s="78"/>
      <c r="F49" s="78"/>
      <c r="G49" s="595">
        <v>156269696.85958919</v>
      </c>
      <c r="H49" s="595">
        <v>80067215.649026066</v>
      </c>
      <c r="I49" s="595">
        <v>110901075.1906762</v>
      </c>
      <c r="J49" s="595">
        <v>16803193.210708514</v>
      </c>
      <c r="K49" s="595"/>
      <c r="L49" s="595"/>
      <c r="N49" s="595"/>
      <c r="O49" s="595"/>
      <c r="P49" s="598"/>
      <c r="Q49" s="598"/>
      <c r="R49" s="598"/>
    </row>
    <row r="50" spans="2:18" s="78" customFormat="1" x14ac:dyDescent="0.25">
      <c r="B50" s="585" t="s">
        <v>304</v>
      </c>
      <c r="C50" s="665" t="s">
        <v>328</v>
      </c>
      <c r="D50" s="585"/>
      <c r="E50" s="652"/>
      <c r="F50" s="652"/>
      <c r="G50" s="595"/>
      <c r="H50" s="595"/>
      <c r="I50" s="595"/>
      <c r="J50" s="595"/>
      <c r="K50" s="595"/>
      <c r="L50" s="595"/>
      <c r="M50" s="599"/>
      <c r="N50" s="595"/>
      <c r="O50" s="598"/>
      <c r="P50" s="595"/>
      <c r="Q50" s="598"/>
      <c r="R50" s="595"/>
    </row>
    <row r="51" spans="2:18" s="652" customFormat="1" x14ac:dyDescent="0.25">
      <c r="B51" s="585" t="s">
        <v>305</v>
      </c>
      <c r="C51" s="665" t="s">
        <v>329</v>
      </c>
      <c r="D51" s="585"/>
      <c r="E51" s="599"/>
      <c r="F51" s="599"/>
      <c r="G51" s="595"/>
      <c r="H51" s="595"/>
      <c r="I51" s="595"/>
      <c r="J51" s="595"/>
      <c r="K51" s="595"/>
      <c r="L51" s="595"/>
      <c r="M51" s="595"/>
      <c r="N51" s="595"/>
      <c r="O51" s="598"/>
      <c r="P51" s="595"/>
      <c r="Q51" s="598"/>
      <c r="R51" s="595"/>
    </row>
    <row r="52" spans="2:18" s="599" customFormat="1" x14ac:dyDescent="0.25">
      <c r="B52" s="585" t="s">
        <v>306</v>
      </c>
      <c r="C52" s="665" t="s">
        <v>330</v>
      </c>
      <c r="D52" s="585" t="s">
        <v>331</v>
      </c>
      <c r="E52" s="595"/>
      <c r="F52" s="595"/>
      <c r="G52" s="595"/>
      <c r="H52" s="595"/>
      <c r="I52" s="595"/>
      <c r="J52" s="595"/>
      <c r="K52" s="595"/>
      <c r="L52" s="595"/>
      <c r="M52" s="595"/>
      <c r="N52" s="595"/>
      <c r="O52" s="598"/>
      <c r="P52" s="595"/>
      <c r="Q52" s="598"/>
      <c r="R52" s="595"/>
    </row>
    <row r="53" spans="2:18" x14ac:dyDescent="0.25">
      <c r="B53" s="584"/>
      <c r="C53" s="584"/>
      <c r="D53" s="585"/>
      <c r="O53" s="598"/>
      <c r="Q53" s="598"/>
    </row>
    <row r="54" spans="2:18" x14ac:dyDescent="0.25">
      <c r="B54" s="584"/>
      <c r="C54" s="584"/>
      <c r="D54" s="585"/>
    </row>
    <row r="55" spans="2:18" x14ac:dyDescent="0.25">
      <c r="B55" s="584"/>
      <c r="C55" s="584"/>
      <c r="D55" s="585"/>
      <c r="L55" s="669"/>
    </row>
    <row r="56" spans="2:18" x14ac:dyDescent="0.25">
      <c r="B56" s="584"/>
      <c r="C56" s="584"/>
      <c r="D56" s="585"/>
      <c r="I56" s="669"/>
      <c r="J56" s="669"/>
      <c r="K56" s="669"/>
      <c r="L56" s="669"/>
    </row>
    <row r="57" spans="2:18" x14ac:dyDescent="0.25">
      <c r="B57" s="585"/>
      <c r="C57" s="585"/>
      <c r="D57" s="585"/>
      <c r="G57" s="669"/>
      <c r="H57" s="669"/>
      <c r="I57" s="669"/>
      <c r="J57" s="669"/>
      <c r="K57" s="669"/>
      <c r="L57" s="669"/>
    </row>
    <row r="58" spans="2:18" x14ac:dyDescent="0.25">
      <c r="B58" s="584"/>
      <c r="C58" s="584"/>
      <c r="D58" s="585"/>
      <c r="G58" s="669"/>
      <c r="H58" s="669"/>
      <c r="I58" s="669"/>
      <c r="J58" s="669"/>
      <c r="K58" s="669"/>
      <c r="N58" s="652"/>
      <c r="O58" s="652"/>
    </row>
    <row r="59" spans="2:18" x14ac:dyDescent="0.25">
      <c r="B59" s="652"/>
      <c r="C59" s="652"/>
      <c r="D59" s="652"/>
      <c r="G59" s="669"/>
      <c r="H59" s="669"/>
      <c r="M59" s="669"/>
      <c r="N59" s="78"/>
      <c r="O59" s="78"/>
    </row>
    <row r="60" spans="2:18" x14ac:dyDescent="0.25">
      <c r="B60" s="669"/>
      <c r="C60" s="669"/>
      <c r="D60" s="669"/>
      <c r="E60" s="669"/>
      <c r="F60" s="669"/>
      <c r="M60" s="669"/>
      <c r="N60" s="652"/>
      <c r="O60" s="652"/>
    </row>
    <row r="61" spans="2:18" s="669" customFormat="1" x14ac:dyDescent="0.25">
      <c r="G61" s="595"/>
      <c r="H61" s="595"/>
      <c r="I61" s="595"/>
      <c r="J61" s="595"/>
      <c r="K61" s="595"/>
      <c r="L61" s="595"/>
      <c r="N61" s="599"/>
      <c r="O61" s="599"/>
      <c r="P61" s="595"/>
      <c r="Q61" s="595"/>
      <c r="R61" s="595"/>
    </row>
    <row r="62" spans="2:18" s="669" customFormat="1" x14ac:dyDescent="0.25">
      <c r="G62" s="595"/>
      <c r="H62" s="595"/>
      <c r="I62" s="595"/>
      <c r="J62" s="595"/>
      <c r="K62" s="595"/>
      <c r="L62" s="595"/>
      <c r="M62" s="595"/>
      <c r="N62" s="595"/>
      <c r="O62" s="595"/>
      <c r="P62" s="595"/>
      <c r="Q62" s="595"/>
      <c r="R62" s="595"/>
    </row>
    <row r="63" spans="2:18" s="669" customFormat="1" ht="15.75" customHeight="1" x14ac:dyDescent="0.25">
      <c r="B63" s="595"/>
      <c r="C63" s="595"/>
      <c r="D63" s="595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O63" s="595"/>
      <c r="P63" s="595"/>
      <c r="Q63" s="595"/>
      <c r="R63" s="595"/>
    </row>
    <row r="64" spans="2:18" ht="15.75" customHeight="1" x14ac:dyDescent="0.25">
      <c r="P64" s="652"/>
      <c r="Q64" s="652"/>
      <c r="R64" s="652"/>
    </row>
    <row r="65" spans="14:18" x14ac:dyDescent="0.25">
      <c r="P65" s="78"/>
      <c r="Q65" s="78"/>
      <c r="R65" s="78"/>
    </row>
    <row r="66" spans="14:18" x14ac:dyDescent="0.25">
      <c r="P66" s="652"/>
      <c r="Q66" s="652"/>
      <c r="R66" s="652"/>
    </row>
    <row r="67" spans="14:18" x14ac:dyDescent="0.25">
      <c r="P67" s="599"/>
      <c r="Q67" s="599"/>
      <c r="R67" s="599"/>
    </row>
    <row r="70" spans="14:18" x14ac:dyDescent="0.25">
      <c r="N70" s="669"/>
      <c r="O70" s="669"/>
    </row>
    <row r="71" spans="14:18" x14ac:dyDescent="0.25">
      <c r="N71" s="669"/>
      <c r="O71" s="669"/>
    </row>
    <row r="72" spans="14:18" x14ac:dyDescent="0.25">
      <c r="N72" s="669"/>
      <c r="O72" s="669"/>
    </row>
    <row r="76" spans="14:18" x14ac:dyDescent="0.25">
      <c r="P76" s="669"/>
      <c r="Q76" s="669"/>
      <c r="R76" s="669"/>
    </row>
    <row r="77" spans="14:18" x14ac:dyDescent="0.25">
      <c r="P77" s="669"/>
      <c r="Q77" s="669"/>
      <c r="R77" s="669"/>
    </row>
    <row r="78" spans="14:18" x14ac:dyDescent="0.25">
      <c r="P78" s="669"/>
      <c r="Q78" s="669"/>
      <c r="R78" s="669"/>
    </row>
  </sheetData>
  <mergeCells count="16">
    <mergeCell ref="I32:J32"/>
    <mergeCell ref="I27:J27"/>
    <mergeCell ref="I28:J28"/>
    <mergeCell ref="I29:J29"/>
    <mergeCell ref="I30:J30"/>
    <mergeCell ref="I31:J31"/>
    <mergeCell ref="I22:J22"/>
    <mergeCell ref="I23:J23"/>
    <mergeCell ref="I24:J24"/>
    <mergeCell ref="I25:J25"/>
    <mergeCell ref="I26:J26"/>
    <mergeCell ref="I17:J17"/>
    <mergeCell ref="I18:J18"/>
    <mergeCell ref="I19:J19"/>
    <mergeCell ref="I20:J20"/>
    <mergeCell ref="I21:J21"/>
  </mergeCells>
  <hyperlinks>
    <hyperlink ref="G9" r:id="rId1" display="http://www.oregon.gov/ODOT/Engineering/Pages/ARTS.aspx"/>
  </hyperlinks>
  <pageMargins left="0.7" right="0.7" top="0.75" bottom="0.75" header="0.3" footer="0.3"/>
  <pageSetup paperSize="17" scale="38" orientation="portrait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U121"/>
  <sheetViews>
    <sheetView topLeftCell="C13" zoomScale="85" zoomScaleNormal="85" workbookViewId="0">
      <selection activeCell="E64" sqref="E64:F65"/>
    </sheetView>
  </sheetViews>
  <sheetFormatPr defaultRowHeight="12.75" x14ac:dyDescent="0.2"/>
  <cols>
    <col min="1" max="1" width="2.85546875" customWidth="1"/>
    <col min="2" max="2" width="9.140625" customWidth="1"/>
    <col min="3" max="3" width="21.5703125" customWidth="1"/>
    <col min="4" max="4" width="9.5703125" customWidth="1"/>
    <col min="5" max="5" width="22.5703125" customWidth="1"/>
    <col min="6" max="6" width="34" bestFit="1" customWidth="1"/>
    <col min="7" max="23" width="11.5703125" bestFit="1" customWidth="1"/>
    <col min="24" max="24" width="13.85546875" bestFit="1" customWidth="1"/>
    <col min="25" max="26" width="11.5703125" bestFit="1" customWidth="1"/>
    <col min="27" max="28" width="10.28515625" bestFit="1" customWidth="1"/>
  </cols>
  <sheetData>
    <row r="3" spans="2:47" ht="15" x14ac:dyDescent="0.25">
      <c r="F3" s="987" t="s">
        <v>352</v>
      </c>
      <c r="G3" s="988"/>
      <c r="H3" s="988"/>
      <c r="I3" s="989"/>
      <c r="AB3" s="1006" t="s">
        <v>509</v>
      </c>
      <c r="AC3" s="1006"/>
      <c r="AD3" s="1006"/>
      <c r="AE3" s="1006"/>
      <c r="AF3" s="1006"/>
      <c r="AG3" s="1006"/>
      <c r="AH3" s="1006"/>
      <c r="AI3" s="1006"/>
      <c r="AJ3" s="1006"/>
    </row>
    <row r="4" spans="2:47" ht="39.75" thickBot="1" x14ac:dyDescent="0.3">
      <c r="C4" s="699" t="s">
        <v>353</v>
      </c>
      <c r="D4" s="700" t="s">
        <v>354</v>
      </c>
      <c r="E4" s="700" t="s">
        <v>355</v>
      </c>
      <c r="F4" s="701">
        <v>2027</v>
      </c>
      <c r="G4" s="702">
        <v>2028</v>
      </c>
      <c r="H4" s="702">
        <v>2029</v>
      </c>
      <c r="I4" s="702">
        <v>2030</v>
      </c>
      <c r="J4" s="702">
        <v>2031</v>
      </c>
      <c r="K4" s="702">
        <v>2032</v>
      </c>
      <c r="L4" s="702">
        <v>2033</v>
      </c>
      <c r="M4" s="702">
        <v>2034</v>
      </c>
      <c r="N4" s="702">
        <v>2035</v>
      </c>
      <c r="O4" s="702">
        <v>2036</v>
      </c>
      <c r="P4" s="702">
        <v>2037</v>
      </c>
      <c r="Q4" s="702">
        <v>2038</v>
      </c>
      <c r="R4" s="702">
        <v>2039</v>
      </c>
      <c r="S4" s="702">
        <v>2040</v>
      </c>
      <c r="T4" s="702">
        <v>2041</v>
      </c>
      <c r="U4" s="702">
        <v>2042</v>
      </c>
      <c r="V4" s="702">
        <v>2043</v>
      </c>
      <c r="W4" s="702">
        <v>2044</v>
      </c>
      <c r="X4" s="702">
        <v>2045</v>
      </c>
      <c r="Y4" s="703">
        <v>2046</v>
      </c>
      <c r="Z4" s="704"/>
      <c r="AB4" s="701">
        <v>2027</v>
      </c>
      <c r="AC4" s="702">
        <v>2028</v>
      </c>
      <c r="AD4" s="702">
        <v>2029</v>
      </c>
      <c r="AE4" s="702">
        <v>2030</v>
      </c>
      <c r="AF4" s="702">
        <v>2031</v>
      </c>
      <c r="AG4" s="702">
        <v>2032</v>
      </c>
      <c r="AH4" s="702">
        <v>2033</v>
      </c>
      <c r="AI4" s="702">
        <v>2034</v>
      </c>
      <c r="AJ4" s="702">
        <v>2035</v>
      </c>
      <c r="AK4" s="702">
        <v>2036</v>
      </c>
      <c r="AL4" s="702">
        <v>2037</v>
      </c>
      <c r="AM4" s="702">
        <v>2038</v>
      </c>
      <c r="AN4" s="702">
        <v>2039</v>
      </c>
      <c r="AO4" s="702">
        <v>2040</v>
      </c>
      <c r="AP4" s="702">
        <v>2041</v>
      </c>
      <c r="AQ4" s="702">
        <v>2042</v>
      </c>
      <c r="AR4" s="702">
        <v>2043</v>
      </c>
      <c r="AS4" s="702">
        <v>2044</v>
      </c>
      <c r="AT4" s="702">
        <v>2045</v>
      </c>
      <c r="AU4" s="703">
        <v>2046</v>
      </c>
    </row>
    <row r="5" spans="2:47" ht="15" x14ac:dyDescent="0.25">
      <c r="C5" s="705">
        <f>((X5/F5)^(1/(2045-2027))-1)</f>
        <v>5.8857244639360928E-3</v>
      </c>
      <c r="D5" s="706" t="s">
        <v>356</v>
      </c>
      <c r="E5" s="707" t="s">
        <v>357</v>
      </c>
      <c r="F5" s="708">
        <f>AVERAGE('Traffic Count Data'!AL20,'Traffic Count Data'!AL75)</f>
        <v>3405.2782643186274</v>
      </c>
      <c r="G5" s="708">
        <f>F5*(1+$C5)</f>
        <v>3425.3207939054373</v>
      </c>
      <c r="H5" s="708">
        <f t="shared" ref="H5:W8" si="0">G5*(1+$C5)</f>
        <v>3445.4812882989554</v>
      </c>
      <c r="I5" s="708">
        <f t="shared" si="0"/>
        <v>3465.7604418075307</v>
      </c>
      <c r="J5" s="708">
        <f t="shared" si="0"/>
        <v>3486.1589528260192</v>
      </c>
      <c r="K5" s="708">
        <f t="shared" si="0"/>
        <v>3506.677523859837</v>
      </c>
      <c r="L5" s="708">
        <f t="shared" si="0"/>
        <v>3527.3168615491536</v>
      </c>
      <c r="M5" s="708">
        <f t="shared" si="0"/>
        <v>3548.0776766932277</v>
      </c>
      <c r="N5" s="708">
        <f t="shared" si="0"/>
        <v>3568.9606842748867</v>
      </c>
      <c r="O5" s="708">
        <f t="shared" si="0"/>
        <v>3589.9666034851493</v>
      </c>
      <c r="P5" s="708">
        <f t="shared" si="0"/>
        <v>3611.0961577479952</v>
      </c>
      <c r="Q5" s="708">
        <f t="shared" si="0"/>
        <v>3632.3500747452781</v>
      </c>
      <c r="R5" s="708">
        <f t="shared" si="0"/>
        <v>3653.7290864417864</v>
      </c>
      <c r="S5" s="708">
        <f t="shared" si="0"/>
        <v>3675.2339291104518</v>
      </c>
      <c r="T5" s="708">
        <f t="shared" si="0"/>
        <v>3696.8653433577051</v>
      </c>
      <c r="U5" s="708">
        <f t="shared" si="0"/>
        <v>3718.6240741489833</v>
      </c>
      <c r="V5" s="708">
        <f t="shared" si="0"/>
        <v>3740.5108708343837</v>
      </c>
      <c r="W5" s="708">
        <f t="shared" si="0"/>
        <v>3762.5264871744725</v>
      </c>
      <c r="X5" s="708">
        <v>3784.671681366236</v>
      </c>
      <c r="Y5" s="709">
        <f t="shared" ref="Y5:Y8" si="1">X5*(1+$C5)</f>
        <v>3806.9472160692194</v>
      </c>
      <c r="Z5" s="710"/>
      <c r="AB5" s="708">
        <f t="shared" ref="AB5:AK8" si="2">IF(F5&lt;F83,F5,(F83+(0.5*(F5-F83))))</f>
        <v>3405.2782643186274</v>
      </c>
      <c r="AC5" s="708">
        <f t="shared" si="2"/>
        <v>3425.3207939054373</v>
      </c>
      <c r="AD5" s="708">
        <f t="shared" si="2"/>
        <v>3445.4812882989554</v>
      </c>
      <c r="AE5" s="708">
        <f t="shared" si="2"/>
        <v>3465.7604418075307</v>
      </c>
      <c r="AF5" s="708">
        <f t="shared" si="2"/>
        <v>3486.1589528260192</v>
      </c>
      <c r="AG5" s="708">
        <f t="shared" si="2"/>
        <v>3506.677523859837</v>
      </c>
      <c r="AH5" s="708">
        <f t="shared" si="2"/>
        <v>3527.3168615491536</v>
      </c>
      <c r="AI5" s="708">
        <f t="shared" si="2"/>
        <v>3548.0776766932277</v>
      </c>
      <c r="AJ5" s="708">
        <f t="shared" si="2"/>
        <v>3568.9606842748867</v>
      </c>
      <c r="AK5" s="708">
        <f t="shared" si="2"/>
        <v>3589.9666034851493</v>
      </c>
      <c r="AL5" s="708">
        <f t="shared" ref="AL5:AU8" si="3">IF(P5&lt;P83,P5,(P83+(0.5*(P5-P83))))</f>
        <v>3611.0961577479952</v>
      </c>
      <c r="AM5" s="708">
        <f t="shared" si="3"/>
        <v>3632.3500747452781</v>
      </c>
      <c r="AN5" s="708">
        <f t="shared" si="3"/>
        <v>3653.7290864417864</v>
      </c>
      <c r="AO5" s="708">
        <f t="shared" si="3"/>
        <v>3675.2339291104518</v>
      </c>
      <c r="AP5" s="708">
        <f t="shared" si="3"/>
        <v>3696.8653433577051</v>
      </c>
      <c r="AQ5" s="708">
        <f t="shared" si="3"/>
        <v>3718.6240741489833</v>
      </c>
      <c r="AR5" s="708">
        <f t="shared" si="3"/>
        <v>3740.5108708343837</v>
      </c>
      <c r="AS5" s="708">
        <f t="shared" si="3"/>
        <v>3762.5264871744725</v>
      </c>
      <c r="AT5" s="708">
        <f t="shared" si="3"/>
        <v>3784.671681366236</v>
      </c>
      <c r="AU5" s="709">
        <f t="shared" si="3"/>
        <v>3806.9472160692194</v>
      </c>
    </row>
    <row r="6" spans="2:47" ht="15" x14ac:dyDescent="0.25">
      <c r="C6" s="711">
        <f t="shared" ref="C6:C8" si="4">((X6/F6)^(1/(2045-2027))-1)</f>
        <v>7.9170312457224057E-3</v>
      </c>
      <c r="D6" s="712" t="s">
        <v>358</v>
      </c>
      <c r="E6" s="713" t="s">
        <v>357</v>
      </c>
      <c r="F6" s="445">
        <f>AVERAGE('Traffic Count Data'!AL21,'Traffic Count Data'!AL76)</f>
        <v>2849.0308095747814</v>
      </c>
      <c r="G6" s="445">
        <f t="shared" ref="G6:V8" si="5">F6*(1+$C6)</f>
        <v>2871.5866755142106</v>
      </c>
      <c r="H6" s="445">
        <f t="shared" si="5"/>
        <v>2894.3211169490569</v>
      </c>
      <c r="I6" s="445">
        <f t="shared" si="5"/>
        <v>2917.2355476670969</v>
      </c>
      <c r="J6" s="445">
        <f t="shared" si="5"/>
        <v>2940.3313926491091</v>
      </c>
      <c r="K6" s="445">
        <f t="shared" si="5"/>
        <v>2963.6100881574907</v>
      </c>
      <c r="L6" s="445">
        <f t="shared" si="5"/>
        <v>2987.0730818255715</v>
      </c>
      <c r="M6" s="445">
        <f t="shared" si="5"/>
        <v>3010.7218327476407</v>
      </c>
      <c r="N6" s="445">
        <f t="shared" si="5"/>
        <v>3034.5578115696826</v>
      </c>
      <c r="O6" s="445">
        <f t="shared" si="5"/>
        <v>3058.5825005808306</v>
      </c>
      <c r="P6" s="445">
        <f t="shared" si="5"/>
        <v>3082.7973938055488</v>
      </c>
      <c r="Q6" s="445">
        <f t="shared" si="5"/>
        <v>3107.2039970965388</v>
      </c>
      <c r="R6" s="445">
        <f t="shared" si="5"/>
        <v>3131.8038282283856</v>
      </c>
      <c r="S6" s="445">
        <f t="shared" si="5"/>
        <v>3156.5984169919429</v>
      </c>
      <c r="T6" s="445">
        <f t="shared" si="5"/>
        <v>3181.5893052894662</v>
      </c>
      <c r="U6" s="445">
        <f t="shared" si="5"/>
        <v>3206.7780472304989</v>
      </c>
      <c r="V6" s="445">
        <f t="shared" si="5"/>
        <v>3232.1662092285196</v>
      </c>
      <c r="W6" s="445">
        <f t="shared" si="0"/>
        <v>3257.7553700983499</v>
      </c>
      <c r="X6" s="445">
        <v>3283.5471211543436</v>
      </c>
      <c r="Y6" s="714">
        <f t="shared" si="1"/>
        <v>3309.5430663093243</v>
      </c>
      <c r="Z6" s="710"/>
      <c r="AB6" s="445">
        <f t="shared" si="2"/>
        <v>2849.0308095747814</v>
      </c>
      <c r="AC6" s="445">
        <f t="shared" si="2"/>
        <v>2871.5866755142106</v>
      </c>
      <c r="AD6" s="445">
        <f t="shared" si="2"/>
        <v>2894.3211169490569</v>
      </c>
      <c r="AE6" s="445">
        <f t="shared" si="2"/>
        <v>2917.2355476670969</v>
      </c>
      <c r="AF6" s="445">
        <f t="shared" si="2"/>
        <v>2940.3313926491091</v>
      </c>
      <c r="AG6" s="445">
        <f t="shared" si="2"/>
        <v>2963.6100881574907</v>
      </c>
      <c r="AH6" s="445">
        <f t="shared" si="2"/>
        <v>2987.0730818255715</v>
      </c>
      <c r="AI6" s="445">
        <f t="shared" si="2"/>
        <v>3010.7218327476407</v>
      </c>
      <c r="AJ6" s="445">
        <f t="shared" si="2"/>
        <v>3034.5578115696826</v>
      </c>
      <c r="AK6" s="445">
        <f t="shared" si="2"/>
        <v>3058.5825005808306</v>
      </c>
      <c r="AL6" s="445">
        <f t="shared" si="3"/>
        <v>3082.7973938055488</v>
      </c>
      <c r="AM6" s="445">
        <f t="shared" si="3"/>
        <v>3107.2039970965388</v>
      </c>
      <c r="AN6" s="445">
        <f t="shared" si="3"/>
        <v>3131.8038282283856</v>
      </c>
      <c r="AO6" s="445">
        <f t="shared" si="3"/>
        <v>3156.5984169919429</v>
      </c>
      <c r="AP6" s="445">
        <f t="shared" si="3"/>
        <v>3181.5893052894662</v>
      </c>
      <c r="AQ6" s="445">
        <f t="shared" si="3"/>
        <v>3206.7780472304989</v>
      </c>
      <c r="AR6" s="445">
        <f t="shared" si="3"/>
        <v>3232.1662092285196</v>
      </c>
      <c r="AS6" s="445">
        <f t="shared" si="3"/>
        <v>3257.7553700983499</v>
      </c>
      <c r="AT6" s="445">
        <f t="shared" si="3"/>
        <v>3283.5471211543436</v>
      </c>
      <c r="AU6" s="714">
        <f t="shared" si="3"/>
        <v>3309.5430663093243</v>
      </c>
    </row>
    <row r="7" spans="2:47" ht="15" x14ac:dyDescent="0.25">
      <c r="C7" s="711">
        <f t="shared" si="4"/>
        <v>6.9349957057167622E-3</v>
      </c>
      <c r="D7" s="712" t="s">
        <v>356</v>
      </c>
      <c r="E7" s="713" t="s">
        <v>359</v>
      </c>
      <c r="F7" s="445">
        <f>AVERAGE('Traffic Count Data'!AL22,'Traffic Count Data'!AL77)</f>
        <v>3550.7538701573408</v>
      </c>
      <c r="G7" s="445">
        <f t="shared" si="5"/>
        <v>3575.3783329989392</v>
      </c>
      <c r="H7" s="445">
        <f t="shared" si="0"/>
        <v>3600.1735663845998</v>
      </c>
      <c r="I7" s="445">
        <f t="shared" si="0"/>
        <v>3625.1407546073119</v>
      </c>
      <c r="J7" s="445">
        <f t="shared" si="0"/>
        <v>3650.2810901731323</v>
      </c>
      <c r="K7" s="445">
        <f t="shared" si="0"/>
        <v>3675.5957738581419</v>
      </c>
      <c r="L7" s="445">
        <f t="shared" si="0"/>
        <v>3701.0860147657986</v>
      </c>
      <c r="M7" s="445">
        <f t="shared" si="0"/>
        <v>3726.7530303846879</v>
      </c>
      <c r="N7" s="445">
        <f t="shared" si="0"/>
        <v>3752.5980466466726</v>
      </c>
      <c r="O7" s="445">
        <f t="shared" si="0"/>
        <v>3778.6222979854483</v>
      </c>
      <c r="P7" s="445">
        <f t="shared" si="0"/>
        <v>3804.8270273955031</v>
      </c>
      <c r="Q7" s="445">
        <f t="shared" si="0"/>
        <v>3831.213486491486</v>
      </c>
      <c r="R7" s="445">
        <f t="shared" si="0"/>
        <v>3857.7829355679887</v>
      </c>
      <c r="S7" s="445">
        <f t="shared" si="0"/>
        <v>3884.5366436597401</v>
      </c>
      <c r="T7" s="445">
        <f t="shared" si="0"/>
        <v>3911.4758886022196</v>
      </c>
      <c r="U7" s="445">
        <f t="shared" si="0"/>
        <v>3938.6019570926906</v>
      </c>
      <c r="V7" s="445">
        <f t="shared" si="0"/>
        <v>3965.9161447516558</v>
      </c>
      <c r="W7" s="445">
        <f t="shared" si="0"/>
        <v>3993.4197561847413</v>
      </c>
      <c r="X7" s="445">
        <v>4021.1141050450024</v>
      </c>
      <c r="Y7" s="714">
        <f t="shared" si="1"/>
        <v>4049.0005140956864</v>
      </c>
      <c r="Z7" s="710"/>
      <c r="AB7" s="445">
        <f t="shared" si="2"/>
        <v>3550.7538701573408</v>
      </c>
      <c r="AC7" s="445">
        <f t="shared" si="2"/>
        <v>3575.3783329989392</v>
      </c>
      <c r="AD7" s="445">
        <f t="shared" si="2"/>
        <v>3600.1735663845998</v>
      </c>
      <c r="AE7" s="445">
        <f t="shared" si="2"/>
        <v>3625.1407546073119</v>
      </c>
      <c r="AF7" s="445">
        <f t="shared" si="2"/>
        <v>3650.2810901731323</v>
      </c>
      <c r="AG7" s="445">
        <f t="shared" si="2"/>
        <v>3675.5957738581419</v>
      </c>
      <c r="AH7" s="445">
        <f t="shared" si="2"/>
        <v>3701.0860147657986</v>
      </c>
      <c r="AI7" s="445">
        <f t="shared" si="2"/>
        <v>3726.7530303846879</v>
      </c>
      <c r="AJ7" s="445">
        <f t="shared" si="2"/>
        <v>3752.5980466466726</v>
      </c>
      <c r="AK7" s="445">
        <f t="shared" si="2"/>
        <v>3778.6222979854483</v>
      </c>
      <c r="AL7" s="445">
        <f t="shared" si="3"/>
        <v>3804.8270273955031</v>
      </c>
      <c r="AM7" s="445">
        <f t="shared" si="3"/>
        <v>3831.213486491486</v>
      </c>
      <c r="AN7" s="445">
        <f t="shared" si="3"/>
        <v>3857.7829355679887</v>
      </c>
      <c r="AO7" s="445">
        <f t="shared" si="3"/>
        <v>3884.5366436597401</v>
      </c>
      <c r="AP7" s="445">
        <f t="shared" si="3"/>
        <v>3911.4758886022196</v>
      </c>
      <c r="AQ7" s="445">
        <f t="shared" si="3"/>
        <v>3938.6019570926906</v>
      </c>
      <c r="AR7" s="445">
        <f t="shared" si="3"/>
        <v>3965.9161447516558</v>
      </c>
      <c r="AS7" s="445">
        <f t="shared" si="3"/>
        <v>3993.4197561847413</v>
      </c>
      <c r="AT7" s="445">
        <f t="shared" si="3"/>
        <v>4021.1141050450024</v>
      </c>
      <c r="AU7" s="714">
        <f t="shared" si="3"/>
        <v>4049.0005140956864</v>
      </c>
    </row>
    <row r="8" spans="2:47" ht="15" x14ac:dyDescent="0.25">
      <c r="C8" s="715">
        <f t="shared" si="4"/>
        <v>1.1064003478022277E-2</v>
      </c>
      <c r="D8" s="716" t="s">
        <v>358</v>
      </c>
      <c r="E8" s="717" t="s">
        <v>359</v>
      </c>
      <c r="F8" s="718">
        <f>AVERAGE('Traffic Count Data'!AL23,'Traffic Count Data'!AL78)</f>
        <v>2753.7214501546573</v>
      </c>
      <c r="G8" s="718">
        <f t="shared" si="5"/>
        <v>2784.1886338566728</v>
      </c>
      <c r="H8" s="718">
        <f t="shared" si="0"/>
        <v>2814.9929065851334</v>
      </c>
      <c r="I8" s="718">
        <f t="shared" si="0"/>
        <v>2846.1379978941995</v>
      </c>
      <c r="J8" s="718">
        <f t="shared" si="0"/>
        <v>2877.6276786018325</v>
      </c>
      <c r="K8" s="718">
        <f t="shared" si="0"/>
        <v>2909.4657612463361</v>
      </c>
      <c r="L8" s="718">
        <f t="shared" si="0"/>
        <v>2941.6561005479525</v>
      </c>
      <c r="M8" s="718">
        <f t="shared" si="0"/>
        <v>2974.2025938755605</v>
      </c>
      <c r="N8" s="718">
        <f t="shared" si="0"/>
        <v>3007.1091817185425</v>
      </c>
      <c r="O8" s="718">
        <f t="shared" si="0"/>
        <v>3040.3798481638692</v>
      </c>
      <c r="P8" s="718">
        <f t="shared" si="0"/>
        <v>3074.0186213784632</v>
      </c>
      <c r="Q8" s="718">
        <f t="shared" si="0"/>
        <v>3108.0295740969</v>
      </c>
      <c r="R8" s="718">
        <f t="shared" si="0"/>
        <v>3142.4168241145044</v>
      </c>
      <c r="S8" s="718">
        <f t="shared" si="0"/>
        <v>3177.184534785903</v>
      </c>
      <c r="T8" s="718">
        <f t="shared" si="0"/>
        <v>3212.3369155290929</v>
      </c>
      <c r="U8" s="718">
        <f t="shared" si="0"/>
        <v>3247.8782223350863</v>
      </c>
      <c r="V8" s="718">
        <f t="shared" si="0"/>
        <v>3283.8127582831944</v>
      </c>
      <c r="W8" s="718">
        <f t="shared" si="0"/>
        <v>3320.1448740620135</v>
      </c>
      <c r="X8" s="718">
        <v>3356.8789684961789</v>
      </c>
      <c r="Y8" s="719">
        <f t="shared" si="1"/>
        <v>3394.0194890789203</v>
      </c>
      <c r="Z8" s="710"/>
      <c r="AB8" s="718">
        <f t="shared" si="2"/>
        <v>2753.7214501546573</v>
      </c>
      <c r="AC8" s="718">
        <f t="shared" si="2"/>
        <v>2784.1886338566728</v>
      </c>
      <c r="AD8" s="718">
        <f t="shared" si="2"/>
        <v>2814.9929065851334</v>
      </c>
      <c r="AE8" s="718">
        <f t="shared" si="2"/>
        <v>2846.1379978941995</v>
      </c>
      <c r="AF8" s="718">
        <f t="shared" si="2"/>
        <v>2877.6276786018325</v>
      </c>
      <c r="AG8" s="718">
        <f t="shared" si="2"/>
        <v>2909.4657612463361</v>
      </c>
      <c r="AH8" s="718">
        <f t="shared" si="2"/>
        <v>2941.6561005479525</v>
      </c>
      <c r="AI8" s="718">
        <f t="shared" si="2"/>
        <v>2974.2025938755605</v>
      </c>
      <c r="AJ8" s="718">
        <f t="shared" si="2"/>
        <v>3007.1091817185425</v>
      </c>
      <c r="AK8" s="718">
        <f t="shared" si="2"/>
        <v>3040.3798481638692</v>
      </c>
      <c r="AL8" s="718">
        <f t="shared" si="3"/>
        <v>3074.0186213784632</v>
      </c>
      <c r="AM8" s="718">
        <f t="shared" si="3"/>
        <v>3108.0295740969</v>
      </c>
      <c r="AN8" s="718">
        <f t="shared" si="3"/>
        <v>3142.4168241145044</v>
      </c>
      <c r="AO8" s="718">
        <f t="shared" si="3"/>
        <v>3177.184534785903</v>
      </c>
      <c r="AP8" s="718">
        <f t="shared" si="3"/>
        <v>3212.3369155290929</v>
      </c>
      <c r="AQ8" s="718">
        <f t="shared" si="3"/>
        <v>3247.8782223350863</v>
      </c>
      <c r="AR8" s="718">
        <f t="shared" si="3"/>
        <v>3283.8127582831944</v>
      </c>
      <c r="AS8" s="718">
        <f t="shared" si="3"/>
        <v>3320.1448740620135</v>
      </c>
      <c r="AT8" s="718">
        <f t="shared" si="3"/>
        <v>3356.8789684961789</v>
      </c>
      <c r="AU8" s="719">
        <f t="shared" si="3"/>
        <v>3394.0194890789203</v>
      </c>
    </row>
    <row r="9" spans="2:47" x14ac:dyDescent="0.2">
      <c r="C9" s="720"/>
      <c r="D9" s="17"/>
      <c r="E9" s="17"/>
      <c r="F9" s="721"/>
      <c r="G9" s="722"/>
      <c r="H9" s="722"/>
      <c r="I9" s="722"/>
      <c r="J9" s="722"/>
      <c r="K9" s="722"/>
      <c r="L9" s="722"/>
      <c r="M9" s="722"/>
      <c r="N9" s="722"/>
      <c r="O9" s="722"/>
      <c r="P9" s="722"/>
      <c r="Q9" s="722"/>
      <c r="R9" s="722"/>
      <c r="S9" s="722"/>
      <c r="T9" s="722"/>
      <c r="U9" s="722"/>
      <c r="V9" s="722"/>
      <c r="W9" s="722"/>
      <c r="X9" s="722"/>
      <c r="Y9" s="723"/>
      <c r="AB9" s="721"/>
      <c r="AC9" s="722"/>
      <c r="AD9" s="722"/>
      <c r="AE9" s="722"/>
      <c r="AF9" s="722"/>
      <c r="AG9" s="722"/>
      <c r="AH9" s="722"/>
      <c r="AI9" s="722"/>
      <c r="AJ9" s="722"/>
      <c r="AK9" s="722"/>
      <c r="AL9" s="722"/>
      <c r="AM9" s="722"/>
      <c r="AN9" s="722"/>
      <c r="AO9" s="722"/>
      <c r="AP9" s="722"/>
      <c r="AQ9" s="722"/>
      <c r="AR9" s="722"/>
      <c r="AS9" s="722"/>
      <c r="AT9" s="722"/>
      <c r="AU9" s="723"/>
    </row>
    <row r="10" spans="2:47" ht="15" x14ac:dyDescent="0.25">
      <c r="C10" s="705">
        <f>((X10/F10)^(1/(2045-2027))-1)</f>
        <v>1.294178882167496E-2</v>
      </c>
      <c r="D10" s="706" t="s">
        <v>356</v>
      </c>
      <c r="E10" s="707" t="s">
        <v>360</v>
      </c>
      <c r="F10" s="724">
        <f>AVERAGE('Traffic Count Data'!AL93,'Traffic Count Data'!AL38)</f>
        <v>3367.441183676553</v>
      </c>
      <c r="G10" s="724">
        <f>F10*(1+$C10)</f>
        <v>3411.0218963451061</v>
      </c>
      <c r="H10" s="724">
        <f t="shared" ref="H10:W13" si="6">G10*(1+$C10)</f>
        <v>3455.1666213937137</v>
      </c>
      <c r="I10" s="724">
        <f t="shared" si="6"/>
        <v>3499.8826581514913</v>
      </c>
      <c r="J10" s="724">
        <f t="shared" si="6"/>
        <v>3545.1774004139302</v>
      </c>
      <c r="K10" s="724">
        <f t="shared" si="6"/>
        <v>3591.0583376654617</v>
      </c>
      <c r="L10" s="724">
        <f t="shared" si="6"/>
        <v>3637.5330563178431</v>
      </c>
      <c r="M10" s="724">
        <f t="shared" si="6"/>
        <v>3684.6092409645707</v>
      </c>
      <c r="N10" s="724">
        <f t="shared" si="6"/>
        <v>3732.2946756515262</v>
      </c>
      <c r="O10" s="724">
        <f t="shared" si="6"/>
        <v>3780.59724516407</v>
      </c>
      <c r="P10" s="724">
        <f t="shared" si="6"/>
        <v>3829.5249363307894</v>
      </c>
      <c r="Q10" s="724">
        <f t="shared" si="6"/>
        <v>3879.0858393441208</v>
      </c>
      <c r="R10" s="724">
        <f t="shared" si="6"/>
        <v>3929.2881490980621</v>
      </c>
      <c r="S10" s="724">
        <f t="shared" si="6"/>
        <v>3980.1401665431995</v>
      </c>
      <c r="T10" s="724">
        <f t="shared" si="6"/>
        <v>4031.6503000592679</v>
      </c>
      <c r="U10" s="724">
        <f t="shared" si="6"/>
        <v>4083.8270668454775</v>
      </c>
      <c r="V10" s="724">
        <f t="shared" si="6"/>
        <v>4136.6790943288315</v>
      </c>
      <c r="W10" s="724">
        <f t="shared" si="6"/>
        <v>4190.2151215906733</v>
      </c>
      <c r="X10" s="724">
        <v>4244.4440008116826</v>
      </c>
      <c r="Y10" s="725">
        <f t="shared" ref="Y10:Y13" si="7">X10*(1+$C10)</f>
        <v>4299.3746987356126</v>
      </c>
      <c r="Z10" s="710"/>
      <c r="AB10" s="724">
        <f t="shared" ref="AB10:AK13" si="8">IF(F10&lt;F88,F10,(F88+(0.5*(F10-F88))))</f>
        <v>3270.1255571588263</v>
      </c>
      <c r="AC10" s="724">
        <f t="shared" si="8"/>
        <v>3291.6971587483658</v>
      </c>
      <c r="AD10" s="724">
        <f t="shared" si="8"/>
        <v>3313.5507966927644</v>
      </c>
      <c r="AE10" s="724">
        <f t="shared" si="8"/>
        <v>3335.6901206524194</v>
      </c>
      <c r="AF10" s="724">
        <f t="shared" si="8"/>
        <v>3358.1188275209179</v>
      </c>
      <c r="AG10" s="724">
        <f t="shared" si="8"/>
        <v>3380.8406620363176</v>
      </c>
      <c r="AH10" s="724">
        <f t="shared" si="8"/>
        <v>3403.8594174003392</v>
      </c>
      <c r="AI10" s="724">
        <f t="shared" si="8"/>
        <v>3427.1789359055729</v>
      </c>
      <c r="AJ10" s="724">
        <f t="shared" si="8"/>
        <v>3450.8031095708038</v>
      </c>
      <c r="AK10" s="724">
        <f t="shared" si="8"/>
        <v>3474.7358807845558</v>
      </c>
      <c r="AL10" s="724">
        <f t="shared" ref="AL10:AU13" si="9">IF(P10&lt;P88,P10,(P88+(0.5*(P10-P88))))</f>
        <v>3498.9812429569665</v>
      </c>
      <c r="AM10" s="724">
        <f t="shared" si="9"/>
        <v>3523.5432411800994</v>
      </c>
      <c r="AN10" s="724">
        <f t="shared" si="9"/>
        <v>3548.4259728967991</v>
      </c>
      <c r="AO10" s="724">
        <f t="shared" si="9"/>
        <v>3573.6335885782055</v>
      </c>
      <c r="AP10" s="724">
        <f t="shared" si="9"/>
        <v>3599.1702924100318</v>
      </c>
      <c r="AQ10" s="724">
        <f t="shared" si="9"/>
        <v>3625.0403429877306</v>
      </c>
      <c r="AR10" s="724">
        <f t="shared" si="9"/>
        <v>3651.2480540206525</v>
      </c>
      <c r="AS10" s="724">
        <f t="shared" si="9"/>
        <v>3677.7977950453169</v>
      </c>
      <c r="AT10" s="724">
        <f t="shared" si="9"/>
        <v>3704.6939921479111</v>
      </c>
      <c r="AU10" s="725">
        <f t="shared" si="9"/>
        <v>3731.9411286961645</v>
      </c>
    </row>
    <row r="11" spans="2:47" ht="15" x14ac:dyDescent="0.25">
      <c r="C11" s="711">
        <f t="shared" ref="C11:C13" si="10">((X11/F11)^(1/(2045-2027))-1)</f>
        <v>8.0298576359183471E-3</v>
      </c>
      <c r="D11" s="712" t="s">
        <v>358</v>
      </c>
      <c r="E11" s="713" t="s">
        <v>360</v>
      </c>
      <c r="F11" s="445">
        <f>AVERAGE('Traffic Count Data'!AL94,'Traffic Count Data'!AL39)</f>
        <v>3247.1858043241468</v>
      </c>
      <c r="G11" s="445">
        <f t="shared" ref="G11:V13" si="11">F11*(1+$C11)</f>
        <v>3273.2602440502446</v>
      </c>
      <c r="H11" s="445">
        <f t="shared" si="11"/>
        <v>3299.5440578152793</v>
      </c>
      <c r="I11" s="445">
        <f t="shared" si="11"/>
        <v>3326.0389268629765</v>
      </c>
      <c r="J11" s="445">
        <f t="shared" si="11"/>
        <v>3352.7465459372088</v>
      </c>
      <c r="K11" s="445">
        <f t="shared" si="11"/>
        <v>3379.6686233904015</v>
      </c>
      <c r="L11" s="445">
        <f t="shared" si="11"/>
        <v>3406.8068812928068</v>
      </c>
      <c r="M11" s="445">
        <f t="shared" si="11"/>
        <v>3434.163055542655</v>
      </c>
      <c r="N11" s="445">
        <f t="shared" si="11"/>
        <v>3461.7388959771929</v>
      </c>
      <c r="O11" s="445">
        <f t="shared" si="11"/>
        <v>3489.5361664846109</v>
      </c>
      <c r="P11" s="445">
        <f t="shared" si="11"/>
        <v>3517.5566451168706</v>
      </c>
      <c r="Q11" s="445">
        <f t="shared" si="11"/>
        <v>3545.8021242034379</v>
      </c>
      <c r="R11" s="445">
        <f t="shared" si="11"/>
        <v>3574.2744104659282</v>
      </c>
      <c r="S11" s="445">
        <f t="shared" si="11"/>
        <v>3602.9753251336756</v>
      </c>
      <c r="T11" s="445">
        <f t="shared" si="11"/>
        <v>3631.9067040602258</v>
      </c>
      <c r="U11" s="445">
        <f t="shared" si="11"/>
        <v>3661.0703978407669</v>
      </c>
      <c r="V11" s="445">
        <f t="shared" si="11"/>
        <v>3690.4682719305033</v>
      </c>
      <c r="W11" s="445">
        <f t="shared" si="6"/>
        <v>3720.1022067639788</v>
      </c>
      <c r="X11" s="445">
        <v>3749.9740978753525</v>
      </c>
      <c r="Y11" s="714">
        <f t="shared" si="7"/>
        <v>3780.085856019673</v>
      </c>
      <c r="Z11" s="710"/>
      <c r="AB11" s="445">
        <f t="shared" si="8"/>
        <v>3247.1858043241468</v>
      </c>
      <c r="AC11" s="445">
        <f t="shared" si="8"/>
        <v>3273.2602440502446</v>
      </c>
      <c r="AD11" s="445">
        <f t="shared" si="8"/>
        <v>3299.5440578152793</v>
      </c>
      <c r="AE11" s="445">
        <f t="shared" si="8"/>
        <v>3326.0389268629765</v>
      </c>
      <c r="AF11" s="445">
        <f t="shared" si="8"/>
        <v>3352.7465459372088</v>
      </c>
      <c r="AG11" s="445">
        <f t="shared" si="8"/>
        <v>3379.6686233904015</v>
      </c>
      <c r="AH11" s="445">
        <f t="shared" si="8"/>
        <v>3406.8068812928068</v>
      </c>
      <c r="AI11" s="445">
        <f t="shared" si="8"/>
        <v>3434.163055542655</v>
      </c>
      <c r="AJ11" s="445">
        <f t="shared" si="8"/>
        <v>3461.7388959771929</v>
      </c>
      <c r="AK11" s="445">
        <f t="shared" si="8"/>
        <v>3489.5361664846109</v>
      </c>
      <c r="AL11" s="445">
        <f t="shared" si="9"/>
        <v>3517.5566451168706</v>
      </c>
      <c r="AM11" s="445">
        <f t="shared" si="9"/>
        <v>3545.8021242034379</v>
      </c>
      <c r="AN11" s="445">
        <f t="shared" si="9"/>
        <v>3574.2744104659282</v>
      </c>
      <c r="AO11" s="445">
        <f t="shared" si="9"/>
        <v>3602.9753251336756</v>
      </c>
      <c r="AP11" s="445">
        <f t="shared" si="9"/>
        <v>3631.9067040602258</v>
      </c>
      <c r="AQ11" s="445">
        <f t="shared" si="9"/>
        <v>3661.0703978407669</v>
      </c>
      <c r="AR11" s="445">
        <f t="shared" si="9"/>
        <v>3690.4682719305033</v>
      </c>
      <c r="AS11" s="445">
        <f t="shared" si="9"/>
        <v>3720.1022067639788</v>
      </c>
      <c r="AT11" s="445">
        <f t="shared" si="9"/>
        <v>3749.9740978753525</v>
      </c>
      <c r="AU11" s="714">
        <f t="shared" si="9"/>
        <v>3780.085856019673</v>
      </c>
    </row>
    <row r="12" spans="2:47" ht="15" x14ac:dyDescent="0.25">
      <c r="C12" s="711">
        <f t="shared" si="10"/>
        <v>1.1038257385511008E-2</v>
      </c>
      <c r="D12" s="712" t="s">
        <v>356</v>
      </c>
      <c r="E12" s="713" t="s">
        <v>361</v>
      </c>
      <c r="F12" s="445">
        <f>AVERAGE('Traffic Count Data'!AL95,'Traffic Count Data'!AL40)</f>
        <v>3668.7867799475648</v>
      </c>
      <c r="G12" s="445">
        <f t="shared" si="11"/>
        <v>3709.2837927171863</v>
      </c>
      <c r="H12" s="445">
        <f t="shared" si="11"/>
        <v>3750.2278219371033</v>
      </c>
      <c r="I12" s="445">
        <f t="shared" si="11"/>
        <v>3791.6238018899494</v>
      </c>
      <c r="J12" s="445">
        <f t="shared" si="11"/>
        <v>3833.4767213242403</v>
      </c>
      <c r="K12" s="445">
        <f t="shared" si="11"/>
        <v>3875.7916240555824</v>
      </c>
      <c r="L12" s="445">
        <f t="shared" si="11"/>
        <v>3918.5736095745156</v>
      </c>
      <c r="M12" s="445">
        <f t="shared" si="11"/>
        <v>3961.8278336610701</v>
      </c>
      <c r="N12" s="445">
        <f t="shared" si="11"/>
        <v>4005.5595090061024</v>
      </c>
      <c r="O12" s="445">
        <f t="shared" si="11"/>
        <v>4049.7739058394927</v>
      </c>
      <c r="P12" s="445">
        <f t="shared" si="11"/>
        <v>4094.4763525652752</v>
      </c>
      <c r="Q12" s="445">
        <f t="shared" si="11"/>
        <v>4139.6722364037787</v>
      </c>
      <c r="R12" s="445">
        <f t="shared" si="11"/>
        <v>4185.3670040408579</v>
      </c>
      <c r="S12" s="445">
        <f t="shared" si="11"/>
        <v>4231.5661622842863</v>
      </c>
      <c r="T12" s="445">
        <f t="shared" si="11"/>
        <v>4278.2752787273994</v>
      </c>
      <c r="U12" s="445">
        <f t="shared" si="11"/>
        <v>4325.4999824200613</v>
      </c>
      <c r="V12" s="445">
        <f t="shared" si="11"/>
        <v>4373.2459645470371</v>
      </c>
      <c r="W12" s="445">
        <f t="shared" si="6"/>
        <v>4421.5189791138546</v>
      </c>
      <c r="X12" s="445">
        <v>4470.3248436402328</v>
      </c>
      <c r="Y12" s="714">
        <f t="shared" si="7"/>
        <v>4519.669439861178</v>
      </c>
      <c r="Z12" s="710"/>
      <c r="AB12" s="445">
        <f t="shared" si="8"/>
        <v>3523.6270491498371</v>
      </c>
      <c r="AC12" s="445">
        <f t="shared" si="8"/>
        <v>3540.795433053866</v>
      </c>
      <c r="AD12" s="445">
        <f t="shared" si="8"/>
        <v>3558.1929414306501</v>
      </c>
      <c r="AE12" s="445">
        <f t="shared" si="8"/>
        <v>3575.8220311809273</v>
      </c>
      <c r="AF12" s="445">
        <f t="shared" si="8"/>
        <v>3593.685186457049</v>
      </c>
      <c r="AG12" s="445">
        <f t="shared" si="8"/>
        <v>3611.7849189635508</v>
      </c>
      <c r="AH12" s="445">
        <f t="shared" si="8"/>
        <v>3630.123768261039</v>
      </c>
      <c r="AI12" s="445">
        <f t="shared" si="8"/>
        <v>3648.7043020734354</v>
      </c>
      <c r="AJ12" s="445">
        <f t="shared" si="8"/>
        <v>3667.5291165986127</v>
      </c>
      <c r="AK12" s="445">
        <f t="shared" si="8"/>
        <v>3686.6008368224575</v>
      </c>
      <c r="AL12" s="445">
        <f t="shared" si="9"/>
        <v>3705.9221168364033</v>
      </c>
      <c r="AM12" s="445">
        <f t="shared" si="9"/>
        <v>3725.495640158465</v>
      </c>
      <c r="AN12" s="445">
        <f t="shared" si="9"/>
        <v>3745.3241200578241</v>
      </c>
      <c r="AO12" s="445">
        <f t="shared" si="9"/>
        <v>3765.4102998829885</v>
      </c>
      <c r="AP12" s="445">
        <f t="shared" si="9"/>
        <v>3785.7569533935821</v>
      </c>
      <c r="AQ12" s="445">
        <f t="shared" si="9"/>
        <v>3806.3668850957947</v>
      </c>
      <c r="AR12" s="445">
        <f t="shared" si="9"/>
        <v>3827.2429305815349</v>
      </c>
      <c r="AS12" s="445">
        <f t="shared" si="9"/>
        <v>3848.3879568713273</v>
      </c>
      <c r="AT12" s="445">
        <f t="shared" si="9"/>
        <v>3869.8048627609915</v>
      </c>
      <c r="AU12" s="714">
        <f t="shared" si="9"/>
        <v>3891.4965791721643</v>
      </c>
    </row>
    <row r="13" spans="2:47" ht="15.75" thickBot="1" x14ac:dyDescent="0.3">
      <c r="C13" s="715">
        <f t="shared" si="10"/>
        <v>1.2384474818899038E-2</v>
      </c>
      <c r="D13" s="716" t="s">
        <v>358</v>
      </c>
      <c r="E13" s="717" t="s">
        <v>361</v>
      </c>
      <c r="F13" s="726">
        <f>AVERAGE('Traffic Count Data'!AL96,'Traffic Count Data'!AL41)</f>
        <v>3475.4802284516768</v>
      </c>
      <c r="G13" s="726">
        <f t="shared" si="11"/>
        <v>3518.522225824518</v>
      </c>
      <c r="H13" s="726">
        <f t="shared" si="11"/>
        <v>3562.0972757299783</v>
      </c>
      <c r="I13" s="726">
        <f t="shared" si="11"/>
        <v>3606.2119797437249</v>
      </c>
      <c r="J13" s="726">
        <f t="shared" si="11"/>
        <v>3650.873021198473</v>
      </c>
      <c r="K13" s="726">
        <f t="shared" si="11"/>
        <v>3696.0871661965034</v>
      </c>
      <c r="L13" s="726">
        <f t="shared" si="11"/>
        <v>3741.8612646347201</v>
      </c>
      <c r="M13" s="726">
        <f t="shared" si="11"/>
        <v>3788.2022512424023</v>
      </c>
      <c r="N13" s="726">
        <f t="shared" si="11"/>
        <v>3835.1171466318106</v>
      </c>
      <c r="O13" s="726">
        <f t="shared" si="11"/>
        <v>3882.6130583618001</v>
      </c>
      <c r="P13" s="726">
        <f t="shared" si="11"/>
        <v>3930.6971820146105</v>
      </c>
      <c r="Q13" s="726">
        <f t="shared" si="11"/>
        <v>3979.3768022859877</v>
      </c>
      <c r="R13" s="726">
        <f t="shared" si="11"/>
        <v>4028.6592940888095</v>
      </c>
      <c r="S13" s="726">
        <f t="shared" si="11"/>
        <v>4078.5521236703757</v>
      </c>
      <c r="T13" s="726">
        <f t="shared" si="11"/>
        <v>4129.0628497435391</v>
      </c>
      <c r="U13" s="726">
        <f t="shared" si="11"/>
        <v>4180.1991246318394</v>
      </c>
      <c r="V13" s="726">
        <f t="shared" si="11"/>
        <v>4231.9686954288263</v>
      </c>
      <c r="W13" s="726">
        <f t="shared" si="6"/>
        <v>4284.3794051717332</v>
      </c>
      <c r="X13" s="726">
        <v>4337.4391940296982</v>
      </c>
      <c r="Y13" s="727">
        <f t="shared" si="7"/>
        <v>4391.1561005066651</v>
      </c>
      <c r="Z13" s="710"/>
      <c r="AB13" s="726">
        <f t="shared" si="8"/>
        <v>3475.4802284516768</v>
      </c>
      <c r="AC13" s="726">
        <f t="shared" si="8"/>
        <v>3518.522225824518</v>
      </c>
      <c r="AD13" s="726">
        <f t="shared" si="8"/>
        <v>3562.0972757299783</v>
      </c>
      <c r="AE13" s="726">
        <f t="shared" si="8"/>
        <v>3606.2119797437249</v>
      </c>
      <c r="AF13" s="726">
        <f t="shared" si="8"/>
        <v>3650.873021198473</v>
      </c>
      <c r="AG13" s="726">
        <f t="shared" si="8"/>
        <v>3696.0871661965034</v>
      </c>
      <c r="AH13" s="726">
        <f t="shared" si="8"/>
        <v>3741.8612646347201</v>
      </c>
      <c r="AI13" s="726">
        <f t="shared" si="8"/>
        <v>3788.2022512424023</v>
      </c>
      <c r="AJ13" s="726">
        <f t="shared" si="8"/>
        <v>3835.1171466318106</v>
      </c>
      <c r="AK13" s="726">
        <f t="shared" si="8"/>
        <v>3882.6130583618001</v>
      </c>
      <c r="AL13" s="726">
        <f t="shared" si="9"/>
        <v>3930.6971820146105</v>
      </c>
      <c r="AM13" s="726">
        <f t="shared" si="9"/>
        <v>3979.3768022859877</v>
      </c>
      <c r="AN13" s="726">
        <f t="shared" si="9"/>
        <v>4028.6592940888095</v>
      </c>
      <c r="AO13" s="726">
        <f t="shared" si="9"/>
        <v>4078.5521236703757</v>
      </c>
      <c r="AP13" s="726">
        <f t="shared" si="9"/>
        <v>4129.0628497435391</v>
      </c>
      <c r="AQ13" s="726">
        <f t="shared" si="9"/>
        <v>4180.1991246318394</v>
      </c>
      <c r="AR13" s="726">
        <f t="shared" si="9"/>
        <v>4231.9686954288263</v>
      </c>
      <c r="AS13" s="726">
        <f t="shared" si="9"/>
        <v>4284.3794051717332</v>
      </c>
      <c r="AT13" s="726">
        <f t="shared" si="9"/>
        <v>4337.4391940296982</v>
      </c>
      <c r="AU13" s="727">
        <f t="shared" si="9"/>
        <v>4391.1561005066651</v>
      </c>
    </row>
    <row r="14" spans="2:47" ht="15" x14ac:dyDescent="0.25">
      <c r="B14" s="986" t="s">
        <v>486</v>
      </c>
      <c r="C14" s="715">
        <f>((Y14/F14)^(1/(2045-2027))-1)</f>
        <v>1.012459029875834E-2</v>
      </c>
      <c r="E14" s="736" t="s">
        <v>487</v>
      </c>
      <c r="F14" s="260">
        <f>SUM(F5:F8,F10:F13)</f>
        <v>26317.67839060535</v>
      </c>
      <c r="G14" s="260">
        <f t="shared" ref="G14:Y14" si="12">SUM(G5:G8,G10:G13)</f>
        <v>26568.562595212316</v>
      </c>
      <c r="H14" s="260">
        <f t="shared" si="12"/>
        <v>26822.00465509382</v>
      </c>
      <c r="I14" s="260">
        <f t="shared" si="12"/>
        <v>27078.032108624284</v>
      </c>
      <c r="J14" s="260">
        <f t="shared" si="12"/>
        <v>27336.672803123944</v>
      </c>
      <c r="K14" s="260">
        <f t="shared" si="12"/>
        <v>27597.954898429754</v>
      </c>
      <c r="L14" s="260">
        <f t="shared" si="12"/>
        <v>27861.906870508363</v>
      </c>
      <c r="M14" s="260">
        <f t="shared" si="12"/>
        <v>28128.557515111817</v>
      </c>
      <c r="N14" s="260">
        <f t="shared" si="12"/>
        <v>28397.935951476418</v>
      </c>
      <c r="O14" s="260">
        <f t="shared" si="12"/>
        <v>28670.07162606527</v>
      </c>
      <c r="P14" s="260">
        <f t="shared" si="12"/>
        <v>28944.994316355056</v>
      </c>
      <c r="Q14" s="260">
        <f t="shared" si="12"/>
        <v>29222.734134667528</v>
      </c>
      <c r="R14" s="260">
        <f t="shared" si="12"/>
        <v>29503.32153204632</v>
      </c>
      <c r="S14" s="260">
        <f t="shared" si="12"/>
        <v>29786.787302179575</v>
      </c>
      <c r="T14" s="260">
        <f t="shared" si="12"/>
        <v>30073.162585368918</v>
      </c>
      <c r="U14" s="260">
        <f t="shared" si="12"/>
        <v>30362.478872545402</v>
      </c>
      <c r="V14" s="260">
        <f t="shared" si="12"/>
        <v>30654.768009332951</v>
      </c>
      <c r="W14" s="260">
        <f t="shared" si="12"/>
        <v>30950.06220015982</v>
      </c>
      <c r="X14" s="260">
        <f t="shared" si="12"/>
        <v>31248.394012418725</v>
      </c>
      <c r="Y14" s="260">
        <f t="shared" si="12"/>
        <v>31549.796380676282</v>
      </c>
    </row>
    <row r="15" spans="2:47" x14ac:dyDescent="0.2">
      <c r="B15" s="986"/>
    </row>
    <row r="16" spans="2:47" ht="15" x14ac:dyDescent="0.25">
      <c r="F16" s="987" t="s">
        <v>362</v>
      </c>
      <c r="G16" s="988"/>
      <c r="H16" s="988"/>
      <c r="I16" s="989"/>
    </row>
    <row r="17" spans="3:26" ht="33" customHeight="1" x14ac:dyDescent="0.25">
      <c r="C17" s="728"/>
      <c r="D17" s="700" t="s">
        <v>354</v>
      </c>
      <c r="E17" s="700" t="s">
        <v>355</v>
      </c>
      <c r="F17" s="729">
        <v>2027</v>
      </c>
      <c r="G17" s="730">
        <v>2028</v>
      </c>
      <c r="H17" s="730">
        <v>2029</v>
      </c>
      <c r="I17" s="730">
        <v>2030</v>
      </c>
      <c r="J17" s="730">
        <v>2031</v>
      </c>
      <c r="K17" s="730">
        <v>2032</v>
      </c>
      <c r="L17" s="730">
        <v>2033</v>
      </c>
      <c r="M17" s="730">
        <v>2034</v>
      </c>
      <c r="N17" s="730">
        <v>2035</v>
      </c>
      <c r="O17" s="730">
        <v>2036</v>
      </c>
      <c r="P17" s="730">
        <v>2037</v>
      </c>
      <c r="Q17" s="730">
        <v>2038</v>
      </c>
      <c r="R17" s="730">
        <v>2039</v>
      </c>
      <c r="S17" s="730">
        <v>2040</v>
      </c>
      <c r="T17" s="730">
        <v>2041</v>
      </c>
      <c r="U17" s="730">
        <v>2042</v>
      </c>
      <c r="V17" s="730">
        <v>2043</v>
      </c>
      <c r="W17" s="730">
        <v>2044</v>
      </c>
      <c r="X17" s="730">
        <v>2045</v>
      </c>
      <c r="Y17" s="731">
        <v>2046</v>
      </c>
      <c r="Z17" s="704"/>
    </row>
    <row r="18" spans="3:26" ht="15" x14ac:dyDescent="0.25">
      <c r="C18" s="985" t="s">
        <v>363</v>
      </c>
      <c r="D18" s="706" t="s">
        <v>356</v>
      </c>
      <c r="E18" s="707" t="s">
        <v>357</v>
      </c>
      <c r="F18" s="724">
        <f>IF(F5&gt;F83,(F83*(-$E$64)+0.5*((F5-F83)*$E$64)),(F5*-($E$64)/60))</f>
        <v>240.07211763446324</v>
      </c>
      <c r="G18" s="724">
        <f>G5*(-($E$64*(1+'Modeled Travel Times'!$Q$9)/60))</f>
        <v>241.61171460831068</v>
      </c>
      <c r="H18" s="724">
        <f>H5*(-($E$64*(1+'Modeled Travel Times'!$Q$9)/60))</f>
        <v>243.03377458775435</v>
      </c>
      <c r="I18" s="724">
        <f>I5*(-($E$64*(1+'Modeled Travel Times'!$Q$9)/60))</f>
        <v>244.46420442040824</v>
      </c>
      <c r="J18" s="724">
        <f>J5*(-($E$64*(1+'Modeled Travel Times'!$Q$9)/60))</f>
        <v>245.90305336892212</v>
      </c>
      <c r="K18" s="724">
        <f>K5*(-($E$64*(1+'Modeled Travel Times'!$Q$9)/60))</f>
        <v>247.35037098589214</v>
      </c>
      <c r="L18" s="724">
        <f>L5*(-($E$64*(1+'Modeled Travel Times'!$Q$9)/60))</f>
        <v>248.80620711556747</v>
      </c>
      <c r="M18" s="724">
        <f>M5*(-($E$64*(1+'Modeled Travel Times'!$Q$9)/60))</f>
        <v>250.2706118955667</v>
      </c>
      <c r="N18" s="724">
        <f>N5*(-($E$64*(1+'Modeled Travel Times'!$Q$9)/60))</f>
        <v>251.74363575860471</v>
      </c>
      <c r="O18" s="724">
        <f>O5*(-($E$64*(1+'Modeled Travel Times'!$Q$9)/60))</f>
        <v>253.22532943422934</v>
      </c>
      <c r="P18" s="724">
        <f>P5*(-($E$64*(1+'Modeled Travel Times'!$Q$9)/60))</f>
        <v>254.71574395056865</v>
      </c>
      <c r="Q18" s="724">
        <f>Q5*(-($E$64*(1+'Modeled Travel Times'!$Q$9)/60))</f>
        <v>256.21493063608818</v>
      </c>
      <c r="R18" s="724">
        <f>R5*(-($E$64*(1+'Modeled Travel Times'!$Q$9)/60))</f>
        <v>257.7229411213587</v>
      </c>
      <c r="S18" s="724">
        <f>S5*(-($E$64*(1+'Modeled Travel Times'!$Q$9)/60))</f>
        <v>259.23982734083421</v>
      </c>
      <c r="T18" s="724">
        <f>T5*(-($E$64*(1+'Modeled Travel Times'!$Q$9)/60))</f>
        <v>260.76564153464074</v>
      </c>
      <c r="U18" s="724">
        <f>U5*(-($E$64*(1+'Modeled Travel Times'!$Q$9)/60))</f>
        <v>262.30043625037518</v>
      </c>
      <c r="V18" s="724">
        <f>V5*(-($E$64*(1+'Modeled Travel Times'!$Q$9)/60))</f>
        <v>263.84426434491513</v>
      </c>
      <c r="W18" s="724">
        <f>W5*(-($E$64*(1+'Modeled Travel Times'!$Q$9)/60))</f>
        <v>265.39717898623923</v>
      </c>
      <c r="X18" s="724">
        <f>X5*(-($E$64*(1+'Modeled Travel Times'!$Q$9)/60))</f>
        <v>266.95923365525766</v>
      </c>
      <c r="Y18" s="725">
        <f>Y5*(-($E$64*(1+'Modeled Travel Times'!$Q$9)/60))</f>
        <v>268.53048214765607</v>
      </c>
      <c r="Z18" s="733"/>
    </row>
    <row r="19" spans="3:26" ht="15" x14ac:dyDescent="0.25">
      <c r="C19" s="985"/>
      <c r="D19" s="712" t="s">
        <v>358</v>
      </c>
      <c r="E19" s="713" t="s">
        <v>357</v>
      </c>
      <c r="F19" s="445">
        <f>F6*-($E$65)/60</f>
        <v>321.46564301368778</v>
      </c>
      <c r="G19" s="445">
        <f>G6*-($E$65*(1+'Modeled Travel Times'!$Q$10))/60</f>
        <v>318.55627291830194</v>
      </c>
      <c r="H19" s="445">
        <f>H6*-($E$65*(1+'Modeled Travel Times'!$Q$10))/60</f>
        <v>321.07829288451705</v>
      </c>
      <c r="I19" s="445">
        <f>I6*-($E$65*(1+'Modeled Travel Times'!$Q$10))/60</f>
        <v>323.62027976160698</v>
      </c>
      <c r="J19" s="445">
        <f>J6*-($E$65*(1+'Modeled Travel Times'!$Q$10))/60</f>
        <v>326.18239162822903</v>
      </c>
      <c r="K19" s="445">
        <f>K6*-($E$65*(1+'Modeled Travel Times'!$Q$10))/60</f>
        <v>328.76478781455421</v>
      </c>
      <c r="L19" s="445">
        <f>L6*-($E$65*(1+'Modeled Travel Times'!$Q$10))/60</f>
        <v>331.36762891217523</v>
      </c>
      <c r="M19" s="445">
        <f>M6*-($E$65*(1+'Modeled Travel Times'!$Q$10))/60</f>
        <v>333.99107678409388</v>
      </c>
      <c r="N19" s="445">
        <f>N6*-($E$65*(1+'Modeled Travel Times'!$Q$10))/60</f>
        <v>336.63529457478603</v>
      </c>
      <c r="O19" s="445">
        <f>O6*-($E$65*(1+'Modeled Travel Times'!$Q$10))/60</f>
        <v>339.30044672034757</v>
      </c>
      <c r="P19" s="445">
        <f>P6*-($E$65*(1+'Modeled Travel Times'!$Q$10))/60</f>
        <v>341.98669895872013</v>
      </c>
      <c r="Q19" s="445">
        <f>Q6*-($E$65*(1+'Modeled Travel Times'!$Q$10))/60</f>
        <v>344.6942183399978</v>
      </c>
      <c r="R19" s="445">
        <f>R6*-($E$65*(1+'Modeled Travel Times'!$Q$10))/60</f>
        <v>347.42317323681539</v>
      </c>
      <c r="S19" s="445">
        <f>S6*-($E$65*(1+'Modeled Travel Times'!$Q$10))/60</f>
        <v>350.17373335481932</v>
      </c>
      <c r="T19" s="445">
        <f>T6*-($E$65*(1+'Modeled Travel Times'!$Q$10))/60</f>
        <v>352.94606974322068</v>
      </c>
      <c r="U19" s="445">
        <f>U6*-($E$65*(1+'Modeled Travel Times'!$Q$10))/60</f>
        <v>355.74035480543267</v>
      </c>
      <c r="V19" s="445">
        <f>V6*-($E$65*(1+'Modeled Travel Times'!$Q$10))/60</f>
        <v>358.55676230979168</v>
      </c>
      <c r="W19" s="445">
        <f>W6*-($E$65*(1+'Modeled Travel Times'!$Q$10))/60</f>
        <v>361.39546740036337</v>
      </c>
      <c r="X19" s="445">
        <f>X6*-($E$65*(1+'Modeled Travel Times'!$Q$10))/60</f>
        <v>364.25664660783508</v>
      </c>
      <c r="Y19" s="714">
        <f>Y6*-($E$65*(1+'Modeled Travel Times'!$Q$10))/60</f>
        <v>367.14047786049133</v>
      </c>
      <c r="Z19" s="733"/>
    </row>
    <row r="20" spans="3:26" ht="15" x14ac:dyDescent="0.25">
      <c r="C20" s="985"/>
      <c r="D20" s="712" t="s">
        <v>356</v>
      </c>
      <c r="E20" s="713" t="s">
        <v>359</v>
      </c>
      <c r="F20" s="445">
        <f>F7*-($E$64)/60</f>
        <v>250.32814784609255</v>
      </c>
      <c r="G20" s="445">
        <f>G7*(-($E$64*(1+'Modeled Travel Times'!$Q$9)/60))</f>
        <v>252.19631718766416</v>
      </c>
      <c r="H20" s="445">
        <f>H7*(-($E$64*(1+'Modeled Travel Times'!$Q$9)/60))</f>
        <v>253.94529756435821</v>
      </c>
      <c r="I20" s="445">
        <f>I7*(-($E$64*(1+'Modeled Travel Times'!$Q$9)/60))</f>
        <v>255.706407112454</v>
      </c>
      <c r="J20" s="445">
        <f>J7*(-($E$64*(1+'Modeled Travel Times'!$Q$9)/60))</f>
        <v>257.47972994770311</v>
      </c>
      <c r="K20" s="445">
        <f>K7*(-($E$64*(1+'Modeled Travel Times'!$Q$9)/60))</f>
        <v>259.26535076919953</v>
      </c>
      <c r="L20" s="445">
        <f>L7*(-($E$64*(1+'Modeled Travel Times'!$Q$9)/60))</f>
        <v>261.06335486342505</v>
      </c>
      <c r="M20" s="445">
        <f>M7*(-($E$64*(1+'Modeled Travel Times'!$Q$9)/60))</f>
        <v>262.87382810832293</v>
      </c>
      <c r="N20" s="445">
        <f>N7*(-($E$64*(1+'Modeled Travel Times'!$Q$9)/60))</f>
        <v>264.69685697739948</v>
      </c>
      <c r="O20" s="445">
        <f>O7*(-($E$64*(1+'Modeled Travel Times'!$Q$9)/60))</f>
        <v>266.53252854385448</v>
      </c>
      <c r="P20" s="445">
        <f>P7*(-($E$64*(1+'Modeled Travel Times'!$Q$9)/60))</f>
        <v>268.38093048473996</v>
      </c>
      <c r="Q20" s="445">
        <f>Q7*(-($E$64*(1+'Modeled Travel Times'!$Q$9)/60))</f>
        <v>270.2421510851479</v>
      </c>
      <c r="R20" s="445">
        <f>R7*(-($E$64*(1+'Modeled Travel Times'!$Q$9)/60))</f>
        <v>272.11627924242703</v>
      </c>
      <c r="S20" s="445">
        <f>S7*(-($E$64*(1+'Modeled Travel Times'!$Q$9)/60))</f>
        <v>274.0034044704289</v>
      </c>
      <c r="T20" s="445">
        <f>T7*(-($E$64*(1+'Modeled Travel Times'!$Q$9)/60))</f>
        <v>275.90361690378307</v>
      </c>
      <c r="U20" s="445">
        <f>U7*(-($E$64*(1+'Modeled Travel Times'!$Q$9)/60))</f>
        <v>277.81700730220251</v>
      </c>
      <c r="V20" s="445">
        <f>V7*(-($E$64*(1+'Modeled Travel Times'!$Q$9)/60))</f>
        <v>279.74366705481839</v>
      </c>
      <c r="W20" s="445">
        <f>W7*(-($E$64*(1+'Modeled Travel Times'!$Q$9)/60))</f>
        <v>281.68368818454502</v>
      </c>
      <c r="X20" s="445">
        <f>X7*(-($E$64*(1+'Modeled Travel Times'!$Q$9)/60))</f>
        <v>283.63716335247494</v>
      </c>
      <c r="Y20" s="714">
        <f>Y7*(-($E$64*(1+'Modeled Travel Times'!$Q$9)/60))</f>
        <v>285.60418586230605</v>
      </c>
      <c r="Z20" s="733"/>
    </row>
    <row r="21" spans="3:26" ht="15.75" thickBot="1" x14ac:dyDescent="0.3">
      <c r="C21" s="985"/>
      <c r="D21" s="716" t="s">
        <v>358</v>
      </c>
      <c r="E21" s="717" t="s">
        <v>359</v>
      </c>
      <c r="F21" s="726">
        <f>F8*-($E$65)/60</f>
        <v>310.71157029245046</v>
      </c>
      <c r="G21" s="726">
        <f>G8*-($E$65*(1+'Modeled Travel Times'!$Q$10))/60</f>
        <v>308.86086840616116</v>
      </c>
      <c r="H21" s="726">
        <f>H8*-($E$65*(1+'Modeled Travel Times'!$Q$10))/60</f>
        <v>312.278106128432</v>
      </c>
      <c r="I21" s="726">
        <f>I8*-($E$65*(1+'Modeled Travel Times'!$Q$10))/60</f>
        <v>315.7331521807472</v>
      </c>
      <c r="J21" s="726">
        <f>J8*-($E$65*(1+'Modeled Travel Times'!$Q$10))/60</f>
        <v>319.22642487460195</v>
      </c>
      <c r="K21" s="726">
        <f>K8*-($E$65*(1+'Modeled Travel Times'!$Q$10))/60</f>
        <v>322.75834714969108</v>
      </c>
      <c r="L21" s="726">
        <f>L8*-($E$65*(1+'Modeled Travel Times'!$Q$10))/60</f>
        <v>326.32934662511605</v>
      </c>
      <c r="M21" s="726">
        <f>M8*-($E$65*(1+'Modeled Travel Times'!$Q$10))/60</f>
        <v>329.93985565115702</v>
      </c>
      <c r="N21" s="726">
        <f>N8*-($E$65*(1+'Modeled Travel Times'!$Q$10))/60</f>
        <v>333.59031136161963</v>
      </c>
      <c r="O21" s="726">
        <f>O8*-($E$65*(1+'Modeled Travel Times'!$Q$10))/60</f>
        <v>337.2811557267591</v>
      </c>
      <c r="P21" s="726">
        <f>P8*-($E$65*(1+'Modeled Travel Times'!$Q$10))/60</f>
        <v>341.01283560679138</v>
      </c>
      <c r="Q21" s="726">
        <f>Q8*-($E$65*(1+'Modeled Travel Times'!$Q$10))/60</f>
        <v>344.78580280599516</v>
      </c>
      <c r="R21" s="726">
        <f>R8*-($E$65*(1+'Modeled Travel Times'!$Q$10))/60</f>
        <v>348.60051412741342</v>
      </c>
      <c r="S21" s="726">
        <f>S8*-($E$65*(1+'Modeled Travel Times'!$Q$10))/60</f>
        <v>352.45743142815951</v>
      </c>
      <c r="T21" s="726">
        <f>T8*-($E$65*(1+'Modeled Travel Times'!$Q$10))/60</f>
        <v>356.35702167533543</v>
      </c>
      <c r="U21" s="726">
        <f>U8*-($E$65*(1+'Modeled Travel Times'!$Q$10))/60</f>
        <v>360.29975700256904</v>
      </c>
      <c r="V21" s="726">
        <f>V8*-($E$65*(1+'Modeled Travel Times'!$Q$10))/60</f>
        <v>364.286114767176</v>
      </c>
      <c r="W21" s="726">
        <f>W8*-($E$65*(1+'Modeled Travel Times'!$Q$10))/60</f>
        <v>368.31657760795525</v>
      </c>
      <c r="X21" s="726">
        <f>X8*-($E$65*(1+'Modeled Travel Times'!$Q$10))/60</f>
        <v>372.39163350362355</v>
      </c>
      <c r="Y21" s="727">
        <f>Y8*-($E$65*(1+'Modeled Travel Times'!$Q$10))/60</f>
        <v>376.511775831894</v>
      </c>
      <c r="Z21" s="733"/>
    </row>
    <row r="22" spans="3:26" x14ac:dyDescent="0.2">
      <c r="D22" s="17"/>
      <c r="E22" s="17"/>
      <c r="F22" s="721"/>
      <c r="G22" s="722"/>
      <c r="H22" s="722"/>
      <c r="I22" s="722"/>
      <c r="J22" s="722"/>
      <c r="K22" s="722"/>
      <c r="L22" s="722"/>
      <c r="M22" s="722"/>
      <c r="N22" s="722"/>
      <c r="O22" s="722"/>
      <c r="P22" s="722"/>
      <c r="Q22" s="722"/>
      <c r="R22" s="722"/>
      <c r="S22" s="722"/>
      <c r="T22" s="722"/>
      <c r="U22" s="722"/>
      <c r="V22" s="722"/>
      <c r="W22" s="722"/>
      <c r="X22" s="722"/>
      <c r="Y22" s="723"/>
    </row>
    <row r="23" spans="3:26" ht="15" x14ac:dyDescent="0.25">
      <c r="C23" s="985" t="s">
        <v>364</v>
      </c>
      <c r="D23" s="706" t="s">
        <v>356</v>
      </c>
      <c r="E23" s="707" t="s">
        <v>360</v>
      </c>
      <c r="F23" s="724">
        <f>F10*-($F$64)/60</f>
        <v>456.84952058545241</v>
      </c>
      <c r="G23" s="724">
        <f>G10*-($F$64*(1+'Modeled Travel Times'!$R$9))/60</f>
        <v>477.11165784046403</v>
      </c>
      <c r="H23" s="724">
        <f>H10*-($F$64*(1+'Modeled Travel Times'!$R$9))/60</f>
        <v>483.28633616059449</v>
      </c>
      <c r="I23" s="724">
        <f>I10*-($F$64*(1+'Modeled Travel Times'!$R$9))/60</f>
        <v>489.54092586358598</v>
      </c>
      <c r="J23" s="724">
        <f>J10*-($F$64*(1+'Modeled Travel Times'!$R$9))/60</f>
        <v>495.87646114567974</v>
      </c>
      <c r="K23" s="724">
        <f>K10*-($F$64*(1+'Modeled Travel Times'!$R$9))/60</f>
        <v>502.29398958746663</v>
      </c>
      <c r="L23" s="724">
        <f>L10*-($F$64*(1+'Modeled Travel Times'!$R$9))/60</f>
        <v>508.79457232710416</v>
      </c>
      <c r="M23" s="724">
        <f>M10*-($F$64*(1+'Modeled Travel Times'!$R$9))/60</f>
        <v>515.37928423577603</v>
      </c>
      <c r="N23" s="724">
        <f>N10*-($F$64*(1+'Modeled Travel Times'!$R$9))/60</f>
        <v>522.04921409542135</v>
      </c>
      <c r="O23" s="724">
        <f>O10*-($F$64*(1+'Modeled Travel Times'!$R$9))/60</f>
        <v>528.80546477876567</v>
      </c>
      <c r="P23" s="724">
        <f>P10*-($F$64*(1+'Modeled Travel Times'!$R$9))/60</f>
        <v>535.64915343168013</v>
      </c>
      <c r="Q23" s="724">
        <f>Q10*-($F$64*(1+'Modeled Travel Times'!$R$9))/60</f>
        <v>542.58141165790187</v>
      </c>
      <c r="R23" s="724">
        <f>R10*-($F$64*(1+'Modeled Travel Times'!$R$9))/60</f>
        <v>549.60338570614476</v>
      </c>
      <c r="S23" s="724">
        <f>S10*-($F$64*(1+'Modeled Travel Times'!$R$9))/60</f>
        <v>556.71623665963125</v>
      </c>
      <c r="T23" s="724">
        <f>T10*-($F$64*(1+'Modeled Travel Times'!$R$9))/60</f>
        <v>563.92114062807786</v>
      </c>
      <c r="U23" s="724">
        <f>U10*-($F$64*(1+'Modeled Travel Times'!$R$9))/60</f>
        <v>571.21928894216455</v>
      </c>
      <c r="V23" s="724">
        <f>V10*-($F$64*(1+'Modeled Travel Times'!$R$9))/60</f>
        <v>578.61188835052121</v>
      </c>
      <c r="W23" s="724">
        <f>W10*-($F$64*(1+'Modeled Travel Times'!$R$9))/60</f>
        <v>586.10016121926446</v>
      </c>
      <c r="X23" s="724">
        <f>X10*-($F$64*(1+'Modeled Travel Times'!$R$9))/60</f>
        <v>593.68534573411284</v>
      </c>
      <c r="Y23" s="725">
        <f>Y10*-($F$64*(1+'Modeled Travel Times'!$R$9))/60</f>
        <v>601.36869610512679</v>
      </c>
      <c r="Z23" s="733"/>
    </row>
    <row r="24" spans="3:26" ht="15" x14ac:dyDescent="0.25">
      <c r="C24" s="985"/>
      <c r="D24" s="712" t="s">
        <v>358</v>
      </c>
      <c r="E24" s="713" t="s">
        <v>360</v>
      </c>
      <c r="F24" s="445">
        <f>F11*-($F$65)/60</f>
        <v>76.308866401617465</v>
      </c>
      <c r="G24" s="445">
        <f>G11*-($F$65*(1+'Modeled Travel Times'!$R$10))/60</f>
        <v>83.2206452847131</v>
      </c>
      <c r="H24" s="445">
        <f>H11*-($F$65*(1+'Modeled Travel Times'!$R$10))/60</f>
        <v>83.888895218718602</v>
      </c>
      <c r="I24" s="445">
        <f>I11*-($F$65*(1+'Modeled Travel Times'!$R$10))/60</f>
        <v>84.562511104559391</v>
      </c>
      <c r="J24" s="445">
        <f>J11*-($F$65*(1+'Modeled Travel Times'!$R$10))/60</f>
        <v>85.241536030064765</v>
      </c>
      <c r="K24" s="445">
        <f>K11*-($F$65*(1+'Modeled Travel Times'!$R$10))/60</f>
        <v>85.926013429053185</v>
      </c>
      <c r="L24" s="445">
        <f>L11*-($F$65*(1+'Modeled Travel Times'!$R$10))/60</f>
        <v>86.6159870841105</v>
      </c>
      <c r="M24" s="445">
        <f>M11*-($F$65*(1+'Modeled Travel Times'!$R$10))/60</f>
        <v>87.31150112939045</v>
      </c>
      <c r="N24" s="445">
        <f>N11*-($F$65*(1+'Modeled Travel Times'!$R$10))/60</f>
        <v>88.012600053437779</v>
      </c>
      <c r="O24" s="445">
        <f>O11*-($F$65*(1+'Modeled Travel Times'!$R$10))/60</f>
        <v>88.719328702033906</v>
      </c>
      <c r="P24" s="445">
        <f>P11*-($F$65*(1+'Modeled Travel Times'!$R$10))/60</f>
        <v>89.431732281065479</v>
      </c>
      <c r="Q24" s="445">
        <f>Q11*-($F$65*(1+'Modeled Travel Times'!$R$10))/60</f>
        <v>90.149856359416006</v>
      </c>
      <c r="R24" s="445">
        <f>R11*-($F$65*(1+'Modeled Travel Times'!$R$10))/60</f>
        <v>90.873746871880613</v>
      </c>
      <c r="S24" s="445">
        <f>S11*-($F$65*(1+'Modeled Travel Times'!$R$10))/60</f>
        <v>91.603450122104277</v>
      </c>
      <c r="T24" s="445">
        <f>T11*-($F$65*(1+'Modeled Travel Times'!$R$10))/60</f>
        <v>92.33901278554373</v>
      </c>
      <c r="U24" s="445">
        <f>U11*-($F$65*(1+'Modeled Travel Times'!$R$10))/60</f>
        <v>93.080481912452882</v>
      </c>
      <c r="V24" s="445">
        <f>V11*-($F$65*(1+'Modeled Travel Times'!$R$10))/60</f>
        <v>93.827904930892572</v>
      </c>
      <c r="W24" s="445">
        <f>W11*-($F$65*(1+'Modeled Travel Times'!$R$10))/60</f>
        <v>94.581329649764101</v>
      </c>
      <c r="X24" s="445">
        <f>X11*-($F$65*(1+'Modeled Travel Times'!$R$10))/60</f>
        <v>95.340804261867405</v>
      </c>
      <c r="Y24" s="714">
        <f>Y11*-($F$65*(1+'Modeled Travel Times'!$R$10))/60</f>
        <v>96.106377346984161</v>
      </c>
      <c r="Z24" s="733"/>
    </row>
    <row r="25" spans="3:26" ht="15" x14ac:dyDescent="0.25">
      <c r="C25" s="985"/>
      <c r="D25" s="712" t="s">
        <v>356</v>
      </c>
      <c r="E25" s="713" t="s">
        <v>361</v>
      </c>
      <c r="F25" s="445">
        <f>F12*-($F$64)/60</f>
        <v>497.73207314621965</v>
      </c>
      <c r="G25" s="445">
        <f>G12*-($F$64*(1+'Modeled Travel Times'!$R$9))/60</f>
        <v>518.8306007769495</v>
      </c>
      <c r="H25" s="445">
        <f>H12*-($F$64*(1+'Modeled Travel Times'!$R$9))/60</f>
        <v>524.55758648780477</v>
      </c>
      <c r="I25" s="445">
        <f>I12*-($F$64*(1+'Modeled Travel Times'!$R$9))/60</f>
        <v>530.34778814097956</v>
      </c>
      <c r="J25" s="445">
        <f>J12*-($F$64*(1+'Modeled Travel Times'!$R$9))/60</f>
        <v>536.20190353031614</v>
      </c>
      <c r="K25" s="445">
        <f>K12*-($F$64*(1+'Modeled Travel Times'!$R$9))/60</f>
        <v>542.12063815208478</v>
      </c>
      <c r="L25" s="445">
        <f>L12*-($F$64*(1+'Modeled Travel Times'!$R$9))/60</f>
        <v>548.10470529000497</v>
      </c>
      <c r="M25" s="445">
        <f>M12*-($F$64*(1+'Modeled Travel Times'!$R$9))/60</f>
        <v>554.15482610120569</v>
      </c>
      <c r="N25" s="445">
        <f>N12*-($F$64*(1+'Modeled Travel Times'!$R$9))/60</f>
        <v>560.27172970313393</v>
      </c>
      <c r="O25" s="445">
        <f>O12*-($F$64*(1+'Modeled Travel Times'!$R$9))/60</f>
        <v>566.45615326142251</v>
      </c>
      <c r="P25" s="445">
        <f>P12*-($F$64*(1+'Modeled Travel Times'!$R$9))/60</f>
        <v>572.70884207872848</v>
      </c>
      <c r="Q25" s="445">
        <f>Q12*-($F$64*(1+'Modeled Travel Times'!$R$9))/60</f>
        <v>579.0305496845516</v>
      </c>
      <c r="R25" s="445">
        <f>R12*-($F$64*(1+'Modeled Travel Times'!$R$9))/60</f>
        <v>585.42203792604357</v>
      </c>
      <c r="S25" s="445">
        <f>S12*-($F$64*(1+'Modeled Travel Times'!$R$9))/60</f>
        <v>591.88407705982161</v>
      </c>
      <c r="T25" s="445">
        <f>T12*-($F$64*(1+'Modeled Travel Times'!$R$9))/60</f>
        <v>598.41744584479363</v>
      </c>
      <c r="U25" s="445">
        <f>U12*-($F$64*(1+'Modeled Travel Times'!$R$9))/60</f>
        <v>605.02293163600859</v>
      </c>
      <c r="V25" s="445">
        <f>V12*-($F$64*(1+'Modeled Travel Times'!$R$9))/60</f>
        <v>611.70133047954323</v>
      </c>
      <c r="W25" s="445">
        <f>W12*-($F$64*(1+'Modeled Travel Times'!$R$9))/60</f>
        <v>618.45344720843593</v>
      </c>
      <c r="X25" s="445">
        <f>X12*-($F$64*(1+'Modeled Travel Times'!$R$9))/60</f>
        <v>625.28009553967888</v>
      </c>
      <c r="Y25" s="714">
        <f>Y12*-($F$64*(1+'Modeled Travel Times'!$R$9))/60</f>
        <v>632.18209817228274</v>
      </c>
      <c r="Z25" s="733"/>
    </row>
    <row r="26" spans="3:26" ht="15.75" thickBot="1" x14ac:dyDescent="0.3">
      <c r="C26" s="985"/>
      <c r="D26" s="716" t="s">
        <v>358</v>
      </c>
      <c r="E26" s="717" t="s">
        <v>361</v>
      </c>
      <c r="F26" s="726">
        <f>F13*-($F$65)/60</f>
        <v>81.673785368614418</v>
      </c>
      <c r="G26" s="726">
        <f>G13*-($F$65*(1+'Modeled Travel Times'!$R$10))/60</f>
        <v>89.456281581632382</v>
      </c>
      <c r="H26" s="726">
        <f>H13*-($F$65*(1+'Modeled Travel Times'!$R$10))/60</f>
        <v>90.564150648272459</v>
      </c>
      <c r="I26" s="726">
        <f>I13*-($F$65*(1+'Modeled Travel Times'!$R$10))/60</f>
        <v>91.685740091470961</v>
      </c>
      <c r="J26" s="726">
        <f>J13*-($F$65*(1+'Modeled Travel Times'!$R$10))/60</f>
        <v>92.821219830885894</v>
      </c>
      <c r="K26" s="726">
        <f>K13*-($F$65*(1+'Modeled Travel Times'!$R$10))/60</f>
        <v>93.970761890540999</v>
      </c>
      <c r="L26" s="726">
        <f>L13*-($F$65*(1+'Modeled Travel Times'!$R$10))/60</f>
        <v>95.134540424887163</v>
      </c>
      <c r="M26" s="726">
        <f>M13*-($F$65*(1+'Modeled Travel Times'!$R$10))/60</f>
        <v>96.31273174518671</v>
      </c>
      <c r="N26" s="726">
        <f>N13*-($F$65*(1+'Modeled Travel Times'!$R$10))/60</f>
        <v>97.505514346224345</v>
      </c>
      <c r="O26" s="726">
        <f>O13*-($F$65*(1+'Modeled Travel Times'!$R$10))/60</f>
        <v>98.713068933348964</v>
      </c>
      <c r="P26" s="726">
        <f>P13*-($F$65*(1+'Modeled Travel Times'!$R$10))/60</f>
        <v>99.935578449850269</v>
      </c>
      <c r="Q26" s="726">
        <f>Q13*-($F$65*(1+'Modeled Travel Times'!$R$10))/60</f>
        <v>101.17322810467455</v>
      </c>
      <c r="R26" s="726">
        <f>R13*-($F$65*(1+'Modeled Travel Times'!$R$10))/60</f>
        <v>102.42620540048362</v>
      </c>
      <c r="S26" s="726">
        <f>S13*-($F$65*(1+'Modeled Travel Times'!$R$10))/60</f>
        <v>103.69470016206128</v>
      </c>
      <c r="T26" s="726">
        <f>T13*-($F$65*(1+'Modeled Travel Times'!$R$10))/60</f>
        <v>104.97890456507163</v>
      </c>
      <c r="U26" s="726">
        <f>U13*-($F$65*(1+'Modeled Travel Times'!$R$10))/60</f>
        <v>106.27901316517337</v>
      </c>
      <c r="V26" s="726">
        <f>V13*-($F$65*(1+'Modeled Travel Times'!$R$10))/60</f>
        <v>107.59522292749489</v>
      </c>
      <c r="W26" s="726">
        <f>W13*-($F$65*(1+'Modeled Travel Times'!$R$10))/60</f>
        <v>108.92773325647427</v>
      </c>
      <c r="X26" s="726">
        <f>X13*-($F$65*(1+'Modeled Travel Times'!$R$10))/60</f>
        <v>110.27674602606899</v>
      </c>
      <c r="Y26" s="727">
        <f>Y13*-($F$65*(1+'Modeled Travel Times'!$R$10))/60</f>
        <v>111.64246561033897</v>
      </c>
      <c r="Z26" s="733"/>
    </row>
    <row r="28" spans="3:26" ht="15" x14ac:dyDescent="0.25">
      <c r="E28" s="736" t="s">
        <v>365</v>
      </c>
      <c r="F28" s="737">
        <f>SUM(F25,F23,F20,F18)</f>
        <v>1444.9818592122278</v>
      </c>
      <c r="G28" s="737">
        <f t="shared" ref="G28:Y29" si="13">SUM(G25,G23,G20,G18)</f>
        <v>1489.7502904133883</v>
      </c>
      <c r="H28" s="737">
        <f t="shared" si="13"/>
        <v>1504.8229948005119</v>
      </c>
      <c r="I28" s="737">
        <f t="shared" si="13"/>
        <v>1520.0593255374279</v>
      </c>
      <c r="J28" s="737">
        <f t="shared" si="13"/>
        <v>1535.4611479926214</v>
      </c>
      <c r="K28" s="737">
        <f t="shared" si="13"/>
        <v>1551.0303494946431</v>
      </c>
      <c r="L28" s="737">
        <f t="shared" si="13"/>
        <v>1566.7688395961018</v>
      </c>
      <c r="M28" s="737">
        <f t="shared" si="13"/>
        <v>1582.6785503408712</v>
      </c>
      <c r="N28" s="737">
        <f t="shared" si="13"/>
        <v>1598.7614365345594</v>
      </c>
      <c r="O28" s="737">
        <f t="shared" si="13"/>
        <v>1615.0194760182719</v>
      </c>
      <c r="P28" s="737">
        <f t="shared" si="13"/>
        <v>1631.4546699457173</v>
      </c>
      <c r="Q28" s="737">
        <f t="shared" si="13"/>
        <v>1648.0690430636896</v>
      </c>
      <c r="R28" s="737">
        <f t="shared" si="13"/>
        <v>1664.8646439959741</v>
      </c>
      <c r="S28" s="737">
        <f t="shared" si="13"/>
        <v>1681.843545530716</v>
      </c>
      <c r="T28" s="737">
        <f t="shared" si="13"/>
        <v>1699.0078449112955</v>
      </c>
      <c r="U28" s="737">
        <f t="shared" si="13"/>
        <v>1716.3596641307508</v>
      </c>
      <c r="V28" s="737">
        <f t="shared" si="13"/>
        <v>1733.9011502297981</v>
      </c>
      <c r="W28" s="737">
        <f t="shared" si="13"/>
        <v>1751.6344755984846</v>
      </c>
      <c r="X28" s="737">
        <f t="shared" si="13"/>
        <v>1769.5618382815246</v>
      </c>
      <c r="Y28" s="737">
        <f t="shared" si="13"/>
        <v>1787.6854622873716</v>
      </c>
      <c r="Z28" s="733"/>
    </row>
    <row r="29" spans="3:26" ht="15.75" thickBot="1" x14ac:dyDescent="0.3">
      <c r="E29" s="736" t="s">
        <v>366</v>
      </c>
      <c r="F29" s="738">
        <f>SUM(F26,F24,F21,F19)</f>
        <v>790.15986507637012</v>
      </c>
      <c r="G29" s="738">
        <f t="shared" si="13"/>
        <v>800.09406819080857</v>
      </c>
      <c r="H29" s="738">
        <f t="shared" si="13"/>
        <v>807.80944487994009</v>
      </c>
      <c r="I29" s="738">
        <f t="shared" si="13"/>
        <v>815.60168313838449</v>
      </c>
      <c r="J29" s="738">
        <f t="shared" si="13"/>
        <v>823.47157236378166</v>
      </c>
      <c r="K29" s="738">
        <f t="shared" si="13"/>
        <v>831.4199102838395</v>
      </c>
      <c r="L29" s="738">
        <f t="shared" si="13"/>
        <v>839.44750304628894</v>
      </c>
      <c r="M29" s="738">
        <f t="shared" si="13"/>
        <v>847.555165309828</v>
      </c>
      <c r="N29" s="738">
        <f t="shared" si="13"/>
        <v>855.74372033606778</v>
      </c>
      <c r="O29" s="738">
        <f t="shared" si="13"/>
        <v>864.01400008248947</v>
      </c>
      <c r="P29" s="738">
        <f t="shared" si="13"/>
        <v>872.3668452964273</v>
      </c>
      <c r="Q29" s="738">
        <f t="shared" si="13"/>
        <v>880.80310561008355</v>
      </c>
      <c r="R29" s="738">
        <f t="shared" si="13"/>
        <v>889.32363963659304</v>
      </c>
      <c r="S29" s="738">
        <f t="shared" si="13"/>
        <v>897.92931506714433</v>
      </c>
      <c r="T29" s="738">
        <f t="shared" si="13"/>
        <v>906.62100876917157</v>
      </c>
      <c r="U29" s="738">
        <f t="shared" si="13"/>
        <v>915.39960688562792</v>
      </c>
      <c r="V29" s="738">
        <f t="shared" si="13"/>
        <v>924.26600493535511</v>
      </c>
      <c r="W29" s="738">
        <f t="shared" si="13"/>
        <v>933.22110791455702</v>
      </c>
      <c r="X29" s="738">
        <f t="shared" si="13"/>
        <v>942.2658303993951</v>
      </c>
      <c r="Y29" s="738">
        <f t="shared" si="13"/>
        <v>951.40109664970851</v>
      </c>
      <c r="Z29" s="733"/>
    </row>
    <row r="30" spans="3:26" ht="13.5" thickTop="1" x14ac:dyDescent="0.2">
      <c r="F30" s="733"/>
      <c r="G30" s="733"/>
      <c r="H30" s="733"/>
      <c r="I30" s="733"/>
      <c r="J30" s="733"/>
      <c r="K30" s="733"/>
      <c r="L30" s="733"/>
      <c r="M30" s="733"/>
      <c r="N30" s="733"/>
      <c r="O30" s="733"/>
      <c r="P30" s="733"/>
      <c r="Q30" s="733"/>
      <c r="R30" s="733"/>
      <c r="S30" s="733"/>
      <c r="T30" s="733"/>
      <c r="U30" s="733"/>
      <c r="V30" s="733"/>
      <c r="W30" s="733"/>
      <c r="X30" s="733"/>
      <c r="Y30" s="733"/>
      <c r="Z30" s="733"/>
    </row>
    <row r="31" spans="3:26" ht="15" x14ac:dyDescent="0.25">
      <c r="F31" s="987" t="s">
        <v>367</v>
      </c>
      <c r="G31" s="988"/>
      <c r="H31" s="988"/>
      <c r="I31" s="989"/>
    </row>
    <row r="32" spans="3:26" ht="37.5" customHeight="1" thickBot="1" x14ac:dyDescent="0.3">
      <c r="C32" s="728"/>
      <c r="E32" s="700" t="s">
        <v>368</v>
      </c>
      <c r="F32" s="729">
        <v>2027</v>
      </c>
      <c r="G32" s="730">
        <v>2028</v>
      </c>
      <c r="H32" s="730">
        <v>2029</v>
      </c>
      <c r="I32" s="730">
        <v>2030</v>
      </c>
      <c r="J32" s="730">
        <v>2031</v>
      </c>
      <c r="K32" s="730">
        <v>2032</v>
      </c>
      <c r="L32" s="730">
        <v>2033</v>
      </c>
      <c r="M32" s="730">
        <v>2034</v>
      </c>
      <c r="N32" s="730">
        <v>2035</v>
      </c>
      <c r="O32" s="730">
        <v>2036</v>
      </c>
      <c r="P32" s="730">
        <v>2037</v>
      </c>
      <c r="Q32" s="730">
        <v>2038</v>
      </c>
      <c r="R32" s="730">
        <v>2039</v>
      </c>
      <c r="S32" s="730">
        <v>2040</v>
      </c>
      <c r="T32" s="730">
        <v>2041</v>
      </c>
      <c r="U32" s="730">
        <v>2042</v>
      </c>
      <c r="V32" s="730">
        <v>2043</v>
      </c>
      <c r="W32" s="730">
        <v>2044</v>
      </c>
      <c r="X32" s="730">
        <v>2045</v>
      </c>
      <c r="Y32" s="731">
        <v>2046</v>
      </c>
      <c r="Z32" s="704"/>
    </row>
    <row r="33" spans="5:47" ht="15" x14ac:dyDescent="0.25">
      <c r="E33" s="736" t="s">
        <v>369</v>
      </c>
      <c r="F33" s="739">
        <f>F28*'Modeled Travel Times'!$H$22*'Modeled Travel Times'!$D$42*$E$67</f>
        <v>1973036.0298427446</v>
      </c>
      <c r="G33" s="740">
        <f>G28*'Modeled Travel Times'!$H$22*'Modeled Travel Times'!$D$42*$E$67</f>
        <v>2034164.6365420569</v>
      </c>
      <c r="H33" s="740">
        <f>H28*'Modeled Travel Times'!$H$22*'Modeled Travel Times'!$D$42*$E$67</f>
        <v>2054745.5100204111</v>
      </c>
      <c r="I33" s="740">
        <f>I28*'Modeled Travel Times'!$H$22*'Modeled Travel Times'!$D$42*$E$67</f>
        <v>2075549.8054618253</v>
      </c>
      <c r="J33" s="740">
        <f>J28*'Modeled Travel Times'!$H$22*'Modeled Travel Times'!$D$42*$E$67</f>
        <v>2096580.0699150451</v>
      </c>
      <c r="K33" s="740">
        <f>K28*'Modeled Travel Times'!$H$22*'Modeled Travel Times'!$D$42*$E$67</f>
        <v>2117838.8804139658</v>
      </c>
      <c r="L33" s="740">
        <f>L28*'Modeled Travel Times'!$H$22*'Modeled Travel Times'!$D$42*$E$67</f>
        <v>2139328.8443381013</v>
      </c>
      <c r="M33" s="740">
        <f>M28*'Modeled Travel Times'!$H$22*'Modeled Travel Times'!$D$42*$E$67</f>
        <v>2161052.5997774396</v>
      </c>
      <c r="N33" s="740">
        <f>N28*'Modeled Travel Times'!$H$22*'Modeled Travel Times'!$D$42*$E$67</f>
        <v>2183012.8159017488</v>
      </c>
      <c r="O33" s="740">
        <f>O28*'Modeled Travel Times'!$H$22*'Modeled Travel Times'!$D$42*$E$67</f>
        <v>2205212.1933343895</v>
      </c>
      <c r="P33" s="740">
        <f>P28*'Modeled Travel Times'!$H$22*'Modeled Travel Times'!$D$42*$E$67</f>
        <v>2227653.4645306808</v>
      </c>
      <c r="Q33" s="740">
        <f>Q28*'Modeled Travel Times'!$H$22*'Modeled Travel Times'!$D$42*$E$67</f>
        <v>2250339.3941608849</v>
      </c>
      <c r="R33" s="740">
        <f>R28*'Modeled Travel Times'!$H$22*'Modeled Travel Times'!$D$42*$E$67</f>
        <v>2273272.7794978628</v>
      </c>
      <c r="S33" s="740">
        <f>S28*'Modeled Travel Times'!$H$22*'Modeled Travel Times'!$D$42*$E$67</f>
        <v>2296456.4508094611</v>
      </c>
      <c r="T33" s="740">
        <f>T28*'Modeled Travel Times'!$H$22*'Modeled Travel Times'!$D$42*$E$67</f>
        <v>2319893.2717556795</v>
      </c>
      <c r="U33" s="740">
        <f>U28*'Modeled Travel Times'!$H$22*'Modeled Travel Times'!$D$42*$E$67</f>
        <v>2343586.1397906924</v>
      </c>
      <c r="V33" s="740">
        <f>V28*'Modeled Travel Times'!$H$22*'Modeled Travel Times'!$D$42*$E$67</f>
        <v>2367537.9865697757</v>
      </c>
      <c r="W33" s="740">
        <f>W28*'Modeled Travel Times'!$H$22*'Modeled Travel Times'!$D$42*$E$67</f>
        <v>2391751.7783611948</v>
      </c>
      <c r="X33" s="740">
        <f>X28*'Modeled Travel Times'!$H$22*'Modeled Travel Times'!$D$42*$E$67</f>
        <v>2416230.5164631251</v>
      </c>
      <c r="Y33" s="741">
        <f>Y28*'Modeled Travel Times'!$H$22*'Modeled Travel Times'!$D$42*$E$67</f>
        <v>2440977.2376256688</v>
      </c>
      <c r="Z33" s="742"/>
      <c r="AB33" s="742"/>
      <c r="AC33" s="742"/>
      <c r="AD33" s="742"/>
      <c r="AE33" s="742"/>
      <c r="AF33" s="742"/>
      <c r="AG33" s="742"/>
      <c r="AH33" s="742"/>
      <c r="AI33" s="742"/>
      <c r="AJ33" s="742"/>
      <c r="AK33" s="742"/>
      <c r="AL33" s="742"/>
      <c r="AM33" s="742"/>
      <c r="AN33" s="742"/>
      <c r="AO33" s="742"/>
      <c r="AP33" s="742"/>
      <c r="AQ33" s="742"/>
      <c r="AR33" s="742"/>
      <c r="AS33" s="742"/>
      <c r="AT33" s="742"/>
      <c r="AU33" s="742"/>
    </row>
    <row r="34" spans="5:47" ht="15" x14ac:dyDescent="0.25">
      <c r="E34" s="736" t="s">
        <v>370</v>
      </c>
      <c r="F34" s="743">
        <f>F29*'Modeled Travel Times'!$H$21*'Modeled Travel Times'!$D$42*$E$67</f>
        <v>698122.04399227456</v>
      </c>
      <c r="G34" s="744">
        <f>G29*'Modeled Travel Times'!$H$21*'Modeled Travel Times'!$D$42*$E$67</f>
        <v>706899.11112794315</v>
      </c>
      <c r="H34" s="744">
        <f>H29*'Modeled Travel Times'!$H$21*'Modeled Travel Times'!$D$42*$E$67</f>
        <v>713715.80074032466</v>
      </c>
      <c r="I34" s="744">
        <f>I29*'Modeled Travel Times'!$H$21*'Modeled Travel Times'!$D$42*$E$67</f>
        <v>720600.39908642555</v>
      </c>
      <c r="J34" s="744">
        <f>J29*'Modeled Travel Times'!$H$21*'Modeled Travel Times'!$D$42*$E$67</f>
        <v>727553.60361484834</v>
      </c>
      <c r="K34" s="744">
        <f>K29*'Modeled Travel Times'!$H$21*'Modeled Travel Times'!$D$42*$E$67</f>
        <v>734576.1191339778</v>
      </c>
      <c r="L34" s="744">
        <f>L29*'Modeled Travel Times'!$H$21*'Modeled Travel Times'!$D$42*$E$67</f>
        <v>741668.6578914572</v>
      </c>
      <c r="M34" s="744">
        <f>M29*'Modeled Travel Times'!$H$21*'Modeled Travel Times'!$D$42*$E$67</f>
        <v>748831.93965453922</v>
      </c>
      <c r="N34" s="744">
        <f>N29*'Modeled Travel Times'!$H$21*'Modeled Travel Times'!$D$42*$E$67</f>
        <v>756066.69179132255</v>
      </c>
      <c r="O34" s="744">
        <f>O29*'Modeled Travel Times'!$H$21*'Modeled Travel Times'!$D$42*$E$67</f>
        <v>763373.64935288113</v>
      </c>
      <c r="P34" s="744">
        <f>P29*'Modeled Travel Times'!$H$21*'Modeled Travel Times'!$D$42*$E$67</f>
        <v>770753.5551562995</v>
      </c>
      <c r="Q34" s="744">
        <f>Q29*'Modeled Travel Times'!$H$21*'Modeled Travel Times'!$D$42*$E$67</f>
        <v>778207.15986862103</v>
      </c>
      <c r="R34" s="744">
        <f>R29*'Modeled Travel Times'!$H$21*'Modeled Travel Times'!$D$42*$E$67</f>
        <v>785735.22209172265</v>
      </c>
      <c r="S34" s="744">
        <f>S29*'Modeled Travel Times'!$H$21*'Modeled Travel Times'!$D$42*$E$67</f>
        <v>793338.50844812335</v>
      </c>
      <c r="T34" s="744">
        <f>T29*'Modeled Travel Times'!$H$21*'Modeled Travel Times'!$D$42*$E$67</f>
        <v>801017.79366773844</v>
      </c>
      <c r="U34" s="744">
        <f>U29*'Modeled Travel Times'!$H$21*'Modeled Travel Times'!$D$42*$E$67</f>
        <v>808773.86067559</v>
      </c>
      <c r="V34" s="744">
        <f>V29*'Modeled Travel Times'!$H$21*'Modeled Travel Times'!$D$42*$E$67</f>
        <v>816607.50068048493</v>
      </c>
      <c r="W34" s="744">
        <f>W29*'Modeled Travel Times'!$H$21*'Modeled Travel Times'!$D$42*$E$67</f>
        <v>824519.51326466945</v>
      </c>
      <c r="X34" s="744">
        <f>X29*'Modeled Travel Times'!$H$21*'Modeled Travel Times'!$D$42*$E$67</f>
        <v>832510.70647447358</v>
      </c>
      <c r="Y34" s="745">
        <f>Y29*'Modeled Travel Times'!$H$21*'Modeled Travel Times'!$D$42*$E$67</f>
        <v>840581.89691195043</v>
      </c>
      <c r="Z34" s="742"/>
      <c r="AB34" s="851"/>
      <c r="AC34" s="851"/>
      <c r="AD34" s="851"/>
      <c r="AE34" s="851"/>
      <c r="AF34" s="851"/>
      <c r="AG34" s="851"/>
      <c r="AH34" s="851"/>
      <c r="AI34" s="851"/>
      <c r="AJ34" s="851"/>
      <c r="AK34" s="851"/>
      <c r="AL34" s="851"/>
      <c r="AM34" s="851"/>
      <c r="AN34" s="851"/>
      <c r="AO34" s="851"/>
      <c r="AP34" s="851"/>
      <c r="AQ34" s="851"/>
      <c r="AR34" s="851"/>
      <c r="AS34" s="851"/>
      <c r="AT34" s="851"/>
      <c r="AU34" s="851"/>
    </row>
    <row r="35" spans="5:47" ht="15" x14ac:dyDescent="0.25">
      <c r="E35" s="736" t="s">
        <v>371</v>
      </c>
      <c r="F35" s="743">
        <f>F28*(1-'Modeled Travel Times'!$H$22)*('Modeled Travel Times'!$D$39*'Modeled Travel Times'!$E$39)*$E$67</f>
        <v>8948509.0605105702</v>
      </c>
      <c r="G35" s="744">
        <f>G28*(1-'Modeled Travel Times'!$H$22)*('Modeled Travel Times'!$D$39*'Modeled Travel Times'!$E$39)*$E$67</f>
        <v>9225751.7882821355</v>
      </c>
      <c r="H35" s="744">
        <f>H28*(1-'Modeled Travel Times'!$H$22)*('Modeled Travel Times'!$D$39*'Modeled Travel Times'!$E$39)*$E$67</f>
        <v>9319094.2969888579</v>
      </c>
      <c r="I35" s="744">
        <f>I28*(1-'Modeled Travel Times'!$H$22)*('Modeled Travel Times'!$D$39*'Modeled Travel Times'!$E$39)*$E$67</f>
        <v>9413450.1138311252</v>
      </c>
      <c r="J35" s="744">
        <f>J28*(1-'Modeled Travel Times'!$H$22)*('Modeled Travel Times'!$D$39*'Modeled Travel Times'!$E$39)*$E$67</f>
        <v>9508830.7906956859</v>
      </c>
      <c r="K35" s="744">
        <f>K28*(1-'Modeled Travel Times'!$H$22)*('Modeled Travel Times'!$D$39*'Modeled Travel Times'!$E$39)*$E$67</f>
        <v>9605248.0154639687</v>
      </c>
      <c r="L35" s="744">
        <f>L28*(1-'Modeled Travel Times'!$H$22)*('Modeled Travel Times'!$D$39*'Modeled Travel Times'!$E$39)*$E$67</f>
        <v>9702713.6136469375</v>
      </c>
      <c r="M35" s="744">
        <f>M28*(1-'Modeled Travel Times'!$H$22)*('Modeled Travel Times'!$D$39*'Modeled Travel Times'!$E$39)*$E$67</f>
        <v>9801239.5500398614</v>
      </c>
      <c r="N35" s="744">
        <f>N28*(1-'Modeled Travel Times'!$H$22)*('Modeled Travel Times'!$D$39*'Modeled Travel Times'!$E$39)*$E$67</f>
        <v>9900837.9303972721</v>
      </c>
      <c r="O35" s="744">
        <f>O28*(1-'Modeled Travel Times'!$H$22)*('Modeled Travel Times'!$D$39*'Modeled Travel Times'!$E$39)*$E$67</f>
        <v>10001521.003128342</v>
      </c>
      <c r="P35" s="744">
        <f>P28*(1-'Modeled Travel Times'!$H$22)*('Modeled Travel Times'!$D$39*'Modeled Travel Times'!$E$39)*$E$67</f>
        <v>10103301.161012935</v>
      </c>
      <c r="Q35" s="744">
        <f>Q28*(1-'Modeled Travel Times'!$H$22)*('Modeled Travel Times'!$D$39*'Modeled Travel Times'!$E$39)*$E$67</f>
        <v>10206190.942938592</v>
      </c>
      <c r="R35" s="744">
        <f>R28*(1-'Modeled Travel Times'!$H$22)*('Modeled Travel Times'!$D$39*'Modeled Travel Times'!$E$39)*$E$67</f>
        <v>10310203.035658708</v>
      </c>
      <c r="S35" s="744">
        <f>S28*(1-'Modeled Travel Times'!$H$22)*('Modeled Travel Times'!$D$39*'Modeled Travel Times'!$E$39)*$E$67</f>
        <v>10415350.275572149</v>
      </c>
      <c r="T35" s="744">
        <f>T28*(1-'Modeled Travel Times'!$H$22)*('Modeled Travel Times'!$D$39*'Modeled Travel Times'!$E$39)*$E$67</f>
        <v>10521645.650524583</v>
      </c>
      <c r="U35" s="744">
        <f>U28*(1-'Modeled Travel Times'!$H$22)*('Modeled Travel Times'!$D$39*'Modeled Travel Times'!$E$39)*$E$67</f>
        <v>10629102.301631808</v>
      </c>
      <c r="V35" s="744">
        <f>V28*(1-'Modeled Travel Times'!$H$22)*('Modeled Travel Times'!$D$39*'Modeled Travel Times'!$E$39)*$E$67</f>
        <v>10737733.525125314</v>
      </c>
      <c r="W35" s="744">
        <f>W28*(1-'Modeled Travel Times'!$H$22)*('Modeled Travel Times'!$D$39*'Modeled Travel Times'!$E$39)*$E$67</f>
        <v>10847552.774220375</v>
      </c>
      <c r="X35" s="744">
        <f>X28*(1-'Modeled Travel Times'!$H$22)*('Modeled Travel Times'!$D$39*'Modeled Travel Times'!$E$39)*$E$67</f>
        <v>10958573.661006942</v>
      </c>
      <c r="Y35" s="745">
        <f>Y28*(1-'Modeled Travel Times'!$H$22)*('Modeled Travel Times'!$D$39*'Modeled Travel Times'!$E$39)*$E$67</f>
        <v>11070809.958363662</v>
      </c>
      <c r="Z35" s="742"/>
    </row>
    <row r="36" spans="5:47" ht="15.75" thickBot="1" x14ac:dyDescent="0.3">
      <c r="E36" s="736" t="s">
        <v>372</v>
      </c>
      <c r="F36" s="746">
        <f>F29*(1-'Modeled Travel Times'!$H$21)*('Modeled Travel Times'!$D$39*'Modeled Travel Times'!$E$39)*$E$67</f>
        <v>5247049.5832232311</v>
      </c>
      <c r="G36" s="747">
        <f>G29*(1-'Modeled Travel Times'!$H$21)*('Modeled Travel Times'!$D$39*'Modeled Travel Times'!$E$39)*$E$67</f>
        <v>5313017.5709876204</v>
      </c>
      <c r="H36" s="747">
        <f>H29*(1-'Modeled Travel Times'!$H$21)*('Modeled Travel Times'!$D$39*'Modeled Travel Times'!$E$39)*$E$67</f>
        <v>5364251.4615335613</v>
      </c>
      <c r="I36" s="747">
        <f>I29*(1-'Modeled Travel Times'!$H$21)*('Modeled Travel Times'!$D$39*'Modeled Travel Times'!$E$39)*$E$67</f>
        <v>5415995.7506495295</v>
      </c>
      <c r="J36" s="747">
        <f>J29*(1-'Modeled Travel Times'!$H$21)*('Modeled Travel Times'!$D$39*'Modeled Travel Times'!$E$39)*$E$67</f>
        <v>5468255.6803235617</v>
      </c>
      <c r="K36" s="747">
        <f>K29*(1-'Modeled Travel Times'!$H$21)*('Modeled Travel Times'!$D$39*'Modeled Travel Times'!$E$39)*$E$67</f>
        <v>5521036.5478594312</v>
      </c>
      <c r="L36" s="747">
        <f>L29*(1-'Modeled Travel Times'!$H$21)*('Modeled Travel Times'!$D$39*'Modeled Travel Times'!$E$39)*$E$67</f>
        <v>5574343.7064740043</v>
      </c>
      <c r="M36" s="747">
        <f>M29*(1-'Modeled Travel Times'!$H$21)*('Modeled Travel Times'!$D$39*'Modeled Travel Times'!$E$39)*$E$67</f>
        <v>5628182.5659011481</v>
      </c>
      <c r="N36" s="747">
        <f>N29*(1-'Modeled Travel Times'!$H$21)*('Modeled Travel Times'!$D$39*'Modeled Travel Times'!$E$39)*$E$67</f>
        <v>5682558.5930022961</v>
      </c>
      <c r="O36" s="747">
        <f>O29*(1-'Modeled Travel Times'!$H$21)*('Modeled Travel Times'!$D$39*'Modeled Travel Times'!$E$39)*$E$67</f>
        <v>5737477.31238373</v>
      </c>
      <c r="P36" s="747">
        <f>P29*(1-'Modeled Travel Times'!$H$21)*('Modeled Travel Times'!$D$39*'Modeled Travel Times'!$E$39)*$E$67</f>
        <v>5792944.3070206754</v>
      </c>
      <c r="Q36" s="747">
        <f>Q29*(1-'Modeled Travel Times'!$H$21)*('Modeled Travel Times'!$D$39*'Modeled Travel Times'!$E$39)*$E$67</f>
        <v>5848965.2188882437</v>
      </c>
      <c r="R36" s="747">
        <f>R29*(1-'Modeled Travel Times'!$H$21)*('Modeled Travel Times'!$D$39*'Modeled Travel Times'!$E$39)*$E$67</f>
        <v>5905545.7495993488</v>
      </c>
      <c r="S36" s="747">
        <f>S29*(1-'Modeled Travel Times'!$H$21)*('Modeled Travel Times'!$D$39*'Modeled Travel Times'!$E$39)*$E$67</f>
        <v>5962691.6610496398</v>
      </c>
      <c r="T36" s="747">
        <f>T29*(1-'Modeled Travel Times'!$H$21)*('Modeled Travel Times'!$D$39*'Modeled Travel Times'!$E$39)*$E$67</f>
        <v>6020408.7760695461</v>
      </c>
      <c r="U36" s="747">
        <f>U29*(1-'Modeled Travel Times'!$H$21)*('Modeled Travel Times'!$D$39*'Modeled Travel Times'!$E$39)*$E$67</f>
        <v>6078702.9790834943</v>
      </c>
      <c r="V36" s="747">
        <f>V29*(1-'Modeled Travel Times'!$H$21)*('Modeled Travel Times'!$D$39*'Modeled Travel Times'!$E$39)*$E$67</f>
        <v>6137580.2167764213</v>
      </c>
      <c r="W36" s="747">
        <f>W29*(1-'Modeled Travel Times'!$H$21)*('Modeled Travel Times'!$D$39*'Modeled Travel Times'!$E$39)*$E$67</f>
        <v>6197046.4987675995</v>
      </c>
      <c r="X36" s="747">
        <f>X29*(1-'Modeled Travel Times'!$H$21)*('Modeled Travel Times'!$D$39*'Modeled Travel Times'!$E$39)*$E$67</f>
        <v>6257107.8982919259</v>
      </c>
      <c r="Y36" s="748">
        <f>Y29*(1-'Modeled Travel Times'!$H$21)*('Modeled Travel Times'!$D$39*'Modeled Travel Times'!$E$39)*$E$67</f>
        <v>6317770.5528886728</v>
      </c>
      <c r="Z36" s="742"/>
    </row>
    <row r="38" spans="5:47" ht="15.75" thickBot="1" x14ac:dyDescent="0.3">
      <c r="E38" s="750" t="s">
        <v>507</v>
      </c>
      <c r="F38" s="749">
        <f>SUM(F33:F36)</f>
        <v>16866716.717568822</v>
      </c>
      <c r="G38" s="749">
        <f t="shared" ref="G38:Y38" si="14">SUM(G33:G36)</f>
        <v>17279833.106939755</v>
      </c>
      <c r="H38" s="749">
        <f t="shared" si="14"/>
        <v>17451807.069283154</v>
      </c>
      <c r="I38" s="749">
        <f t="shared" si="14"/>
        <v>17625596.069028907</v>
      </c>
      <c r="J38" s="749">
        <f t="shared" si="14"/>
        <v>17801220.144549139</v>
      </c>
      <c r="K38" s="749">
        <f t="shared" si="14"/>
        <v>17978699.562871344</v>
      </c>
      <c r="L38" s="749">
        <f t="shared" si="14"/>
        <v>18158054.822350502</v>
      </c>
      <c r="M38" s="749">
        <f t="shared" si="14"/>
        <v>18339306.655372988</v>
      </c>
      <c r="N38" s="749">
        <f t="shared" si="14"/>
        <v>18522476.03109264</v>
      </c>
      <c r="O38" s="749">
        <f t="shared" si="14"/>
        <v>18707584.158199344</v>
      </c>
      <c r="P38" s="749">
        <f t="shared" si="14"/>
        <v>18894652.48772059</v>
      </c>
      <c r="Q38" s="749">
        <f t="shared" si="14"/>
        <v>19083702.715856344</v>
      </c>
      <c r="R38" s="749">
        <f t="shared" si="14"/>
        <v>19274756.786847644</v>
      </c>
      <c r="S38" s="749">
        <f t="shared" si="14"/>
        <v>19467836.895879373</v>
      </c>
      <c r="T38" s="749">
        <f t="shared" si="14"/>
        <v>19662965.492017545</v>
      </c>
      <c r="U38" s="749">
        <f t="shared" si="14"/>
        <v>19860165.281181585</v>
      </c>
      <c r="V38" s="749">
        <f t="shared" si="14"/>
        <v>20059459.229151994</v>
      </c>
      <c r="W38" s="749">
        <f t="shared" si="14"/>
        <v>20260870.564613841</v>
      </c>
      <c r="X38" s="749">
        <f t="shared" si="14"/>
        <v>20464422.782236468</v>
      </c>
      <c r="Y38" s="749">
        <f t="shared" si="14"/>
        <v>20670139.645789951</v>
      </c>
      <c r="Z38" s="742"/>
    </row>
    <row r="39" spans="5:47" ht="13.5" thickTop="1" x14ac:dyDescent="0.2"/>
    <row r="40" spans="5:47" ht="15.75" thickBot="1" x14ac:dyDescent="0.3">
      <c r="F40" s="1004" t="s">
        <v>508</v>
      </c>
      <c r="G40" s="1005"/>
      <c r="H40" s="1005"/>
      <c r="I40" s="1005"/>
      <c r="J40" s="1005"/>
      <c r="K40" s="1005"/>
    </row>
    <row r="41" spans="5:47" ht="15" x14ac:dyDescent="0.25">
      <c r="E41" s="736" t="s">
        <v>369</v>
      </c>
      <c r="F41" s="708">
        <f>SUM(AB5,AB7,AB10,AB12)*0.17</f>
        <v>2337.4634059333875</v>
      </c>
      <c r="G41" s="708">
        <f t="shared" ref="G41:Y41" si="15">SUM(AC5,AC7,AC10,AC12)*0.17</f>
        <v>2351.6425921801238</v>
      </c>
      <c r="H41" s="708">
        <f t="shared" si="15"/>
        <v>2365.9577607771853</v>
      </c>
      <c r="I41" s="708">
        <f t="shared" si="15"/>
        <v>2380.4102692021925</v>
      </c>
      <c r="J41" s="708">
        <f t="shared" si="15"/>
        <v>2395.0014896861098</v>
      </c>
      <c r="K41" s="708">
        <f t="shared" si="15"/>
        <v>2409.7328093820342</v>
      </c>
      <c r="L41" s="708">
        <f t="shared" si="15"/>
        <v>2424.6056305359766</v>
      </c>
      <c r="M41" s="708">
        <f t="shared" si="15"/>
        <v>2439.6213706596773</v>
      </c>
      <c r="N41" s="708">
        <f t="shared" si="15"/>
        <v>2454.7814627054659</v>
      </c>
      <c r="O41" s="708">
        <f t="shared" si="15"/>
        <v>2470.087355243194</v>
      </c>
      <c r="P41" s="708">
        <f t="shared" si="15"/>
        <v>2485.5405126392679</v>
      </c>
      <c r="Q41" s="708">
        <f t="shared" si="15"/>
        <v>2501.1424152378058</v>
      </c>
      <c r="R41" s="708">
        <f t="shared" si="15"/>
        <v>2516.8945595439477</v>
      </c>
      <c r="S41" s="708">
        <f t="shared" si="15"/>
        <v>2532.7984584093356</v>
      </c>
      <c r="T41" s="708">
        <f t="shared" si="15"/>
        <v>2548.8556412198018</v>
      </c>
      <c r="U41" s="708">
        <f t="shared" si="15"/>
        <v>2565.0676540852842</v>
      </c>
      <c r="V41" s="708">
        <f t="shared" si="15"/>
        <v>2581.4360600319987</v>
      </c>
      <c r="W41" s="708">
        <f t="shared" si="15"/>
        <v>2597.962439196896</v>
      </c>
      <c r="X41" s="708">
        <f t="shared" si="15"/>
        <v>2614.648389024424</v>
      </c>
      <c r="Y41" s="709">
        <f t="shared" si="15"/>
        <v>2631.4955244656499</v>
      </c>
    </row>
    <row r="42" spans="5:47" ht="15" x14ac:dyDescent="0.25">
      <c r="E42" s="736" t="s">
        <v>370</v>
      </c>
      <c r="F42" s="445">
        <f>SUM(AB6,AB8,AB11,AB13)*0.11</f>
        <v>1355.7960121755789</v>
      </c>
      <c r="G42" s="445">
        <f t="shared" ref="G42:Y42" si="16">SUM(AC6,AC8,AC11,AC13)*0.11</f>
        <v>1369.2313557170212</v>
      </c>
      <c r="H42" s="445">
        <f t="shared" si="16"/>
        <v>1382.8050892787394</v>
      </c>
      <c r="I42" s="445">
        <f t="shared" si="16"/>
        <v>1396.5186897384799</v>
      </c>
      <c r="J42" s="445">
        <f t="shared" si="16"/>
        <v>1410.3736502225286</v>
      </c>
      <c r="K42" s="445">
        <f t="shared" si="16"/>
        <v>1424.3714802889806</v>
      </c>
      <c r="L42" s="445">
        <f t="shared" si="16"/>
        <v>1438.5137061131159</v>
      </c>
      <c r="M42" s="445">
        <f t="shared" si="16"/>
        <v>1452.8018706749085</v>
      </c>
      <c r="N42" s="445">
        <f t="shared" si="16"/>
        <v>1467.237533948695</v>
      </c>
      <c r="O42" s="445">
        <f t="shared" si="16"/>
        <v>1481.8222730950222</v>
      </c>
      <c r="P42" s="445">
        <f t="shared" si="16"/>
        <v>1496.5576826547042</v>
      </c>
      <c r="Q42" s="445">
        <f t="shared" si="16"/>
        <v>1511.445374745115</v>
      </c>
      <c r="R42" s="445">
        <f t="shared" si="16"/>
        <v>1526.4869792587392</v>
      </c>
      <c r="S42" s="445">
        <f t="shared" si="16"/>
        <v>1541.6841440640087</v>
      </c>
      <c r="T42" s="445">
        <f t="shared" si="16"/>
        <v>1557.0385352084556</v>
      </c>
      <c r="U42" s="445">
        <f t="shared" si="16"/>
        <v>1572.551837124201</v>
      </c>
      <c r="V42" s="445">
        <f t="shared" si="16"/>
        <v>1588.2257528358148</v>
      </c>
      <c r="W42" s="445">
        <f t="shared" si="16"/>
        <v>1604.0620041705683</v>
      </c>
      <c r="X42" s="445">
        <f t="shared" si="16"/>
        <v>1620.0623319711128</v>
      </c>
      <c r="Y42" s="714">
        <f t="shared" si="16"/>
        <v>1636.2284963106042</v>
      </c>
    </row>
    <row r="43" spans="5:47" ht="15" x14ac:dyDescent="0.25">
      <c r="E43" s="736" t="s">
        <v>371</v>
      </c>
      <c r="F43" s="445">
        <f>SUM(AB5,AB7,AB10,AB12)*0.83</f>
        <v>11412.321334851244</v>
      </c>
      <c r="G43" s="445">
        <f t="shared" ref="G43:Y43" si="17">SUM(AC5,AC7,AC10,AC12)*0.83</f>
        <v>11481.549126526486</v>
      </c>
      <c r="H43" s="445">
        <f t="shared" si="17"/>
        <v>11551.440832029784</v>
      </c>
      <c r="I43" s="445">
        <f t="shared" si="17"/>
        <v>11622.003079045997</v>
      </c>
      <c r="J43" s="445">
        <f t="shared" si="17"/>
        <v>11693.242567291007</v>
      </c>
      <c r="K43" s="445">
        <f t="shared" si="17"/>
        <v>11765.166069335814</v>
      </c>
      <c r="L43" s="445">
        <f t="shared" si="17"/>
        <v>11837.780431440355</v>
      </c>
      <c r="M43" s="445">
        <f t="shared" si="17"/>
        <v>11911.092574397246</v>
      </c>
      <c r="N43" s="445">
        <f t="shared" si="17"/>
        <v>11985.109494385508</v>
      </c>
      <c r="O43" s="445">
        <f t="shared" si="17"/>
        <v>12059.838263834416</v>
      </c>
      <c r="P43" s="445">
        <f t="shared" si="17"/>
        <v>12135.286032297599</v>
      </c>
      <c r="Q43" s="445">
        <f t="shared" si="17"/>
        <v>12211.460027337522</v>
      </c>
      <c r="R43" s="445">
        <f t="shared" si="17"/>
        <v>12288.367555420449</v>
      </c>
      <c r="S43" s="445">
        <f t="shared" si="17"/>
        <v>12366.016002822049</v>
      </c>
      <c r="T43" s="445">
        <f t="shared" si="17"/>
        <v>12444.412836543737</v>
      </c>
      <c r="U43" s="445">
        <f t="shared" si="17"/>
        <v>12523.565605239915</v>
      </c>
      <c r="V43" s="445">
        <f t="shared" si="17"/>
        <v>12603.481940156227</v>
      </c>
      <c r="W43" s="445">
        <f t="shared" si="17"/>
        <v>12684.169556078961</v>
      </c>
      <c r="X43" s="445">
        <f t="shared" si="17"/>
        <v>12765.636252295715</v>
      </c>
      <c r="Y43" s="714">
        <f t="shared" si="17"/>
        <v>12847.889913567584</v>
      </c>
    </row>
    <row r="44" spans="5:47" ht="15" x14ac:dyDescent="0.25">
      <c r="E44" s="736" t="s">
        <v>372</v>
      </c>
      <c r="F44" s="718">
        <f>SUM(AB6,AB8,AB11,AB13)*0.89</f>
        <v>10969.622280329684</v>
      </c>
      <c r="G44" s="718">
        <f t="shared" ref="G44:Y44" si="18">SUM(AC6,AC8,AC11,AC13)*0.89</f>
        <v>11078.326423528626</v>
      </c>
      <c r="H44" s="718">
        <f t="shared" si="18"/>
        <v>11188.150267800709</v>
      </c>
      <c r="I44" s="718">
        <f t="shared" si="18"/>
        <v>11299.105762429519</v>
      </c>
      <c r="J44" s="718">
        <f t="shared" si="18"/>
        <v>11411.204988164094</v>
      </c>
      <c r="K44" s="718">
        <f t="shared" si="18"/>
        <v>11524.460158701751</v>
      </c>
      <c r="L44" s="718">
        <f t="shared" si="18"/>
        <v>11638.883622187937</v>
      </c>
      <c r="M44" s="718">
        <f t="shared" si="18"/>
        <v>11754.487862733351</v>
      </c>
      <c r="N44" s="718">
        <f t="shared" si="18"/>
        <v>11871.285501948532</v>
      </c>
      <c r="O44" s="718">
        <f t="shared" si="18"/>
        <v>11989.289300496088</v>
      </c>
      <c r="P44" s="718">
        <f t="shared" si="18"/>
        <v>12108.51215966079</v>
      </c>
      <c r="Q44" s="718">
        <f t="shared" si="18"/>
        <v>12228.967122937749</v>
      </c>
      <c r="R44" s="718">
        <f t="shared" si="18"/>
        <v>12350.667377638889</v>
      </c>
      <c r="S44" s="718">
        <f t="shared" si="18"/>
        <v>12473.626256517888</v>
      </c>
      <c r="T44" s="718">
        <f t="shared" si="18"/>
        <v>12597.857239413868</v>
      </c>
      <c r="U44" s="718">
        <f t="shared" si="18"/>
        <v>12723.37395491399</v>
      </c>
      <c r="V44" s="718">
        <f t="shared" si="18"/>
        <v>12850.190182035229</v>
      </c>
      <c r="W44" s="718">
        <f t="shared" si="18"/>
        <v>12978.319851925507</v>
      </c>
      <c r="X44" s="718">
        <f t="shared" si="18"/>
        <v>13107.77704958446</v>
      </c>
      <c r="Y44" s="719">
        <f t="shared" si="18"/>
        <v>13238.57601560398</v>
      </c>
    </row>
    <row r="45" spans="5:47" ht="15.75" thickBot="1" x14ac:dyDescent="0.3">
      <c r="F45" s="987" t="s">
        <v>506</v>
      </c>
      <c r="G45" s="988"/>
      <c r="H45" s="988"/>
      <c r="I45" s="989"/>
    </row>
    <row r="46" spans="5:47" ht="15" x14ac:dyDescent="0.25">
      <c r="E46" s="736" t="s">
        <v>369</v>
      </c>
      <c r="F46" s="739">
        <f>F41*0.31*251*'Inputs Worksheet'!$C$8</f>
        <v>1103999.6276271588</v>
      </c>
      <c r="G46" s="740">
        <f>G41*0.31*251*'Inputs Worksheet'!$C$8</f>
        <v>1110696.5522920401</v>
      </c>
      <c r="H46" s="740">
        <f>H41*0.31*251*'Inputs Worksheet'!$C$8</f>
        <v>1117457.7023320619</v>
      </c>
      <c r="I46" s="740">
        <f>I41*0.31*251*'Inputs Worksheet'!$C$8</f>
        <v>1124283.7188929992</v>
      </c>
      <c r="J46" s="740">
        <f>J41*0.31*251*'Inputs Worksheet'!$C$8</f>
        <v>1131175.2500887306</v>
      </c>
      <c r="K46" s="740">
        <f>K41*0.31*251*'Inputs Worksheet'!$C$8</f>
        <v>1138132.9510809577</v>
      </c>
      <c r="L46" s="740">
        <f>L41*0.31*251*'Inputs Worksheet'!$C$8</f>
        <v>1145157.4841598663</v>
      </c>
      <c r="M46" s="740">
        <f>M41*0.31*251*'Inputs Worksheet'!$C$8</f>
        <v>1152249.5188257492</v>
      </c>
      <c r="N46" s="740">
        <f>N41*0.31*251*'Inputs Worksheet'!$C$8</f>
        <v>1159409.7318715916</v>
      </c>
      <c r="O46" s="740">
        <f>O41*0.31*251*'Inputs Worksheet'!$C$8</f>
        <v>1166638.8074666406</v>
      </c>
      <c r="P46" s="740">
        <f>P41*0.31*251*'Inputs Worksheet'!$C$8</f>
        <v>1173937.437240961</v>
      </c>
      <c r="Q46" s="740">
        <f>Q41*0.31*251*'Inputs Worksheet'!$C$8</f>
        <v>1181306.3203709978</v>
      </c>
      <c r="R46" s="740">
        <f>R41*0.31*251*'Inputs Worksheet'!$C$8</f>
        <v>1188746.1636661554</v>
      </c>
      <c r="S46" s="740">
        <f>S41*0.31*251*'Inputs Worksheet'!$C$8</f>
        <v>1196257.6816564004</v>
      </c>
      <c r="T46" s="740">
        <f>T41*0.31*251*'Inputs Worksheet'!$C$8</f>
        <v>1203841.5966809085</v>
      </c>
      <c r="U46" s="740">
        <f>U41*0.31*251*'Inputs Worksheet'!$C$8</f>
        <v>1211498.6389777623</v>
      </c>
      <c r="V46" s="740">
        <f>V41*0.31*251*'Inputs Worksheet'!$C$8</f>
        <v>1219229.5467747154</v>
      </c>
      <c r="W46" s="740">
        <f>W41*0.31*251*'Inputs Worksheet'!$C$8</f>
        <v>1227035.0663810365</v>
      </c>
      <c r="X46" s="740">
        <f>X41*0.31*251*'Inputs Worksheet'!$C$8</f>
        <v>1234915.952280442</v>
      </c>
      <c r="Y46" s="741">
        <f>Y41*0.31*251*'Inputs Worksheet'!$C$8</f>
        <v>1242872.9672251404</v>
      </c>
    </row>
    <row r="47" spans="5:47" ht="15" x14ac:dyDescent="0.25">
      <c r="E47" s="736" t="s">
        <v>370</v>
      </c>
      <c r="F47" s="743">
        <f>F42*0.31*251*'Inputs Worksheet'!$C$8</f>
        <v>640351.5403838075</v>
      </c>
      <c r="G47" s="744">
        <f>G42*0.31*251*'Inputs Worksheet'!$C$8</f>
        <v>646697.14315523254</v>
      </c>
      <c r="H47" s="744">
        <f>H42*0.31*251*'Inputs Worksheet'!$C$8</f>
        <v>653108.10846044682</v>
      </c>
      <c r="I47" s="744">
        <f>I42*0.31*251*'Inputs Worksheet'!$C$8</f>
        <v>659585.13383870525</v>
      </c>
      <c r="J47" s="744">
        <f>J42*0.31*251*'Inputs Worksheet'!$C$8</f>
        <v>666128.9245035568</v>
      </c>
      <c r="K47" s="744">
        <f>K42*0.31*251*'Inputs Worksheet'!$C$8</f>
        <v>672740.19342940347</v>
      </c>
      <c r="L47" s="744">
        <f>L42*0.31*251*'Inputs Worksheet'!$C$8</f>
        <v>679419.66143905558</v>
      </c>
      <c r="M47" s="744">
        <f>M42*0.31*251*'Inputs Worksheet'!$C$8</f>
        <v>686168.05729229283</v>
      </c>
      <c r="N47" s="744">
        <f>N42*0.31*251*'Inputs Worksheet'!$C$8</f>
        <v>692986.11777544615</v>
      </c>
      <c r="O47" s="744">
        <f>O42*0.31*251*'Inputs Worksheet'!$C$8</f>
        <v>699874.58779200877</v>
      </c>
      <c r="P47" s="744">
        <f>P42*0.31*251*'Inputs Worksheet'!$C$8</f>
        <v>706834.22045429051</v>
      </c>
      <c r="Q47" s="744">
        <f>Q42*0.31*251*'Inputs Worksheet'!$C$8</f>
        <v>713865.77717612858</v>
      </c>
      <c r="R47" s="744">
        <f>R42*0.31*251*'Inputs Worksheet'!$C$8</f>
        <v>720970.02776666358</v>
      </c>
      <c r="S47" s="744">
        <f>S42*0.31*251*'Inputs Worksheet'!$C$8</f>
        <v>728147.75052519666</v>
      </c>
      <c r="T47" s="744">
        <f>T42*0.31*251*'Inputs Worksheet'!$C$8</f>
        <v>735399.73233713955</v>
      </c>
      <c r="U47" s="744">
        <f>U42*0.31*251*'Inputs Worksheet'!$C$8</f>
        <v>742726.76877106901</v>
      </c>
      <c r="V47" s="744">
        <f>V42*0.31*251*'Inputs Worksheet'!$C$8</f>
        <v>750129.66417689936</v>
      </c>
      <c r="W47" s="744">
        <f>W42*0.31*251*'Inputs Worksheet'!$C$8</f>
        <v>757609.2317851875</v>
      </c>
      <c r="X47" s="744">
        <f>X42*0.31*251*'Inputs Worksheet'!$C$8</f>
        <v>765166.29380758083</v>
      </c>
      <c r="Y47" s="745">
        <f>Y42*0.31*251*'Inputs Worksheet'!$C$8</f>
        <v>772801.68153842364</v>
      </c>
    </row>
    <row r="48" spans="5:47" ht="15" x14ac:dyDescent="0.25">
      <c r="E48" s="736" t="s">
        <v>371</v>
      </c>
      <c r="F48" s="743">
        <f>F43*0.124*251*'Inputs Worksheet'!$C$8</f>
        <v>2156046.3316012747</v>
      </c>
      <c r="G48" s="744">
        <f>G43*0.124*251*'Inputs Worksheet'!$C$8</f>
        <v>2169125.0315350429</v>
      </c>
      <c r="H48" s="744">
        <f>H43*0.124*251*'Inputs Worksheet'!$C$8</f>
        <v>2182329.1598484968</v>
      </c>
      <c r="I48" s="744">
        <f>I43*0.124*251*'Inputs Worksheet'!$C$8</f>
        <v>2195659.9686616217</v>
      </c>
      <c r="J48" s="744">
        <f>J43*0.124*251*'Inputs Worksheet'!$C$8</f>
        <v>2209118.7237026971</v>
      </c>
      <c r="K48" s="744">
        <f>K43*0.124*251*'Inputs Worksheet'!$C$8</f>
        <v>2222706.7044639876</v>
      </c>
      <c r="L48" s="744">
        <f>L43*0.124*251*'Inputs Worksheet'!$C$8</f>
        <v>2236425.2043592683</v>
      </c>
      <c r="M48" s="744">
        <f>M43*0.124*251*'Inputs Worksheet'!$C$8</f>
        <v>2250275.530883227</v>
      </c>
      <c r="N48" s="744">
        <f>N43*0.124*251*'Inputs Worksheet'!$C$8</f>
        <v>2264259.005772755</v>
      </c>
      <c r="O48" s="744">
        <f>O43*0.124*251*'Inputs Worksheet'!$C$8</f>
        <v>2278376.965170145</v>
      </c>
      <c r="P48" s="744">
        <f>P43*0.124*251*'Inputs Worksheet'!$C$8</f>
        <v>2292630.7597882291</v>
      </c>
      <c r="Q48" s="744">
        <f>Q43*0.124*251*'Inputs Worksheet'!$C$8</f>
        <v>2307021.755077478</v>
      </c>
      <c r="R48" s="744">
        <f>R43*0.124*251*'Inputs Worksheet'!$C$8</f>
        <v>2321551.3313950794</v>
      </c>
      <c r="S48" s="744">
        <f>S43*0.124*251*'Inputs Worksheet'!$C$8</f>
        <v>2336220.8841760289</v>
      </c>
      <c r="T48" s="744">
        <f>T43*0.124*251*'Inputs Worksheet'!$C$8</f>
        <v>2351031.8241062448</v>
      </c>
      <c r="U48" s="744">
        <f>U43*0.124*251*'Inputs Worksheet'!$C$8</f>
        <v>2365985.5772977471</v>
      </c>
      <c r="V48" s="744">
        <f>V43*0.124*251*'Inputs Worksheet'!$C$8</f>
        <v>2381083.5854659146</v>
      </c>
      <c r="W48" s="744">
        <f>W43*0.124*251*'Inputs Worksheet'!$C$8</f>
        <v>2396327.3061088477</v>
      </c>
      <c r="X48" s="744">
        <f>X43*0.124*251*'Inputs Worksheet'!$C$8</f>
        <v>2411718.2126888628</v>
      </c>
      <c r="Y48" s="745">
        <f>Y43*0.124*251*'Inputs Worksheet'!$C$8</f>
        <v>2427257.7948161564</v>
      </c>
    </row>
    <row r="49" spans="2:25" ht="15.75" thickBot="1" x14ac:dyDescent="0.3">
      <c r="E49" s="736" t="s">
        <v>372</v>
      </c>
      <c r="F49" s="746">
        <f>F44*0.124*251*'Inputs Worksheet'!$C$8</f>
        <v>2072410.4397875951</v>
      </c>
      <c r="G49" s="747">
        <f>G44*0.124*251*'Inputs Worksheet'!$C$8</f>
        <v>2092947.1178478433</v>
      </c>
      <c r="H49" s="747">
        <f>H44*0.124*251*'Inputs Worksheet'!$C$8</f>
        <v>2113695.3328356282</v>
      </c>
      <c r="I49" s="747">
        <f>I44*0.124*251*'Inputs Worksheet'!$C$8</f>
        <v>2134657.3422416281</v>
      </c>
      <c r="J49" s="747">
        <f>J44*0.124*251*'Inputs Worksheet'!$C$8</f>
        <v>2155835.428393329</v>
      </c>
      <c r="K49" s="747">
        <f>K44*0.124*251*'Inputs Worksheet'!$C$8</f>
        <v>2177231.8987351605</v>
      </c>
      <c r="L49" s="747">
        <f>L44*0.124*251*'Inputs Worksheet'!$C$8</f>
        <v>2198849.0861118529</v>
      </c>
      <c r="M49" s="747">
        <f>M44*0.124*251*'Inputs Worksheet'!$C$8</f>
        <v>2220689.3490550569</v>
      </c>
      <c r="N49" s="747">
        <f>N44*0.124*251*'Inputs Worksheet'!$C$8</f>
        <v>2242755.0720732622</v>
      </c>
      <c r="O49" s="747">
        <f>O44*0.124*251*'Inputs Worksheet'!$C$8</f>
        <v>2265048.6659450466</v>
      </c>
      <c r="P49" s="747">
        <f>P44*0.124*251*'Inputs Worksheet'!$C$8</f>
        <v>2287572.5680157044</v>
      </c>
      <c r="Q49" s="747">
        <f>Q44*0.124*251*'Inputs Worksheet'!$C$8</f>
        <v>2310329.2424972891</v>
      </c>
      <c r="R49" s="747">
        <f>R44*0.124*251*'Inputs Worksheet'!$C$8</f>
        <v>2333321.1807721108</v>
      </c>
      <c r="S49" s="747">
        <f>S44*0.124*251*'Inputs Worksheet'!$C$8</f>
        <v>2356550.9016997269</v>
      </c>
      <c r="T49" s="747">
        <f>T44*0.124*251*'Inputs Worksheet'!$C$8</f>
        <v>2380020.95192747</v>
      </c>
      <c r="U49" s="747">
        <f>U44*0.124*251*'Inputs Worksheet'!$C$8</f>
        <v>2403733.9062045501</v>
      </c>
      <c r="V49" s="747">
        <f>V44*0.124*251*'Inputs Worksheet'!$C$8</f>
        <v>2427692.3676997833</v>
      </c>
      <c r="W49" s="747">
        <f>W44*0.124*251*'Inputs Worksheet'!$C$8</f>
        <v>2451898.96832297</v>
      </c>
      <c r="X49" s="747">
        <f>X44*0.124*251*'Inputs Worksheet'!$C$8</f>
        <v>2476356.3690499892</v>
      </c>
      <c r="Y49" s="748">
        <f>Y44*0.124*251*'Inputs Worksheet'!$C$8</f>
        <v>2501067.2602516259</v>
      </c>
    </row>
    <row r="50" spans="2:25" x14ac:dyDescent="0.2">
      <c r="F50" s="744"/>
      <c r="G50" s="744"/>
      <c r="H50" s="744"/>
      <c r="I50" s="744"/>
      <c r="J50" s="744"/>
      <c r="K50" s="744"/>
      <c r="L50" s="744"/>
      <c r="M50" s="744"/>
      <c r="N50" s="744"/>
      <c r="O50" s="744"/>
      <c r="P50" s="744"/>
      <c r="Q50" s="744"/>
      <c r="R50" s="744"/>
      <c r="S50" s="744"/>
      <c r="T50" s="744"/>
      <c r="U50" s="744"/>
      <c r="V50" s="744"/>
      <c r="W50" s="744"/>
      <c r="X50" s="744"/>
      <c r="Y50" s="744"/>
    </row>
    <row r="51" spans="2:25" ht="15.75" thickBot="1" x14ac:dyDescent="0.3">
      <c r="E51" s="750" t="s">
        <v>505</v>
      </c>
      <c r="F51" s="749">
        <f>SUM(F46:F49)</f>
        <v>5972807.9393998366</v>
      </c>
      <c r="G51" s="749">
        <f t="shared" ref="G51:Y51" si="19">SUM(G46:G49)</f>
        <v>6019465.8448301591</v>
      </c>
      <c r="H51" s="749">
        <f t="shared" si="19"/>
        <v>6066590.3034766335</v>
      </c>
      <c r="I51" s="749">
        <f t="shared" si="19"/>
        <v>6114186.163634954</v>
      </c>
      <c r="J51" s="749">
        <f t="shared" si="19"/>
        <v>6162258.3266883139</v>
      </c>
      <c r="K51" s="749">
        <f t="shared" si="19"/>
        <v>6210811.747709509</v>
      </c>
      <c r="L51" s="749">
        <f t="shared" si="19"/>
        <v>6259851.4360700436</v>
      </c>
      <c r="M51" s="749">
        <f t="shared" si="19"/>
        <v>6309382.4560563266</v>
      </c>
      <c r="N51" s="749">
        <f t="shared" si="19"/>
        <v>6359409.9274930544</v>
      </c>
      <c r="O51" s="749">
        <f t="shared" si="19"/>
        <v>6409939.0263738409</v>
      </c>
      <c r="P51" s="749">
        <f t="shared" si="19"/>
        <v>6460974.9854991846</v>
      </c>
      <c r="Q51" s="749">
        <f t="shared" si="19"/>
        <v>6512523.095121894</v>
      </c>
      <c r="R51" s="749">
        <f t="shared" si="19"/>
        <v>6564588.703600009</v>
      </c>
      <c r="S51" s="749">
        <f t="shared" si="19"/>
        <v>6617177.218057353</v>
      </c>
      <c r="T51" s="749">
        <f t="shared" si="19"/>
        <v>6670294.1050517634</v>
      </c>
      <c r="U51" s="749">
        <f t="shared" si="19"/>
        <v>6723944.8912511282</v>
      </c>
      <c r="V51" s="749">
        <f t="shared" si="19"/>
        <v>6778135.1641173121</v>
      </c>
      <c r="W51" s="749">
        <f t="shared" si="19"/>
        <v>6832870.572598042</v>
      </c>
      <c r="X51" s="749">
        <f t="shared" si="19"/>
        <v>6888156.8278268743</v>
      </c>
      <c r="Y51" s="749">
        <f t="shared" si="19"/>
        <v>6943999.7038313467</v>
      </c>
    </row>
    <row r="52" spans="2:25" ht="13.5" thickTop="1" x14ac:dyDescent="0.2"/>
    <row r="54" spans="2:25" ht="15" x14ac:dyDescent="0.25">
      <c r="F54" s="987" t="s">
        <v>373</v>
      </c>
      <c r="G54" s="988"/>
      <c r="H54" s="988"/>
      <c r="I54" s="989"/>
    </row>
    <row r="55" spans="2:25" ht="33.75" customHeight="1" thickBot="1" x14ac:dyDescent="0.3">
      <c r="F55" s="729">
        <v>2027</v>
      </c>
      <c r="G55" s="730">
        <v>2028</v>
      </c>
      <c r="H55" s="730">
        <v>2029</v>
      </c>
      <c r="I55" s="730">
        <v>2030</v>
      </c>
      <c r="J55" s="730">
        <v>2031</v>
      </c>
      <c r="K55" s="730">
        <v>2032</v>
      </c>
      <c r="L55" s="730">
        <v>2033</v>
      </c>
      <c r="M55" s="730">
        <v>2034</v>
      </c>
      <c r="N55" s="730">
        <v>2035</v>
      </c>
      <c r="O55" s="730">
        <v>2036</v>
      </c>
      <c r="P55" s="730">
        <v>2037</v>
      </c>
      <c r="Q55" s="730">
        <v>2038</v>
      </c>
      <c r="R55" s="730">
        <v>2039</v>
      </c>
      <c r="S55" s="730">
        <v>2040</v>
      </c>
      <c r="T55" s="730">
        <v>2041</v>
      </c>
      <c r="U55" s="730">
        <v>2042</v>
      </c>
      <c r="V55" s="730">
        <v>2043</v>
      </c>
      <c r="W55" s="730">
        <v>2044</v>
      </c>
      <c r="X55" s="730">
        <v>2045</v>
      </c>
      <c r="Y55" s="731">
        <v>2046</v>
      </c>
    </row>
    <row r="56" spans="2:25" ht="15.75" thickBot="1" x14ac:dyDescent="0.3">
      <c r="B56" s="990" t="s">
        <v>374</v>
      </c>
      <c r="C56" s="990"/>
      <c r="D56" s="990"/>
      <c r="E56" s="990"/>
      <c r="F56" s="751">
        <f>SUM(F28:F29)*'Modeled Travel Times'!$C$48</f>
        <v>1211.4468145644203</v>
      </c>
      <c r="G56" s="752">
        <f>SUM(G28:G29)*'Modeled Travel Times'!$C$48</f>
        <v>1241.0956423634748</v>
      </c>
      <c r="H56" s="752">
        <f>SUM(H28:H29)*'Modeled Travel Times'!$C$48</f>
        <v>1253.4467823068051</v>
      </c>
      <c r="I56" s="752">
        <f>SUM(I28:I29)*'Modeled Travel Times'!$C$48</f>
        <v>1265.9282667022903</v>
      </c>
      <c r="J56" s="752">
        <f>SUM(J28:J29)*'Modeled Travel Times'!$C$48</f>
        <v>1278.5415344331705</v>
      </c>
      <c r="K56" s="752">
        <f>SUM(K28:K29)*'Modeled Travel Times'!$C$48</f>
        <v>1291.2880407999376</v>
      </c>
      <c r="L56" s="752">
        <f>SUM(L28:L29)*'Modeled Travel Times'!$C$48</f>
        <v>1304.169257712176</v>
      </c>
      <c r="M56" s="752">
        <f>SUM(M28:M29)*'Modeled Travel Times'!$C$48</f>
        <v>1317.1866738826791</v>
      </c>
      <c r="N56" s="752">
        <f>SUM(N28:N29)*'Modeled Travel Times'!$C$48</f>
        <v>1330.34179502388</v>
      </c>
      <c r="O56" s="752">
        <f>SUM(O28:O29)*'Modeled Travel Times'!$C$48</f>
        <v>1343.6361440466128</v>
      </c>
      <c r="P56" s="752">
        <f>SUM(P28:P29)*'Modeled Travel Times'!$C$48</f>
        <v>1357.0712612612424</v>
      </c>
      <c r="Q56" s="752">
        <f>SUM(Q28:Q29)*'Modeled Travel Times'!$C$48</f>
        <v>1370.6487045811853</v>
      </c>
      <c r="R56" s="752">
        <f>SUM(R28:R29)*'Modeled Travel Times'!$C$48</f>
        <v>1384.3700497288514</v>
      </c>
      <c r="S56" s="752">
        <f>SUM(S28:S29)*'Modeled Travel Times'!$C$48</f>
        <v>1398.2368904440405</v>
      </c>
      <c r="T56" s="752">
        <f>SUM(T28:T29)*'Modeled Travel Times'!$C$48</f>
        <v>1412.2508386948132</v>
      </c>
      <c r="U56" s="752">
        <f>SUM(U28:U29)*'Modeled Travel Times'!$C$48</f>
        <v>1426.4135248908774</v>
      </c>
      <c r="V56" s="752">
        <f>SUM(V28:V29)*'Modeled Travel Times'!$C$48</f>
        <v>1440.7265980995132</v>
      </c>
      <c r="W56" s="752">
        <f>SUM(W28:W29)*'Modeled Travel Times'!$C$48</f>
        <v>1455.1917262640688</v>
      </c>
      <c r="X56" s="752">
        <f>SUM(X28:X29)*'Modeled Travel Times'!$C$48</f>
        <v>1469.8105964250585</v>
      </c>
      <c r="Y56" s="753">
        <f>SUM(Y28:Y29)*'Modeled Travel Times'!$C$48</f>
        <v>1484.5849149438975</v>
      </c>
    </row>
    <row r="57" spans="2:25" ht="15.75" thickBot="1" x14ac:dyDescent="0.3">
      <c r="B57" s="990" t="s">
        <v>375</v>
      </c>
      <c r="C57" s="990"/>
      <c r="D57" s="990"/>
      <c r="E57" s="990"/>
      <c r="F57" s="754">
        <f>F56*'Inputs Worksheet'!$R$41*$E$67</f>
        <v>1169678.0541825553</v>
      </c>
      <c r="G57" s="754">
        <f>G56*'Inputs Worksheet'!$R$41*$E$67</f>
        <v>1198304.6375305504</v>
      </c>
      <c r="H57" s="754">
        <f>H56*'Inputs Worksheet'!$R$41*$E$67</f>
        <v>1210229.9298027048</v>
      </c>
      <c r="I57" s="754">
        <f>I56*'Inputs Worksheet'!$R$41*$E$67</f>
        <v>1222281.0724575066</v>
      </c>
      <c r="J57" s="754">
        <f>J56*'Inputs Worksheet'!$R$41*$E$67</f>
        <v>1234459.454767789</v>
      </c>
      <c r="K57" s="754">
        <f>K56*'Inputs Worksheet'!$R$41*$E$67</f>
        <v>1246766.4818575969</v>
      </c>
      <c r="L57" s="754">
        <f>L56*'Inputs Worksheet'!$R$41*$E$67</f>
        <v>1259203.5748874117</v>
      </c>
      <c r="M57" s="754">
        <f>M56*'Inputs Worksheet'!$R$41*$E$67</f>
        <v>1271772.1712415763</v>
      </c>
      <c r="N57" s="754">
        <f>N56*'Inputs Worksheet'!$R$41*$E$67</f>
        <v>1284473.7247179523</v>
      </c>
      <c r="O57" s="754">
        <f>O56*'Inputs Worksheet'!$R$41*$E$67</f>
        <v>1297309.70571983</v>
      </c>
      <c r="P57" s="754">
        <f>P56*'Inputs Worksheet'!$R$41*$E$67</f>
        <v>1310281.6014501208</v>
      </c>
      <c r="Q57" s="754">
        <f>Q56*'Inputs Worksheet'!$R$41*$E$67</f>
        <v>1323390.9161078632</v>
      </c>
      <c r="R57" s="754">
        <f>R56*'Inputs Worksheet'!$R$41*$E$67</f>
        <v>1336639.1710870634</v>
      </c>
      <c r="S57" s="754">
        <f>S56*'Inputs Worksheet'!$R$41*$E$67</f>
        <v>1350027.9051779062</v>
      </c>
      <c r="T57" s="754">
        <f>T56*'Inputs Worksheet'!$R$41*$E$67</f>
        <v>1363558.6747703566</v>
      </c>
      <c r="U57" s="754">
        <f>U56*'Inputs Worksheet'!$R$41*$E$67</f>
        <v>1377233.0540601867</v>
      </c>
      <c r="V57" s="754">
        <f>V56*'Inputs Worksheet'!$R$41*$E$67</f>
        <v>1391052.6352574588</v>
      </c>
      <c r="W57" s="754">
        <f>W56*'Inputs Worksheet'!$R$41*$E$67</f>
        <v>1405019.0287974859</v>
      </c>
      <c r="X57" s="754">
        <f>X56*'Inputs Worksheet'!$R$41*$E$67</f>
        <v>1419133.8635543066</v>
      </c>
      <c r="Y57" s="754">
        <f>Y56*'Inputs Worksheet'!$R$41*$E$67</f>
        <v>1433398.7870567075</v>
      </c>
    </row>
    <row r="58" spans="2:25" ht="13.5" thickTop="1" x14ac:dyDescent="0.2"/>
    <row r="61" spans="2:25" ht="13.5" thickBot="1" x14ac:dyDescent="0.25"/>
    <row r="62" spans="2:25" ht="15.75" thickBot="1" x14ac:dyDescent="0.3">
      <c r="D62" s="991" t="s">
        <v>376</v>
      </c>
      <c r="E62" s="992"/>
      <c r="F62" s="993"/>
    </row>
    <row r="63" spans="2:25" ht="15.75" thickBot="1" x14ac:dyDescent="0.3">
      <c r="D63" s="755"/>
      <c r="E63" s="756" t="s">
        <v>377</v>
      </c>
      <c r="F63" s="757" t="s">
        <v>364</v>
      </c>
    </row>
    <row r="64" spans="2:25" ht="15" x14ac:dyDescent="0.25">
      <c r="D64" s="758" t="s">
        <v>356</v>
      </c>
      <c r="E64" s="759">
        <v>-4.2300000000000004</v>
      </c>
      <c r="F64" s="760">
        <v>-8.14</v>
      </c>
      <c r="I64" s="155"/>
      <c r="J64" s="155"/>
    </row>
    <row r="65" spans="4:10" ht="15.75" thickBot="1" x14ac:dyDescent="0.3">
      <c r="D65" s="761" t="s">
        <v>358</v>
      </c>
      <c r="E65" s="762">
        <v>-6.77</v>
      </c>
      <c r="F65" s="763">
        <v>-1.4100000000000001</v>
      </c>
      <c r="I65" s="155"/>
      <c r="J65" s="155"/>
    </row>
    <row r="67" spans="4:10" ht="15" x14ac:dyDescent="0.25">
      <c r="D67" s="764" t="s">
        <v>378</v>
      </c>
      <c r="E67" s="765">
        <v>251</v>
      </c>
    </row>
    <row r="68" spans="4:10" x14ac:dyDescent="0.2">
      <c r="J68" s="710"/>
    </row>
    <row r="69" spans="4:10" x14ac:dyDescent="0.2">
      <c r="J69" s="710"/>
    </row>
    <row r="70" spans="4:10" x14ac:dyDescent="0.2">
      <c r="J70" s="710"/>
    </row>
    <row r="71" spans="4:10" ht="13.5" thickBot="1" x14ac:dyDescent="0.25">
      <c r="J71" s="710"/>
    </row>
    <row r="72" spans="4:10" ht="12.75" customHeight="1" x14ac:dyDescent="0.2">
      <c r="E72" s="994" t="s">
        <v>379</v>
      </c>
      <c r="F72" s="995"/>
      <c r="G72" s="995"/>
      <c r="H72" s="995"/>
      <c r="I72" s="995"/>
      <c r="J72" s="996"/>
    </row>
    <row r="73" spans="4:10" ht="12.75" customHeight="1" x14ac:dyDescent="0.2">
      <c r="E73" s="997"/>
      <c r="F73" s="998"/>
      <c r="G73" s="998"/>
      <c r="H73" s="998"/>
      <c r="I73" s="998"/>
      <c r="J73" s="999"/>
    </row>
    <row r="74" spans="4:10" ht="13.5" customHeight="1" thickBot="1" x14ac:dyDescent="0.25">
      <c r="E74" s="1000"/>
      <c r="F74" s="1001"/>
      <c r="G74" s="1001"/>
      <c r="H74" s="1001"/>
      <c r="I74" s="1001"/>
      <c r="J74" s="1002"/>
    </row>
    <row r="76" spans="4:10" ht="15" x14ac:dyDescent="0.25">
      <c r="D76" s="704" t="s">
        <v>380</v>
      </c>
    </row>
    <row r="77" spans="4:10" x14ac:dyDescent="0.2">
      <c r="E77" t="s">
        <v>377</v>
      </c>
      <c r="F77" t="s">
        <v>364</v>
      </c>
    </row>
    <row r="78" spans="4:10" x14ac:dyDescent="0.2">
      <c r="D78" t="s">
        <v>356</v>
      </c>
      <c r="E78">
        <v>14.9</v>
      </c>
      <c r="F78">
        <v>27.2</v>
      </c>
    </row>
    <row r="79" spans="4:10" x14ac:dyDescent="0.2">
      <c r="D79" t="s">
        <v>358</v>
      </c>
      <c r="E79">
        <v>14.5</v>
      </c>
      <c r="F79">
        <v>14.2</v>
      </c>
    </row>
    <row r="81" spans="3:26" ht="15" x14ac:dyDescent="0.25">
      <c r="F81" s="1003" t="s">
        <v>381</v>
      </c>
      <c r="G81" s="1003"/>
      <c r="H81" s="1003"/>
      <c r="I81" s="1003"/>
    </row>
    <row r="82" spans="3:26" ht="39.75" thickBot="1" x14ac:dyDescent="0.3">
      <c r="C82" s="699" t="s">
        <v>353</v>
      </c>
      <c r="D82" s="700"/>
      <c r="E82" s="700"/>
      <c r="F82" s="729">
        <v>2027</v>
      </c>
      <c r="G82" s="730">
        <v>2028</v>
      </c>
      <c r="H82" s="730">
        <v>2029</v>
      </c>
      <c r="I82" s="730">
        <v>2030</v>
      </c>
      <c r="J82" s="730">
        <v>2031</v>
      </c>
      <c r="K82" s="730">
        <v>2032</v>
      </c>
      <c r="L82" s="730">
        <v>2033</v>
      </c>
      <c r="M82" s="730">
        <v>2034</v>
      </c>
      <c r="N82" s="730">
        <v>2035</v>
      </c>
      <c r="O82" s="730">
        <v>2036</v>
      </c>
      <c r="P82" s="730">
        <v>2037</v>
      </c>
      <c r="Q82" s="730">
        <v>2038</v>
      </c>
      <c r="R82" s="730">
        <v>2039</v>
      </c>
      <c r="S82" s="730">
        <v>2040</v>
      </c>
      <c r="T82" s="730">
        <v>2041</v>
      </c>
      <c r="U82" s="730">
        <v>2042</v>
      </c>
      <c r="V82" s="730">
        <v>2043</v>
      </c>
      <c r="W82" s="730">
        <v>2044</v>
      </c>
      <c r="X82" s="730">
        <v>2045</v>
      </c>
      <c r="Y82" s="731">
        <v>2046</v>
      </c>
      <c r="Z82" s="704"/>
    </row>
    <row r="83" spans="3:26" ht="15" x14ac:dyDescent="0.25">
      <c r="C83" s="705">
        <f>((X83/F83)^(1/(2045-2027))-1)</f>
        <v>-2.5363390192791879E-3</v>
      </c>
      <c r="D83" s="706" t="s">
        <v>356</v>
      </c>
      <c r="E83" s="856" t="s">
        <v>357</v>
      </c>
      <c r="F83" s="732">
        <f>AVERAGE('Traffic Count Data'!K20,'Traffic Count Data'!K75)</f>
        <v>4396.6260317391207</v>
      </c>
      <c r="G83" s="708">
        <f>F83*(1+$C83)</f>
        <v>4385.4746975816424</v>
      </c>
      <c r="H83" s="708">
        <f t="shared" ref="H83:W86" si="20">G83*(1+$C83)</f>
        <v>4374.3516469881042</v>
      </c>
      <c r="I83" s="708">
        <f t="shared" si="20"/>
        <v>4363.2568082218004</v>
      </c>
      <c r="J83" s="708">
        <f t="shared" si="20"/>
        <v>4352.1901097279715</v>
      </c>
      <c r="K83" s="708">
        <f t="shared" si="20"/>
        <v>4341.1514801333478</v>
      </c>
      <c r="L83" s="708">
        <f t="shared" si="20"/>
        <v>4330.1408482456836</v>
      </c>
      <c r="M83" s="708">
        <f t="shared" si="20"/>
        <v>4319.1581430533033</v>
      </c>
      <c r="N83" s="708">
        <f t="shared" si="20"/>
        <v>4308.2032937246395</v>
      </c>
      <c r="O83" s="708">
        <f t="shared" si="20"/>
        <v>4297.276229607779</v>
      </c>
      <c r="P83" s="708">
        <f t="shared" si="20"/>
        <v>4286.3768802300037</v>
      </c>
      <c r="Q83" s="708">
        <f t="shared" si="20"/>
        <v>4275.5051752973404</v>
      </c>
      <c r="R83" s="708">
        <f t="shared" si="20"/>
        <v>4264.661044694104</v>
      </c>
      <c r="S83" s="708">
        <f t="shared" si="20"/>
        <v>4253.8444184824466</v>
      </c>
      <c r="T83" s="708">
        <f t="shared" si="20"/>
        <v>4243.0552269019063</v>
      </c>
      <c r="U83" s="708">
        <f t="shared" si="20"/>
        <v>4232.2934003689588</v>
      </c>
      <c r="V83" s="708">
        <f t="shared" si="20"/>
        <v>4221.5588694765656</v>
      </c>
      <c r="W83" s="708">
        <f t="shared" si="20"/>
        <v>4210.8515649937281</v>
      </c>
      <c r="X83" s="708">
        <v>4200.1714178650391</v>
      </c>
      <c r="Y83" s="709">
        <f t="shared" ref="Y83:Y86" si="21">X83*(1+$C83)</f>
        <v>4189.5183592102467</v>
      </c>
      <c r="Z83" s="710"/>
    </row>
    <row r="84" spans="3:26" ht="15" x14ac:dyDescent="0.25">
      <c r="C84" s="711">
        <f t="shared" ref="C84:C86" si="22">((X84/F84)^(1/(2045-2027))-1)</f>
        <v>2.6953177422661678E-3</v>
      </c>
      <c r="D84" s="712" t="s">
        <v>358</v>
      </c>
      <c r="E84" s="857" t="s">
        <v>357</v>
      </c>
      <c r="F84" s="734">
        <f>AVERAGE('Traffic Count Data'!K21,'Traffic Count Data'!K76)</f>
        <v>3568.832603212597</v>
      </c>
      <c r="G84" s="445">
        <f t="shared" ref="G84:V86" si="23">F84*(1+$C84)</f>
        <v>3578.451741047214</v>
      </c>
      <c r="H84" s="445">
        <f t="shared" si="23"/>
        <v>3588.0968055147018</v>
      </c>
      <c r="I84" s="445">
        <f t="shared" si="23"/>
        <v>3597.7678664955743</v>
      </c>
      <c r="J84" s="445">
        <f t="shared" si="23"/>
        <v>3607.4649940586951</v>
      </c>
      <c r="K84" s="445">
        <f t="shared" si="23"/>
        <v>3617.1882584617856</v>
      </c>
      <c r="L84" s="445">
        <f t="shared" si="23"/>
        <v>3626.9377301519344</v>
      </c>
      <c r="M84" s="445">
        <f t="shared" si="23"/>
        <v>3636.7134797661074</v>
      </c>
      <c r="N84" s="445">
        <f t="shared" si="23"/>
        <v>3646.5155781316594</v>
      </c>
      <c r="O84" s="445">
        <f t="shared" si="23"/>
        <v>3656.3440962668478</v>
      </c>
      <c r="P84" s="445">
        <f t="shared" si="23"/>
        <v>3666.1991053813458</v>
      </c>
      <c r="Q84" s="445">
        <f t="shared" si="23"/>
        <v>3676.0806768767607</v>
      </c>
      <c r="R84" s="445">
        <f t="shared" si="23"/>
        <v>3685.9888823471483</v>
      </c>
      <c r="S84" s="445">
        <f t="shared" si="23"/>
        <v>3695.9237935795345</v>
      </c>
      <c r="T84" s="445">
        <f t="shared" si="23"/>
        <v>3705.8854825544331</v>
      </c>
      <c r="U84" s="445">
        <f t="shared" si="23"/>
        <v>3715.8740214463687</v>
      </c>
      <c r="V84" s="445">
        <f t="shared" si="23"/>
        <v>3725.8894826243991</v>
      </c>
      <c r="W84" s="445">
        <f t="shared" si="20"/>
        <v>3735.9319386526395</v>
      </c>
      <c r="X84" s="445">
        <v>3746.0014622907884</v>
      </c>
      <c r="Y84" s="714">
        <f t="shared" si="21"/>
        <v>3756.0981264946558</v>
      </c>
      <c r="Z84" s="710"/>
    </row>
    <row r="85" spans="3:26" ht="15" x14ac:dyDescent="0.25">
      <c r="C85" s="711">
        <f t="shared" si="22"/>
        <v>-2.7874362923187013E-3</v>
      </c>
      <c r="D85" s="712" t="s">
        <v>356</v>
      </c>
      <c r="E85" s="857" t="s">
        <v>359</v>
      </c>
      <c r="F85" s="734">
        <f>AVERAGE('Traffic Count Data'!K22,'Traffic Count Data'!K77)</f>
        <v>4308.7538701573412</v>
      </c>
      <c r="G85" s="445">
        <f t="shared" si="23"/>
        <v>4296.743493244996</v>
      </c>
      <c r="H85" s="445">
        <f t="shared" si="23"/>
        <v>4284.7665944931405</v>
      </c>
      <c r="I85" s="445">
        <f t="shared" si="23"/>
        <v>4272.8230805835356</v>
      </c>
      <c r="J85" s="445">
        <f t="shared" si="23"/>
        <v>4260.9128584580603</v>
      </c>
      <c r="K85" s="445">
        <f t="shared" si="23"/>
        <v>4249.0358353179872</v>
      </c>
      <c r="L85" s="445">
        <f t="shared" si="23"/>
        <v>4237.191918623259</v>
      </c>
      <c r="M85" s="445">
        <f t="shared" si="23"/>
        <v>4225.3810160917692</v>
      </c>
      <c r="N85" s="445">
        <f t="shared" si="23"/>
        <v>4213.6030356986403</v>
      </c>
      <c r="O85" s="445">
        <f t="shared" si="23"/>
        <v>4201.8578856755094</v>
      </c>
      <c r="P85" s="445">
        <f t="shared" si="23"/>
        <v>4190.1454745098117</v>
      </c>
      <c r="Q85" s="445">
        <f t="shared" si="23"/>
        <v>4178.4657109440677</v>
      </c>
      <c r="R85" s="445">
        <f t="shared" si="23"/>
        <v>4166.8185039751734</v>
      </c>
      <c r="S85" s="445">
        <f t="shared" si="23"/>
        <v>4155.2037628536882</v>
      </c>
      <c r="T85" s="445">
        <f t="shared" si="23"/>
        <v>4143.6213970831304</v>
      </c>
      <c r="U85" s="445">
        <f t="shared" si="23"/>
        <v>4132.071316419273</v>
      </c>
      <c r="V85" s="445">
        <f t="shared" si="23"/>
        <v>4120.5534308694369</v>
      </c>
      <c r="W85" s="445">
        <f t="shared" si="20"/>
        <v>4109.0676506917935</v>
      </c>
      <c r="X85" s="445">
        <v>4097.6138863946635</v>
      </c>
      <c r="Y85" s="714">
        <f t="shared" si="21"/>
        <v>4086.1920487358179</v>
      </c>
      <c r="Z85" s="710"/>
    </row>
    <row r="86" spans="3:26" ht="15.75" thickBot="1" x14ac:dyDescent="0.3">
      <c r="C86" s="715">
        <f t="shared" si="22"/>
        <v>4.6935480876642011E-4</v>
      </c>
      <c r="D86" s="716" t="s">
        <v>358</v>
      </c>
      <c r="E86" s="858" t="s">
        <v>359</v>
      </c>
      <c r="F86" s="735">
        <f>AVERAGE('Traffic Count Data'!K23,'Traffic Count Data'!K78)</f>
        <v>3377.7284832992859</v>
      </c>
      <c r="G86" s="726">
        <f t="shared" si="23"/>
        <v>3379.3138364056299</v>
      </c>
      <c r="H86" s="726">
        <f t="shared" si="23"/>
        <v>3380.8999336050779</v>
      </c>
      <c r="I86" s="726">
        <f t="shared" si="23"/>
        <v>3382.4867752468735</v>
      </c>
      <c r="J86" s="726">
        <f t="shared" si="23"/>
        <v>3384.0743616804243</v>
      </c>
      <c r="K86" s="726">
        <f t="shared" si="23"/>
        <v>3385.6626932553022</v>
      </c>
      <c r="L86" s="726">
        <f t="shared" si="23"/>
        <v>3387.2517703212425</v>
      </c>
      <c r="M86" s="726">
        <f t="shared" si="23"/>
        <v>3388.8415932281455</v>
      </c>
      <c r="N86" s="726">
        <f t="shared" si="23"/>
        <v>3390.4321623260748</v>
      </c>
      <c r="O86" s="726">
        <f t="shared" si="23"/>
        <v>3392.0234779652587</v>
      </c>
      <c r="P86" s="726">
        <f t="shared" si="23"/>
        <v>3393.6155404960905</v>
      </c>
      <c r="Q86" s="726">
        <f t="shared" si="23"/>
        <v>3395.2083502691266</v>
      </c>
      <c r="R86" s="726">
        <f t="shared" si="23"/>
        <v>3396.8019076350893</v>
      </c>
      <c r="S86" s="726">
        <f t="shared" si="23"/>
        <v>3398.3962129448646</v>
      </c>
      <c r="T86" s="726">
        <f t="shared" si="23"/>
        <v>3399.991266549504</v>
      </c>
      <c r="U86" s="726">
        <f t="shared" si="23"/>
        <v>3401.5870688002228</v>
      </c>
      <c r="V86" s="726">
        <f t="shared" si="23"/>
        <v>3403.1836200484017</v>
      </c>
      <c r="W86" s="726">
        <f t="shared" si="20"/>
        <v>3404.7809206455868</v>
      </c>
      <c r="X86" s="726">
        <v>3406.3789709434905</v>
      </c>
      <c r="Y86" s="727">
        <f t="shared" si="21"/>
        <v>3407.9777712939836</v>
      </c>
      <c r="Z86" s="710"/>
    </row>
    <row r="87" spans="3:26" ht="13.5" thickBot="1" x14ac:dyDescent="0.25">
      <c r="C87" s="720"/>
      <c r="D87" s="17"/>
      <c r="E87" s="17"/>
      <c r="F87" s="721"/>
      <c r="G87" s="722"/>
      <c r="H87" s="722"/>
      <c r="I87" s="722"/>
      <c r="J87" s="722"/>
      <c r="K87" s="722"/>
      <c r="L87" s="722"/>
      <c r="M87" s="722"/>
      <c r="N87" s="722"/>
      <c r="O87" s="722"/>
      <c r="P87" s="722"/>
      <c r="Q87" s="722"/>
      <c r="R87" s="722"/>
      <c r="S87" s="722"/>
      <c r="T87" s="722"/>
      <c r="U87" s="722"/>
      <c r="V87" s="722"/>
      <c r="W87" s="722"/>
      <c r="X87" s="722"/>
      <c r="Y87" s="723"/>
    </row>
    <row r="88" spans="3:26" ht="15" x14ac:dyDescent="0.25">
      <c r="C88" s="705">
        <f>((X88/F88)^(1/(2045-2027))-1)</f>
        <v>-1.3789338127334627E-4</v>
      </c>
      <c r="D88" s="706" t="s">
        <v>356</v>
      </c>
      <c r="E88" s="856" t="s">
        <v>360</v>
      </c>
      <c r="F88" s="732">
        <f>AVERAGE('Traffic Count Data'!K38,'Traffic Count Data'!K93)</f>
        <v>3172.8099306410991</v>
      </c>
      <c r="G88" s="708">
        <f>F88*(1+$C88)</f>
        <v>3172.3724211516255</v>
      </c>
      <c r="H88" s="708">
        <f t="shared" ref="H88:W91" si="24">G88*(1+$C88)</f>
        <v>3171.9349719918146</v>
      </c>
      <c r="I88" s="708">
        <f t="shared" si="24"/>
        <v>3171.4975831533475</v>
      </c>
      <c r="J88" s="708">
        <f t="shared" si="24"/>
        <v>3171.060254627906</v>
      </c>
      <c r="K88" s="708">
        <f t="shared" si="24"/>
        <v>3170.6229864071738</v>
      </c>
      <c r="L88" s="708">
        <f t="shared" si="24"/>
        <v>3170.1857784828353</v>
      </c>
      <c r="M88" s="708">
        <f t="shared" si="24"/>
        <v>3169.7486308465755</v>
      </c>
      <c r="N88" s="708">
        <f t="shared" si="24"/>
        <v>3169.3115434900815</v>
      </c>
      <c r="O88" s="708">
        <f t="shared" si="24"/>
        <v>3168.874516405041</v>
      </c>
      <c r="P88" s="708">
        <f t="shared" si="24"/>
        <v>3168.4375495831432</v>
      </c>
      <c r="Q88" s="708">
        <f t="shared" si="24"/>
        <v>3168.0006430160779</v>
      </c>
      <c r="R88" s="708">
        <f t="shared" si="24"/>
        <v>3167.5637966955364</v>
      </c>
      <c r="S88" s="708">
        <f t="shared" si="24"/>
        <v>3167.127010613211</v>
      </c>
      <c r="T88" s="708">
        <f t="shared" si="24"/>
        <v>3166.6902847607953</v>
      </c>
      <c r="U88" s="708">
        <f t="shared" si="24"/>
        <v>3166.2536191299841</v>
      </c>
      <c r="V88" s="708">
        <f t="shared" si="24"/>
        <v>3165.8170137124735</v>
      </c>
      <c r="W88" s="708">
        <f t="shared" si="24"/>
        <v>3165.38046849996</v>
      </c>
      <c r="X88" s="708">
        <v>3164.9439834841396</v>
      </c>
      <c r="Y88" s="709">
        <f t="shared" ref="Y88:Y91" si="25">X88*(1+$C88)</f>
        <v>3164.5075586567164</v>
      </c>
      <c r="Z88" s="710"/>
    </row>
    <row r="89" spans="3:26" ht="15" x14ac:dyDescent="0.25">
      <c r="C89" s="711">
        <f t="shared" ref="C89:C91" si="26">((X89/F89)^(1/(2045-2027))-1)</f>
        <v>8.7513690231433294E-4</v>
      </c>
      <c r="D89" s="712" t="s">
        <v>358</v>
      </c>
      <c r="E89" s="857" t="s">
        <v>360</v>
      </c>
      <c r="F89" s="734">
        <f>AVERAGE('Traffic Count Data'!K39,'Traffic Count Data'!K94)</f>
        <v>4508.4246067758204</v>
      </c>
      <c r="G89" s="445">
        <f t="shared" ref="G89:V91" si="27">F89*(1+$C89)</f>
        <v>4512.3700955205122</v>
      </c>
      <c r="H89" s="445">
        <f t="shared" si="27"/>
        <v>4516.3190371080018</v>
      </c>
      <c r="I89" s="445">
        <f t="shared" si="27"/>
        <v>4520.2714345599998</v>
      </c>
      <c r="J89" s="445">
        <f t="shared" si="27"/>
        <v>4524.2272909008607</v>
      </c>
      <c r="K89" s="445">
        <f t="shared" si="27"/>
        <v>4528.1866091575857</v>
      </c>
      <c r="L89" s="445">
        <f t="shared" si="27"/>
        <v>4532.1493923598255</v>
      </c>
      <c r="M89" s="445">
        <f t="shared" si="27"/>
        <v>4536.1156435398807</v>
      </c>
      <c r="N89" s="445">
        <f t="shared" si="27"/>
        <v>4540.0853657327079</v>
      </c>
      <c r="O89" s="445">
        <f t="shared" si="27"/>
        <v>4544.0585619759177</v>
      </c>
      <c r="P89" s="445">
        <f t="shared" si="27"/>
        <v>4548.0352353097805</v>
      </c>
      <c r="Q89" s="445">
        <f t="shared" si="27"/>
        <v>4552.0153887772258</v>
      </c>
      <c r="R89" s="445">
        <f t="shared" si="27"/>
        <v>4555.9990254238473</v>
      </c>
      <c r="S89" s="445">
        <f t="shared" si="27"/>
        <v>4559.986148297904</v>
      </c>
      <c r="T89" s="445">
        <f t="shared" si="27"/>
        <v>4563.9767604503213</v>
      </c>
      <c r="U89" s="445">
        <f t="shared" si="27"/>
        <v>4567.9708649346967</v>
      </c>
      <c r="V89" s="445">
        <f t="shared" si="27"/>
        <v>4571.968464807298</v>
      </c>
      <c r="W89" s="445">
        <f t="shared" si="24"/>
        <v>4575.9695631270679</v>
      </c>
      <c r="X89" s="445">
        <v>4579.9741629556247</v>
      </c>
      <c r="Y89" s="714">
        <f t="shared" si="25"/>
        <v>4583.9822673572735</v>
      </c>
      <c r="Z89" s="710"/>
    </row>
    <row r="90" spans="3:26" ht="15" x14ac:dyDescent="0.25">
      <c r="C90" s="711">
        <f t="shared" si="26"/>
        <v>-1.8233845057787912E-3</v>
      </c>
      <c r="D90" s="712" t="s">
        <v>356</v>
      </c>
      <c r="E90" s="857" t="s">
        <v>361</v>
      </c>
      <c r="F90" s="734">
        <f>AVERAGE('Traffic Count Data'!K40,'Traffic Count Data'!K95)</f>
        <v>3378.467318352109</v>
      </c>
      <c r="G90" s="445">
        <f t="shared" si="27"/>
        <v>3372.3070733905456</v>
      </c>
      <c r="H90" s="445">
        <f t="shared" si="27"/>
        <v>3366.1580609241969</v>
      </c>
      <c r="I90" s="445">
        <f t="shared" si="27"/>
        <v>3360.0202604719052</v>
      </c>
      <c r="J90" s="445">
        <f t="shared" si="27"/>
        <v>3353.8936515898581</v>
      </c>
      <c r="K90" s="445">
        <f t="shared" si="27"/>
        <v>3347.7782138715193</v>
      </c>
      <c r="L90" s="445">
        <f t="shared" si="27"/>
        <v>3341.673926947562</v>
      </c>
      <c r="M90" s="445">
        <f t="shared" si="27"/>
        <v>3335.5807704858007</v>
      </c>
      <c r="N90" s="445">
        <f t="shared" si="27"/>
        <v>3329.4987241911231</v>
      </c>
      <c r="O90" s="445">
        <f t="shared" si="27"/>
        <v>3323.4277678054227</v>
      </c>
      <c r="P90" s="445">
        <f t="shared" si="27"/>
        <v>3317.3678811075315</v>
      </c>
      <c r="Q90" s="445">
        <f t="shared" si="27"/>
        <v>3311.3190439131517</v>
      </c>
      <c r="R90" s="445">
        <f t="shared" si="27"/>
        <v>3305.2812360747903</v>
      </c>
      <c r="S90" s="445">
        <f t="shared" si="27"/>
        <v>3299.2544374816903</v>
      </c>
      <c r="T90" s="445">
        <f t="shared" si="27"/>
        <v>3293.2386280597643</v>
      </c>
      <c r="U90" s="445">
        <f t="shared" si="27"/>
        <v>3287.2337877715281</v>
      </c>
      <c r="V90" s="445">
        <f t="shared" si="27"/>
        <v>3281.2398966160331</v>
      </c>
      <c r="W90" s="445">
        <f t="shared" si="24"/>
        <v>3275.2569346288001</v>
      </c>
      <c r="X90" s="445">
        <v>3269.2848818817506</v>
      </c>
      <c r="Y90" s="714">
        <f t="shared" si="25"/>
        <v>3263.3237184831505</v>
      </c>
      <c r="Z90" s="710"/>
    </row>
    <row r="91" spans="3:26" ht="15.75" thickBot="1" x14ac:dyDescent="0.3">
      <c r="C91" s="715">
        <f t="shared" si="26"/>
        <v>-3.5136712147800786E-3</v>
      </c>
      <c r="D91" s="716" t="s">
        <v>358</v>
      </c>
      <c r="E91" s="858" t="s">
        <v>361</v>
      </c>
      <c r="F91" s="735">
        <f>AVERAGE('Traffic Count Data'!K41,'Traffic Count Data'!K96)</f>
        <v>4756.9802284516772</v>
      </c>
      <c r="G91" s="726">
        <f t="shared" si="27"/>
        <v>4740.2657639536883</v>
      </c>
      <c r="H91" s="726">
        <f t="shared" si="27"/>
        <v>4723.6100285884768</v>
      </c>
      <c r="I91" s="726">
        <f t="shared" si="27"/>
        <v>4707.0128160011791</v>
      </c>
      <c r="J91" s="726">
        <f t="shared" si="27"/>
        <v>4690.4739205619944</v>
      </c>
      <c r="K91" s="726">
        <f t="shared" si="27"/>
        <v>4673.9931373636391</v>
      </c>
      <c r="L91" s="726">
        <f t="shared" si="27"/>
        <v>4657.5702622188046</v>
      </c>
      <c r="M91" s="726">
        <f t="shared" si="27"/>
        <v>4641.2050916576309</v>
      </c>
      <c r="N91" s="726">
        <f t="shared" si="27"/>
        <v>4624.8974229251826</v>
      </c>
      <c r="O91" s="726">
        <f t="shared" si="27"/>
        <v>4608.6470539789398</v>
      </c>
      <c r="P91" s="726">
        <f t="shared" si="27"/>
        <v>4592.4537834862931</v>
      </c>
      <c r="Q91" s="726">
        <f t="shared" si="27"/>
        <v>4576.3174108220492</v>
      </c>
      <c r="R91" s="726">
        <f t="shared" si="27"/>
        <v>4560.2377360659466</v>
      </c>
      <c r="S91" s="726">
        <f t="shared" si="27"/>
        <v>4544.2145600001777</v>
      </c>
      <c r="T91" s="726">
        <f t="shared" si="27"/>
        <v>4528.2476841069201</v>
      </c>
      <c r="U91" s="726">
        <f t="shared" si="27"/>
        <v>4512.3369105658794</v>
      </c>
      <c r="V91" s="726">
        <f t="shared" si="27"/>
        <v>4496.4820422518342</v>
      </c>
      <c r="W91" s="726">
        <f t="shared" si="24"/>
        <v>4480.6828827321988</v>
      </c>
      <c r="X91" s="726">
        <v>4464.9392362645867</v>
      </c>
      <c r="Y91" s="727">
        <f t="shared" si="25"/>
        <v>4449.2509077943814</v>
      </c>
      <c r="Z91" s="710"/>
    </row>
    <row r="94" spans="3:26" ht="15" x14ac:dyDescent="0.25">
      <c r="F94" s="704" t="s">
        <v>382</v>
      </c>
    </row>
    <row r="95" spans="3:26" ht="15" x14ac:dyDescent="0.25">
      <c r="C95" s="985" t="s">
        <v>363</v>
      </c>
      <c r="D95" s="766" t="s">
        <v>356</v>
      </c>
      <c r="E95" s="767" t="s">
        <v>357</v>
      </c>
      <c r="F95">
        <f>F83*$E$78/60</f>
        <v>1091.8287978818817</v>
      </c>
      <c r="G95">
        <f t="shared" ref="G95:Y95" si="28">G83*$E$78/60</f>
        <v>1089.0595498994412</v>
      </c>
      <c r="H95">
        <f t="shared" si="28"/>
        <v>1086.2973256687126</v>
      </c>
      <c r="I95">
        <f t="shared" si="28"/>
        <v>1083.5421073750806</v>
      </c>
      <c r="J95">
        <f t="shared" si="28"/>
        <v>1080.7938772491129</v>
      </c>
      <c r="K95">
        <f t="shared" si="28"/>
        <v>1078.0526175664481</v>
      </c>
      <c r="L95">
        <f t="shared" si="28"/>
        <v>1075.3183106476781</v>
      </c>
      <c r="M95">
        <f t="shared" si="28"/>
        <v>1072.590938858237</v>
      </c>
      <c r="N95">
        <f t="shared" si="28"/>
        <v>1069.8704846082856</v>
      </c>
      <c r="O95">
        <f t="shared" si="28"/>
        <v>1067.1569303525985</v>
      </c>
      <c r="P95">
        <f t="shared" si="28"/>
        <v>1064.4502585904509</v>
      </c>
      <c r="Q95">
        <f t="shared" si="28"/>
        <v>1061.7504518655062</v>
      </c>
      <c r="R95">
        <f t="shared" si="28"/>
        <v>1059.0574927657026</v>
      </c>
      <c r="S95">
        <f t="shared" si="28"/>
        <v>1056.371363923141</v>
      </c>
      <c r="T95">
        <f t="shared" si="28"/>
        <v>1053.6920480139734</v>
      </c>
      <c r="U95">
        <f t="shared" si="28"/>
        <v>1051.0195277582914</v>
      </c>
      <c r="V95">
        <f t="shared" si="28"/>
        <v>1048.3537859200139</v>
      </c>
      <c r="W95">
        <f t="shared" si="28"/>
        <v>1045.6948053067758</v>
      </c>
      <c r="X95">
        <f t="shared" si="28"/>
        <v>1043.042568769818</v>
      </c>
      <c r="Y95">
        <f t="shared" si="28"/>
        <v>1040.3970592038779</v>
      </c>
    </row>
    <row r="96" spans="3:26" ht="15" x14ac:dyDescent="0.25">
      <c r="C96" s="985"/>
      <c r="D96" s="766" t="s">
        <v>358</v>
      </c>
      <c r="E96" s="767" t="s">
        <v>357</v>
      </c>
      <c r="F96">
        <f>F84*$E$79/60</f>
        <v>862.46787910971091</v>
      </c>
      <c r="G96">
        <f t="shared" ref="G96:Y96" si="29">G84*$E$79/60</f>
        <v>864.79250408641008</v>
      </c>
      <c r="H96">
        <f t="shared" si="29"/>
        <v>867.12339466605295</v>
      </c>
      <c r="I96">
        <f t="shared" si="29"/>
        <v>869.46056773643045</v>
      </c>
      <c r="J96">
        <f t="shared" si="29"/>
        <v>871.80404023085123</v>
      </c>
      <c r="K96">
        <f t="shared" si="29"/>
        <v>874.15382912826487</v>
      </c>
      <c r="L96">
        <f t="shared" si="29"/>
        <v>876.50995145338413</v>
      </c>
      <c r="M96">
        <f t="shared" si="29"/>
        <v>878.87242427680928</v>
      </c>
      <c r="N96">
        <f t="shared" si="29"/>
        <v>881.24126471515103</v>
      </c>
      <c r="O96">
        <f t="shared" si="29"/>
        <v>883.61648993115489</v>
      </c>
      <c r="P96">
        <f t="shared" si="29"/>
        <v>885.9981171338253</v>
      </c>
      <c r="Q96">
        <f t="shared" si="29"/>
        <v>888.38616357855051</v>
      </c>
      <c r="R96">
        <f t="shared" si="29"/>
        <v>890.78064656722756</v>
      </c>
      <c r="S96">
        <f t="shared" si="29"/>
        <v>893.18158344838753</v>
      </c>
      <c r="T96">
        <f t="shared" si="29"/>
        <v>895.58899161732143</v>
      </c>
      <c r="U96">
        <f t="shared" si="29"/>
        <v>898.00288851620576</v>
      </c>
      <c r="V96">
        <f t="shared" si="29"/>
        <v>900.42329163422983</v>
      </c>
      <c r="W96">
        <f t="shared" si="29"/>
        <v>902.85021850772125</v>
      </c>
      <c r="X96">
        <f t="shared" si="29"/>
        <v>905.28368672027386</v>
      </c>
      <c r="Y96">
        <f t="shared" si="29"/>
        <v>907.72371390287515</v>
      </c>
    </row>
    <row r="97" spans="3:26" ht="15" x14ac:dyDescent="0.25">
      <c r="C97" s="985"/>
      <c r="D97" s="766" t="s">
        <v>356</v>
      </c>
      <c r="E97" s="767" t="s">
        <v>359</v>
      </c>
      <c r="F97">
        <f>F85*$E$78/60</f>
        <v>1070.0072110890731</v>
      </c>
      <c r="G97">
        <f t="shared" ref="G97:Y97" si="30">G85*$E$78/60</f>
        <v>1067.0246341558407</v>
      </c>
      <c r="H97">
        <f t="shared" si="30"/>
        <v>1064.0503709657964</v>
      </c>
      <c r="I97">
        <f t="shared" si="30"/>
        <v>1061.0843983449113</v>
      </c>
      <c r="J97">
        <f t="shared" si="30"/>
        <v>1058.1266931837517</v>
      </c>
      <c r="K97">
        <f t="shared" si="30"/>
        <v>1055.1772324373003</v>
      </c>
      <c r="L97">
        <f t="shared" si="30"/>
        <v>1052.2359931247761</v>
      </c>
      <c r="M97">
        <f t="shared" si="30"/>
        <v>1049.302952329456</v>
      </c>
      <c r="N97">
        <f t="shared" si="30"/>
        <v>1046.3780871984957</v>
      </c>
      <c r="O97">
        <f t="shared" si="30"/>
        <v>1043.4613749427515</v>
      </c>
      <c r="P97">
        <f t="shared" si="30"/>
        <v>1040.5527928366032</v>
      </c>
      <c r="Q97">
        <f t="shared" si="30"/>
        <v>1037.6523182177768</v>
      </c>
      <c r="R97">
        <f t="shared" si="30"/>
        <v>1034.7599284871681</v>
      </c>
      <c r="S97">
        <f t="shared" si="30"/>
        <v>1031.8756011086659</v>
      </c>
      <c r="T97">
        <f t="shared" si="30"/>
        <v>1028.9993136089774</v>
      </c>
      <c r="U97">
        <f t="shared" si="30"/>
        <v>1026.1310435774528</v>
      </c>
      <c r="V97">
        <f t="shared" si="30"/>
        <v>1023.2707686659102</v>
      </c>
      <c r="W97">
        <f t="shared" si="30"/>
        <v>1020.418466588462</v>
      </c>
      <c r="X97">
        <f t="shared" si="30"/>
        <v>1017.5741151213414</v>
      </c>
      <c r="Y97">
        <f t="shared" si="30"/>
        <v>1014.7376921027281</v>
      </c>
    </row>
    <row r="98" spans="3:26" ht="15" x14ac:dyDescent="0.25">
      <c r="C98" s="985"/>
      <c r="D98" s="766" t="s">
        <v>358</v>
      </c>
      <c r="E98" s="767" t="s">
        <v>359</v>
      </c>
      <c r="F98">
        <f>F86*$E$79/60</f>
        <v>816.284383463994</v>
      </c>
      <c r="G98">
        <f t="shared" ref="G98:Y98" si="31">G86*$E$79/60</f>
        <v>816.66751046469392</v>
      </c>
      <c r="H98">
        <f t="shared" si="31"/>
        <v>817.05081728789389</v>
      </c>
      <c r="I98">
        <f t="shared" si="31"/>
        <v>817.43430401799435</v>
      </c>
      <c r="J98">
        <f t="shared" si="31"/>
        <v>817.81797073943585</v>
      </c>
      <c r="K98">
        <f t="shared" si="31"/>
        <v>818.20181753669794</v>
      </c>
      <c r="L98">
        <f t="shared" si="31"/>
        <v>818.58584449430032</v>
      </c>
      <c r="M98">
        <f t="shared" si="31"/>
        <v>818.97005169680187</v>
      </c>
      <c r="N98">
        <f t="shared" si="31"/>
        <v>819.35443922880143</v>
      </c>
      <c r="O98">
        <f t="shared" si="31"/>
        <v>819.73900717493757</v>
      </c>
      <c r="P98">
        <f t="shared" si="31"/>
        <v>820.12375561988858</v>
      </c>
      <c r="Q98">
        <f t="shared" si="31"/>
        <v>820.5086846483722</v>
      </c>
      <c r="R98">
        <f t="shared" si="31"/>
        <v>820.8937943451466</v>
      </c>
      <c r="S98">
        <f t="shared" si="31"/>
        <v>821.279084795009</v>
      </c>
      <c r="T98">
        <f t="shared" si="31"/>
        <v>821.66455608279682</v>
      </c>
      <c r="U98">
        <f t="shared" si="31"/>
        <v>822.05020829338719</v>
      </c>
      <c r="V98">
        <f t="shared" si="31"/>
        <v>822.43604151169711</v>
      </c>
      <c r="W98">
        <f t="shared" si="31"/>
        <v>822.82205582268352</v>
      </c>
      <c r="X98">
        <f t="shared" si="31"/>
        <v>823.20825131134359</v>
      </c>
      <c r="Y98">
        <f t="shared" si="31"/>
        <v>823.59462806271267</v>
      </c>
    </row>
    <row r="100" spans="3:26" ht="15" x14ac:dyDescent="0.25">
      <c r="C100" s="985" t="s">
        <v>364</v>
      </c>
      <c r="D100" s="766" t="s">
        <v>356</v>
      </c>
      <c r="E100" s="767" t="s">
        <v>360</v>
      </c>
      <c r="F100">
        <f>F88*$F$78/60</f>
        <v>1438.3405018906315</v>
      </c>
      <c r="G100">
        <f t="shared" ref="G100:Y100" si="32">G88*$F$78/60</f>
        <v>1438.1421642554037</v>
      </c>
      <c r="H100">
        <f t="shared" si="32"/>
        <v>1437.9438539696228</v>
      </c>
      <c r="I100">
        <f t="shared" si="32"/>
        <v>1437.7455710295176</v>
      </c>
      <c r="J100">
        <f t="shared" si="32"/>
        <v>1437.5473154313174</v>
      </c>
      <c r="K100">
        <f t="shared" si="32"/>
        <v>1437.3490871712522</v>
      </c>
      <c r="L100">
        <f t="shared" si="32"/>
        <v>1437.1508862455519</v>
      </c>
      <c r="M100">
        <f t="shared" si="32"/>
        <v>1436.9527126504474</v>
      </c>
      <c r="N100">
        <f t="shared" si="32"/>
        <v>1436.7545663821702</v>
      </c>
      <c r="O100">
        <f t="shared" si="32"/>
        <v>1436.5564474369519</v>
      </c>
      <c r="P100">
        <f t="shared" si="32"/>
        <v>1436.3583558110249</v>
      </c>
      <c r="Q100">
        <f t="shared" si="32"/>
        <v>1436.160291500622</v>
      </c>
      <c r="R100">
        <f t="shared" si="32"/>
        <v>1435.9622545019765</v>
      </c>
      <c r="S100">
        <f t="shared" si="32"/>
        <v>1435.7642448113222</v>
      </c>
      <c r="T100">
        <f t="shared" si="32"/>
        <v>1435.5662624248939</v>
      </c>
      <c r="U100">
        <f t="shared" si="32"/>
        <v>1435.3683073389261</v>
      </c>
      <c r="V100">
        <f t="shared" si="32"/>
        <v>1435.1703795496546</v>
      </c>
      <c r="W100">
        <f t="shared" si="32"/>
        <v>1434.9724790533151</v>
      </c>
      <c r="X100">
        <f t="shared" si="32"/>
        <v>1434.7746058461432</v>
      </c>
      <c r="Y100">
        <f t="shared" si="32"/>
        <v>1434.5767599243779</v>
      </c>
    </row>
    <row r="101" spans="3:26" ht="15" x14ac:dyDescent="0.25">
      <c r="C101" s="985"/>
      <c r="D101" s="766" t="s">
        <v>358</v>
      </c>
      <c r="E101" s="767" t="s">
        <v>360</v>
      </c>
      <c r="F101">
        <f>F89*$F$79/60</f>
        <v>1066.9938236036107</v>
      </c>
      <c r="G101">
        <f t="shared" ref="G101:Y101" si="33">G89*$F$79/60</f>
        <v>1067.9275892731878</v>
      </c>
      <c r="H101">
        <f t="shared" si="33"/>
        <v>1068.8621721155603</v>
      </c>
      <c r="I101">
        <f t="shared" si="33"/>
        <v>1069.7975728458666</v>
      </c>
      <c r="J101">
        <f t="shared" si="33"/>
        <v>1070.7337921798703</v>
      </c>
      <c r="K101">
        <f t="shared" si="33"/>
        <v>1071.6708308339619</v>
      </c>
      <c r="L101">
        <f t="shared" si="33"/>
        <v>1072.6086895251585</v>
      </c>
      <c r="M101">
        <f t="shared" si="33"/>
        <v>1073.547368971105</v>
      </c>
      <c r="N101">
        <f t="shared" si="33"/>
        <v>1074.4868698900741</v>
      </c>
      <c r="O101">
        <f t="shared" si="33"/>
        <v>1075.427193000967</v>
      </c>
      <c r="P101">
        <f t="shared" si="33"/>
        <v>1076.3683390233148</v>
      </c>
      <c r="Q101">
        <f t="shared" si="33"/>
        <v>1077.3103086772767</v>
      </c>
      <c r="R101">
        <f t="shared" si="33"/>
        <v>1078.2531026836439</v>
      </c>
      <c r="S101">
        <f t="shared" si="33"/>
        <v>1079.1967217638371</v>
      </c>
      <c r="T101">
        <f t="shared" si="33"/>
        <v>1080.1411666399094</v>
      </c>
      <c r="U101">
        <f t="shared" si="33"/>
        <v>1081.0864380345449</v>
      </c>
      <c r="V101">
        <f t="shared" si="33"/>
        <v>1082.0325366710606</v>
      </c>
      <c r="W101">
        <f t="shared" si="33"/>
        <v>1082.9794632734061</v>
      </c>
      <c r="X101">
        <f t="shared" si="33"/>
        <v>1083.9272185661644</v>
      </c>
      <c r="Y101">
        <f t="shared" si="33"/>
        <v>1084.8758032745548</v>
      </c>
    </row>
    <row r="102" spans="3:26" ht="15" x14ac:dyDescent="0.25">
      <c r="C102" s="985"/>
      <c r="D102" s="766" t="s">
        <v>356</v>
      </c>
      <c r="E102" s="767" t="s">
        <v>361</v>
      </c>
      <c r="F102">
        <f>F90*$F$78/60</f>
        <v>1531.5718509862893</v>
      </c>
      <c r="G102">
        <f t="shared" ref="G102:Y102" si="34">G90*$F$78/60</f>
        <v>1528.7792066037141</v>
      </c>
      <c r="H102">
        <f t="shared" si="34"/>
        <v>1525.9916542856361</v>
      </c>
      <c r="I102">
        <f t="shared" si="34"/>
        <v>1523.2091847472636</v>
      </c>
      <c r="J102">
        <f t="shared" si="34"/>
        <v>1520.4317887207358</v>
      </c>
      <c r="K102">
        <f t="shared" si="34"/>
        <v>1517.6594569550887</v>
      </c>
      <c r="L102">
        <f t="shared" si="34"/>
        <v>1514.8921802162281</v>
      </c>
      <c r="M102">
        <f t="shared" si="34"/>
        <v>1512.1299492868964</v>
      </c>
      <c r="N102">
        <f t="shared" si="34"/>
        <v>1509.3727549666426</v>
      </c>
      <c r="O102">
        <f t="shared" si="34"/>
        <v>1506.6205880717914</v>
      </c>
      <c r="P102">
        <f t="shared" si="34"/>
        <v>1503.8734394354142</v>
      </c>
      <c r="Q102">
        <f t="shared" si="34"/>
        <v>1501.1312999072954</v>
      </c>
      <c r="R102">
        <f t="shared" si="34"/>
        <v>1498.3941603539049</v>
      </c>
      <c r="S102">
        <f t="shared" si="34"/>
        <v>1495.6620116583661</v>
      </c>
      <c r="T102">
        <f t="shared" si="34"/>
        <v>1492.9348447204263</v>
      </c>
      <c r="U102">
        <f t="shared" si="34"/>
        <v>1490.212650456426</v>
      </c>
      <c r="V102">
        <f t="shared" si="34"/>
        <v>1487.4954197992681</v>
      </c>
      <c r="W102">
        <f t="shared" si="34"/>
        <v>1484.7831436983895</v>
      </c>
      <c r="X102">
        <f t="shared" si="34"/>
        <v>1482.0758131197267</v>
      </c>
      <c r="Y102">
        <f t="shared" si="34"/>
        <v>1479.3734190456948</v>
      </c>
    </row>
    <row r="103" spans="3:26" ht="15" x14ac:dyDescent="0.25">
      <c r="C103" s="985"/>
      <c r="D103" s="766" t="s">
        <v>358</v>
      </c>
      <c r="E103" s="767" t="s">
        <v>361</v>
      </c>
      <c r="F103">
        <f>F91*$F$79/60</f>
        <v>1125.8186540668969</v>
      </c>
      <c r="G103">
        <f t="shared" ref="G103:Y103" si="35">G91*$F$79/60</f>
        <v>1121.8628974690396</v>
      </c>
      <c r="H103">
        <f t="shared" si="35"/>
        <v>1117.9210400992729</v>
      </c>
      <c r="I103">
        <f t="shared" si="35"/>
        <v>1113.9930331202788</v>
      </c>
      <c r="J103">
        <f t="shared" si="35"/>
        <v>1110.0788278663385</v>
      </c>
      <c r="K103">
        <f t="shared" si="35"/>
        <v>1106.1783758427277</v>
      </c>
      <c r="L103">
        <f t="shared" si="35"/>
        <v>1102.2916287251171</v>
      </c>
      <c r="M103">
        <f t="shared" si="35"/>
        <v>1098.4185383589725</v>
      </c>
      <c r="N103">
        <f t="shared" si="35"/>
        <v>1094.55905675896</v>
      </c>
      <c r="O103">
        <f t="shared" si="35"/>
        <v>1090.7131361083491</v>
      </c>
      <c r="P103">
        <f t="shared" si="35"/>
        <v>1086.8807287584227</v>
      </c>
      <c r="Q103">
        <f t="shared" si="35"/>
        <v>1083.0617872278849</v>
      </c>
      <c r="R103">
        <f t="shared" si="35"/>
        <v>1079.256264202274</v>
      </c>
      <c r="S103">
        <f t="shared" si="35"/>
        <v>1075.4641125333753</v>
      </c>
      <c r="T103">
        <f t="shared" si="35"/>
        <v>1071.6852852386378</v>
      </c>
      <c r="U103">
        <f t="shared" si="35"/>
        <v>1067.9197355005915</v>
      </c>
      <c r="V103">
        <f t="shared" si="35"/>
        <v>1064.1674166662674</v>
      </c>
      <c r="W103">
        <f t="shared" si="35"/>
        <v>1060.4282822466203</v>
      </c>
      <c r="X103">
        <f t="shared" si="35"/>
        <v>1056.7022859159522</v>
      </c>
      <c r="Y103">
        <f t="shared" si="35"/>
        <v>1052.9893815113369</v>
      </c>
    </row>
    <row r="105" spans="3:26" ht="15" x14ac:dyDescent="0.25">
      <c r="E105" s="768" t="s">
        <v>365</v>
      </c>
      <c r="F105" s="733">
        <f>SUM(F102,F100,F97,F95)</f>
        <v>5131.7483618478755</v>
      </c>
      <c r="G105" s="733">
        <f t="shared" ref="G105:Y106" si="36">SUM(G102,G100,G97,G95)</f>
        <v>5123.0055549143999</v>
      </c>
      <c r="H105" s="733">
        <f t="shared" si="36"/>
        <v>5114.2832048897681</v>
      </c>
      <c r="I105" s="733">
        <f t="shared" si="36"/>
        <v>5105.5812614967726</v>
      </c>
      <c r="J105" s="733">
        <f t="shared" si="36"/>
        <v>5096.8996745849181</v>
      </c>
      <c r="K105" s="733">
        <f t="shared" si="36"/>
        <v>5088.2383941300895</v>
      </c>
      <c r="L105" s="733">
        <f t="shared" si="36"/>
        <v>5079.5973702342344</v>
      </c>
      <c r="M105" s="733">
        <f t="shared" si="36"/>
        <v>5070.9765531250368</v>
      </c>
      <c r="N105" s="733">
        <f t="shared" si="36"/>
        <v>5062.375893155594</v>
      </c>
      <c r="O105" s="733">
        <f t="shared" si="36"/>
        <v>5053.795340804093</v>
      </c>
      <c r="P105" s="733">
        <f t="shared" si="36"/>
        <v>5045.2348466734929</v>
      </c>
      <c r="Q105" s="733">
        <f t="shared" si="36"/>
        <v>5036.6943614912007</v>
      </c>
      <c r="R105" s="733">
        <f t="shared" si="36"/>
        <v>5028.1738361087519</v>
      </c>
      <c r="S105" s="733">
        <f t="shared" si="36"/>
        <v>5019.6732215014954</v>
      </c>
      <c r="T105" s="733">
        <f t="shared" si="36"/>
        <v>5011.1924687682713</v>
      </c>
      <c r="U105" s="733">
        <f t="shared" si="36"/>
        <v>5002.731529131097</v>
      </c>
      <c r="V105" s="733">
        <f t="shared" si="36"/>
        <v>4994.2903539348463</v>
      </c>
      <c r="W105" s="733">
        <f t="shared" si="36"/>
        <v>4985.8688946469429</v>
      </c>
      <c r="X105" s="733">
        <f t="shared" si="36"/>
        <v>4977.4671028570292</v>
      </c>
      <c r="Y105" s="733">
        <f t="shared" si="36"/>
        <v>4969.0849302766783</v>
      </c>
      <c r="Z105" s="733"/>
    </row>
    <row r="106" spans="3:26" ht="15" x14ac:dyDescent="0.25">
      <c r="E106" s="768" t="s">
        <v>366</v>
      </c>
      <c r="F106" s="733">
        <f>SUM(F103,F101,F98,F96)</f>
        <v>3871.5647402442123</v>
      </c>
      <c r="G106" s="733">
        <f t="shared" si="36"/>
        <v>3871.2505012933316</v>
      </c>
      <c r="H106" s="733">
        <f t="shared" si="36"/>
        <v>3870.9574241687797</v>
      </c>
      <c r="I106" s="733">
        <f t="shared" si="36"/>
        <v>3870.6854777205699</v>
      </c>
      <c r="J106" s="733">
        <f t="shared" si="36"/>
        <v>3870.434631016496</v>
      </c>
      <c r="K106" s="733">
        <f t="shared" si="36"/>
        <v>3870.2048533416523</v>
      </c>
      <c r="L106" s="733">
        <f t="shared" si="36"/>
        <v>3869.9961141979602</v>
      </c>
      <c r="M106" s="733">
        <f t="shared" si="36"/>
        <v>3869.8083833036885</v>
      </c>
      <c r="N106" s="733">
        <f t="shared" si="36"/>
        <v>3869.6416305929865</v>
      </c>
      <c r="O106" s="733">
        <f t="shared" si="36"/>
        <v>3869.4958262154082</v>
      </c>
      <c r="P106" s="733">
        <f t="shared" si="36"/>
        <v>3869.3709405354516</v>
      </c>
      <c r="Q106" s="733">
        <f t="shared" si="36"/>
        <v>3869.2669441320845</v>
      </c>
      <c r="R106" s="733">
        <f t="shared" si="36"/>
        <v>3869.183807798292</v>
      </c>
      <c r="S106" s="733">
        <f t="shared" si="36"/>
        <v>3869.1215025406091</v>
      </c>
      <c r="T106" s="733">
        <f t="shared" si="36"/>
        <v>3869.0799995786656</v>
      </c>
      <c r="U106" s="733">
        <f t="shared" si="36"/>
        <v>3869.0592703447292</v>
      </c>
      <c r="V106" s="733">
        <f t="shared" si="36"/>
        <v>3869.0592864832552</v>
      </c>
      <c r="W106" s="733">
        <f t="shared" si="36"/>
        <v>3869.0800198504312</v>
      </c>
      <c r="X106" s="733">
        <f t="shared" si="36"/>
        <v>3869.1214425137341</v>
      </c>
      <c r="Y106" s="733">
        <f t="shared" si="36"/>
        <v>3869.1835267514798</v>
      </c>
      <c r="Z106" s="733"/>
    </row>
    <row r="111" spans="3:26" x14ac:dyDescent="0.2">
      <c r="F111" s="260"/>
      <c r="X111" s="769"/>
    </row>
    <row r="112" spans="3:26" x14ac:dyDescent="0.2">
      <c r="F112" s="260"/>
    </row>
    <row r="113" spans="6:6" x14ac:dyDescent="0.2">
      <c r="F113" s="260"/>
    </row>
    <row r="114" spans="6:6" x14ac:dyDescent="0.2">
      <c r="F114" s="260"/>
    </row>
    <row r="116" spans="6:6" x14ac:dyDescent="0.2">
      <c r="F116" s="260"/>
    </row>
    <row r="117" spans="6:6" x14ac:dyDescent="0.2">
      <c r="F117" s="260"/>
    </row>
    <row r="118" spans="6:6" x14ac:dyDescent="0.2">
      <c r="F118" s="260"/>
    </row>
    <row r="119" spans="6:6" x14ac:dyDescent="0.2">
      <c r="F119" s="260"/>
    </row>
    <row r="121" spans="6:6" x14ac:dyDescent="0.2">
      <c r="F121" s="260"/>
    </row>
  </sheetData>
  <mergeCells count="17">
    <mergeCell ref="AB3:AJ3"/>
    <mergeCell ref="F3:I3"/>
    <mergeCell ref="F16:I16"/>
    <mergeCell ref="C18:C21"/>
    <mergeCell ref="C23:C26"/>
    <mergeCell ref="C100:C103"/>
    <mergeCell ref="B14:B15"/>
    <mergeCell ref="F45:I45"/>
    <mergeCell ref="B56:E56"/>
    <mergeCell ref="B57:E57"/>
    <mergeCell ref="D62:F62"/>
    <mergeCell ref="E72:J74"/>
    <mergeCell ref="F81:I81"/>
    <mergeCell ref="C95:C98"/>
    <mergeCell ref="F54:I54"/>
    <mergeCell ref="F40:K40"/>
    <mergeCell ref="F31:I3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66"/>
  <sheetViews>
    <sheetView zoomScale="85" zoomScaleNormal="85" workbookViewId="0">
      <selection activeCell="H11" sqref="H11:I12"/>
    </sheetView>
  </sheetViews>
  <sheetFormatPr defaultRowHeight="12.75" x14ac:dyDescent="0.2"/>
  <cols>
    <col min="2" max="2" width="10.85546875" bestFit="1" customWidth="1"/>
    <col min="3" max="3" width="18.85546875" bestFit="1" customWidth="1"/>
    <col min="16" max="16" width="28.140625" customWidth="1"/>
  </cols>
  <sheetData>
    <row r="2" spans="1:26" ht="13.5" thickBot="1" x14ac:dyDescent="0.25"/>
    <row r="3" spans="1:26" ht="15.75" thickBot="1" x14ac:dyDescent="0.3">
      <c r="D3" s="1008">
        <v>2027</v>
      </c>
      <c r="E3" s="1012"/>
      <c r="F3" s="1012"/>
      <c r="G3" s="1012"/>
      <c r="H3" s="1012"/>
      <c r="I3" s="1010"/>
      <c r="J3" s="1008">
        <v>2045</v>
      </c>
      <c r="K3" s="1012"/>
      <c r="L3" s="1012"/>
      <c r="M3" s="1012"/>
      <c r="N3" s="1012"/>
      <c r="O3" s="1010"/>
      <c r="Q3" s="1007" t="s">
        <v>429</v>
      </c>
      <c r="R3" s="1007"/>
    </row>
    <row r="4" spans="1:26" ht="15.75" customHeight="1" thickBot="1" x14ac:dyDescent="0.3">
      <c r="D4" s="1008" t="s">
        <v>430</v>
      </c>
      <c r="E4" s="1009"/>
      <c r="F4" s="1008" t="s">
        <v>431</v>
      </c>
      <c r="G4" s="1010"/>
      <c r="H4" s="1011" t="s">
        <v>432</v>
      </c>
      <c r="I4" s="1009"/>
      <c r="J4" s="1008" t="s">
        <v>430</v>
      </c>
      <c r="K4" s="1010"/>
      <c r="L4" s="1008" t="s">
        <v>431</v>
      </c>
      <c r="M4" s="1010"/>
      <c r="N4" s="1008" t="s">
        <v>432</v>
      </c>
      <c r="O4" s="1010"/>
      <c r="Q4" s="1007"/>
      <c r="R4" s="1007"/>
    </row>
    <row r="5" spans="1:26" ht="30" customHeight="1" x14ac:dyDescent="0.2">
      <c r="B5" s="1013" t="s">
        <v>433</v>
      </c>
      <c r="C5" s="1015" t="s">
        <v>434</v>
      </c>
      <c r="D5" s="820" t="s">
        <v>435</v>
      </c>
      <c r="E5" s="821" t="s">
        <v>436</v>
      </c>
      <c r="F5" s="820" t="s">
        <v>435</v>
      </c>
      <c r="G5" s="821" t="s">
        <v>436</v>
      </c>
      <c r="H5" s="820" t="s">
        <v>435</v>
      </c>
      <c r="I5" s="821" t="s">
        <v>436</v>
      </c>
      <c r="J5" s="820" t="s">
        <v>435</v>
      </c>
      <c r="K5" s="821" t="s">
        <v>436</v>
      </c>
      <c r="L5" s="820" t="s">
        <v>435</v>
      </c>
      <c r="M5" s="821" t="s">
        <v>436</v>
      </c>
      <c r="N5" s="820" t="s">
        <v>435</v>
      </c>
      <c r="O5" s="821" t="s">
        <v>436</v>
      </c>
      <c r="Q5" s="1007"/>
      <c r="R5" s="1007"/>
    </row>
    <row r="6" spans="1:26" ht="13.5" thickBot="1" x14ac:dyDescent="0.25">
      <c r="B6" s="1014"/>
      <c r="C6" s="1016"/>
      <c r="D6" s="822" t="s">
        <v>437</v>
      </c>
      <c r="E6" s="823" t="s">
        <v>438</v>
      </c>
      <c r="F6" s="822" t="s">
        <v>437</v>
      </c>
      <c r="G6" s="823" t="s">
        <v>438</v>
      </c>
      <c r="H6" s="822" t="s">
        <v>437</v>
      </c>
      <c r="I6" s="823" t="s">
        <v>438</v>
      </c>
      <c r="J6" s="822" t="s">
        <v>437</v>
      </c>
      <c r="K6" s="823" t="s">
        <v>438</v>
      </c>
      <c r="L6" s="822" t="s">
        <v>437</v>
      </c>
      <c r="M6" s="823" t="s">
        <v>438</v>
      </c>
      <c r="N6" s="822" t="s">
        <v>437</v>
      </c>
      <c r="O6" s="823" t="s">
        <v>438</v>
      </c>
      <c r="Q6" s="386" t="s">
        <v>363</v>
      </c>
      <c r="R6" s="386" t="s">
        <v>364</v>
      </c>
    </row>
    <row r="7" spans="1:26" ht="15" x14ac:dyDescent="0.25">
      <c r="A7" s="824" t="s">
        <v>356</v>
      </c>
      <c r="B7" s="825" t="s">
        <v>439</v>
      </c>
      <c r="C7" s="826" t="s">
        <v>440</v>
      </c>
      <c r="D7" s="827">
        <v>8.66</v>
      </c>
      <c r="E7" s="828">
        <v>8.89</v>
      </c>
      <c r="F7" s="827">
        <v>12.86</v>
      </c>
      <c r="G7" s="828">
        <v>14.36</v>
      </c>
      <c r="H7" s="827">
        <f>D7-F7</f>
        <v>-4.1999999999999993</v>
      </c>
      <c r="I7" s="828">
        <f>E7-G7</f>
        <v>-5.4699999999999989</v>
      </c>
      <c r="J7" s="827">
        <v>8.44</v>
      </c>
      <c r="K7" s="828">
        <v>10.119999999999999</v>
      </c>
      <c r="L7" s="827">
        <v>12.68</v>
      </c>
      <c r="M7" s="828">
        <v>15.24</v>
      </c>
      <c r="N7" s="827">
        <f>J7-L7</f>
        <v>-4.24</v>
      </c>
      <c r="O7" s="828">
        <f>K7-M7</f>
        <v>-5.120000000000001</v>
      </c>
      <c r="P7" s="1017" t="s">
        <v>441</v>
      </c>
      <c r="Q7" s="862">
        <f t="shared" ref="Q7:R12" si="0">((N7/H7)^(1/(2045-2027))-1)</f>
        <v>5.2673556284510425E-4</v>
      </c>
      <c r="R7" s="862">
        <f t="shared" si="0"/>
        <v>-3.6668261236550981E-3</v>
      </c>
      <c r="U7" t="s">
        <v>488</v>
      </c>
    </row>
    <row r="8" spans="1:26" ht="15" x14ac:dyDescent="0.25">
      <c r="A8" s="824" t="s">
        <v>358</v>
      </c>
      <c r="B8" s="829" t="s">
        <v>440</v>
      </c>
      <c r="C8" s="830" t="s">
        <v>439</v>
      </c>
      <c r="D8" s="827">
        <v>7.97</v>
      </c>
      <c r="E8" s="828">
        <v>7.97</v>
      </c>
      <c r="F8" s="827">
        <v>8.85</v>
      </c>
      <c r="G8" s="828">
        <v>8.9600000000000009</v>
      </c>
      <c r="H8" s="827">
        <f t="shared" ref="H8:I12" si="1">D8-F8</f>
        <v>-0.87999999999999989</v>
      </c>
      <c r="I8" s="828">
        <f t="shared" si="1"/>
        <v>-0.9900000000000011</v>
      </c>
      <c r="J8" s="827">
        <v>7.97</v>
      </c>
      <c r="K8" s="828">
        <v>8</v>
      </c>
      <c r="L8" s="827">
        <v>11.68</v>
      </c>
      <c r="M8" s="828">
        <v>11.61</v>
      </c>
      <c r="N8" s="827">
        <f t="shared" ref="N8:O12" si="2">J8-L8</f>
        <v>-3.71</v>
      </c>
      <c r="O8" s="828">
        <f t="shared" si="2"/>
        <v>-3.6099999999999994</v>
      </c>
      <c r="P8" s="1017"/>
      <c r="Q8" s="862">
        <f t="shared" si="0"/>
        <v>8.3218777492735541E-2</v>
      </c>
      <c r="R8" s="862">
        <f t="shared" si="0"/>
        <v>7.4521504565170815E-2</v>
      </c>
      <c r="U8">
        <v>2027</v>
      </c>
      <c r="W8">
        <v>2045</v>
      </c>
    </row>
    <row r="9" spans="1:26" ht="15" x14ac:dyDescent="0.25">
      <c r="A9" s="824" t="s">
        <v>356</v>
      </c>
      <c r="B9" s="831" t="s">
        <v>442</v>
      </c>
      <c r="C9" s="832" t="s">
        <v>440</v>
      </c>
      <c r="D9" s="833">
        <v>10.51</v>
      </c>
      <c r="E9" s="834">
        <v>10.81</v>
      </c>
      <c r="F9" s="833">
        <v>14.73</v>
      </c>
      <c r="G9" s="834">
        <v>19.190000000000001</v>
      </c>
      <c r="H9" s="833">
        <f t="shared" si="1"/>
        <v>-4.2200000000000006</v>
      </c>
      <c r="I9" s="834">
        <f t="shared" si="1"/>
        <v>-8.3800000000000008</v>
      </c>
      <c r="J9" s="833">
        <v>10.29</v>
      </c>
      <c r="K9" s="834">
        <v>12.35</v>
      </c>
      <c r="L9" s="833">
        <v>14.55</v>
      </c>
      <c r="M9" s="834">
        <v>26.87</v>
      </c>
      <c r="N9" s="833">
        <f t="shared" si="2"/>
        <v>-4.2600000000000016</v>
      </c>
      <c r="O9" s="834">
        <f t="shared" si="2"/>
        <v>-14.520000000000001</v>
      </c>
      <c r="P9" s="1018" t="s">
        <v>443</v>
      </c>
      <c r="Q9" s="862">
        <f t="shared" si="0"/>
        <v>5.2425027301850058E-4</v>
      </c>
      <c r="R9" s="862">
        <f t="shared" si="0"/>
        <v>3.1008786693464074E-2</v>
      </c>
      <c r="U9" s="851">
        <f>(H9-H7)/H9</f>
        <v>4.7393364928913148E-3</v>
      </c>
      <c r="V9" s="851">
        <f>(I9-I7)/I9</f>
        <v>0.34725536992840117</v>
      </c>
      <c r="W9" s="851">
        <f>(N9-N7)/N9</f>
        <v>4.6948356807514887E-3</v>
      </c>
      <c r="X9" s="851">
        <f>(O9-O7)/O9</f>
        <v>0.64738292011019283</v>
      </c>
      <c r="Y9">
        <f>(W9-U9)/20</f>
        <v>-2.2250406069913072E-6</v>
      </c>
      <c r="Z9">
        <f>(X9-V9)/20</f>
        <v>1.5006377509089583E-2</v>
      </c>
    </row>
    <row r="10" spans="1:26" ht="15" x14ac:dyDescent="0.25">
      <c r="A10" s="824" t="s">
        <v>358</v>
      </c>
      <c r="B10" s="831" t="s">
        <v>444</v>
      </c>
      <c r="C10" s="832" t="s">
        <v>445</v>
      </c>
      <c r="D10" s="833">
        <v>18.649999999999999</v>
      </c>
      <c r="E10" s="834">
        <v>16.190000000000001</v>
      </c>
      <c r="F10" s="833">
        <v>25.41</v>
      </c>
      <c r="G10" s="834">
        <v>17.16</v>
      </c>
      <c r="H10" s="833">
        <f t="shared" si="1"/>
        <v>-6.7600000000000016</v>
      </c>
      <c r="I10" s="834">
        <f t="shared" si="1"/>
        <v>-0.96999999999999886</v>
      </c>
      <c r="J10" s="833">
        <v>21.67</v>
      </c>
      <c r="K10" s="834">
        <v>16.670000000000002</v>
      </c>
      <c r="L10" s="833">
        <v>26.65</v>
      </c>
      <c r="M10" s="834">
        <v>20.67</v>
      </c>
      <c r="N10" s="833">
        <f t="shared" si="2"/>
        <v>-4.9799999999999969</v>
      </c>
      <c r="O10" s="834">
        <f t="shared" si="2"/>
        <v>-4</v>
      </c>
      <c r="P10" s="1018"/>
      <c r="Q10" s="862">
        <f t="shared" si="0"/>
        <v>-1.6834085089054707E-2</v>
      </c>
      <c r="R10" s="862">
        <f t="shared" si="0"/>
        <v>8.1888939660577531E-2</v>
      </c>
      <c r="U10" s="851">
        <f>(H10-H8)/H10</f>
        <v>0.86982248520710059</v>
      </c>
      <c r="V10" s="851">
        <f>(I10-I8)/I10</f>
        <v>-2.0618556701033259E-2</v>
      </c>
      <c r="W10" s="851">
        <f>(N10-N8)/N10</f>
        <v>0.2550200803212847</v>
      </c>
      <c r="X10" s="851">
        <f>(O10-O8)/O10</f>
        <v>9.7500000000000142E-2</v>
      </c>
      <c r="Y10">
        <f>(W10-U10)/20</f>
        <v>-3.0740120244290792E-2</v>
      </c>
      <c r="Z10">
        <f>(X10-V10)/20</f>
        <v>5.9059278350516702E-3</v>
      </c>
    </row>
    <row r="11" spans="1:26" ht="15" x14ac:dyDescent="0.25">
      <c r="A11" s="824" t="s">
        <v>356</v>
      </c>
      <c r="B11" s="829" t="s">
        <v>446</v>
      </c>
      <c r="C11" s="830" t="s">
        <v>444</v>
      </c>
      <c r="D11" s="827">
        <v>18.52</v>
      </c>
      <c r="E11" s="828">
        <v>19.16</v>
      </c>
      <c r="F11" s="827">
        <v>22.75</v>
      </c>
      <c r="G11" s="828">
        <v>27.3</v>
      </c>
      <c r="H11" s="827">
        <f t="shared" si="1"/>
        <v>-4.2300000000000004</v>
      </c>
      <c r="I11" s="828">
        <f t="shared" si="1"/>
        <v>-8.14</v>
      </c>
      <c r="J11" s="827">
        <v>18.22</v>
      </c>
      <c r="K11" s="828">
        <v>20.34</v>
      </c>
      <c r="L11" s="827">
        <v>22.5</v>
      </c>
      <c r="M11" s="828">
        <v>34.869999999999997</v>
      </c>
      <c r="N11" s="827">
        <f t="shared" si="2"/>
        <v>-4.2800000000000011</v>
      </c>
      <c r="O11" s="828">
        <f t="shared" si="2"/>
        <v>-14.529999999999998</v>
      </c>
      <c r="P11" s="1019" t="s">
        <v>447</v>
      </c>
      <c r="Q11" s="862">
        <f t="shared" si="0"/>
        <v>6.5304739463334371E-4</v>
      </c>
      <c r="R11" s="862">
        <f t="shared" si="0"/>
        <v>3.2714006206558954E-2</v>
      </c>
    </row>
    <row r="12" spans="1:26" ht="15.75" thickBot="1" x14ac:dyDescent="0.3">
      <c r="A12" s="824" t="s">
        <v>358</v>
      </c>
      <c r="B12" s="835" t="s">
        <v>444</v>
      </c>
      <c r="C12" s="836" t="s">
        <v>446</v>
      </c>
      <c r="D12" s="837">
        <v>23.53</v>
      </c>
      <c r="E12" s="838">
        <v>21.77</v>
      </c>
      <c r="F12" s="837">
        <v>30.3</v>
      </c>
      <c r="G12" s="838">
        <v>23.18</v>
      </c>
      <c r="H12" s="837">
        <f t="shared" si="1"/>
        <v>-6.77</v>
      </c>
      <c r="I12" s="838">
        <f t="shared" si="1"/>
        <v>-1.4100000000000001</v>
      </c>
      <c r="J12" s="837">
        <v>26.57</v>
      </c>
      <c r="K12" s="838">
        <v>21.66</v>
      </c>
      <c r="L12" s="837">
        <v>31.57</v>
      </c>
      <c r="M12" s="838">
        <v>25.63</v>
      </c>
      <c r="N12" s="837">
        <f t="shared" si="2"/>
        <v>-5</v>
      </c>
      <c r="O12" s="838">
        <f t="shared" si="2"/>
        <v>-3.9699999999999989</v>
      </c>
      <c r="P12" s="1019"/>
      <c r="Q12" s="862">
        <f t="shared" si="0"/>
        <v>-1.6695895531252947E-2</v>
      </c>
      <c r="R12" s="862">
        <f t="shared" si="0"/>
        <v>5.9195650150988932E-2</v>
      </c>
    </row>
    <row r="19" spans="3:9" ht="13.5" thickBot="1" x14ac:dyDescent="0.25"/>
    <row r="20" spans="3:9" ht="39" thickBot="1" x14ac:dyDescent="0.25">
      <c r="C20" s="839" t="s">
        <v>448</v>
      </c>
      <c r="D20" s="839" t="s">
        <v>449</v>
      </c>
      <c r="E20" s="839" t="s">
        <v>450</v>
      </c>
      <c r="F20" s="839" t="s">
        <v>451</v>
      </c>
      <c r="G20" s="839" t="s">
        <v>99</v>
      </c>
      <c r="H20" s="840" t="s">
        <v>452</v>
      </c>
    </row>
    <row r="21" spans="3:9" ht="15.75" thickBot="1" x14ac:dyDescent="0.25">
      <c r="C21" s="841" t="s">
        <v>453</v>
      </c>
      <c r="D21" s="841" t="s">
        <v>454</v>
      </c>
      <c r="E21" s="842">
        <v>44900</v>
      </c>
      <c r="F21" s="842">
        <v>5700</v>
      </c>
      <c r="G21" s="842">
        <v>50600</v>
      </c>
      <c r="H21" s="843">
        <v>0.11</v>
      </c>
      <c r="I21" t="s">
        <v>455</v>
      </c>
    </row>
    <row r="22" spans="3:9" ht="15.75" thickBot="1" x14ac:dyDescent="0.25">
      <c r="C22" s="841" t="s">
        <v>456</v>
      </c>
      <c r="D22" s="841" t="s">
        <v>457</v>
      </c>
      <c r="E22" s="842">
        <v>40150</v>
      </c>
      <c r="F22" s="842">
        <v>8470</v>
      </c>
      <c r="G22" s="842">
        <v>48620</v>
      </c>
      <c r="H22" s="843">
        <v>0.17</v>
      </c>
      <c r="I22" t="s">
        <v>455</v>
      </c>
    </row>
    <row r="23" spans="3:9" ht="30.75" thickBot="1" x14ac:dyDescent="0.25">
      <c r="C23" s="844" t="s">
        <v>458</v>
      </c>
      <c r="D23" s="844" t="s">
        <v>459</v>
      </c>
      <c r="E23" s="845">
        <v>25310</v>
      </c>
      <c r="F23" s="845">
        <v>1890</v>
      </c>
      <c r="G23" s="845">
        <v>27200</v>
      </c>
      <c r="H23" s="846">
        <v>7.0000000000000007E-2</v>
      </c>
    </row>
    <row r="24" spans="3:9" ht="30.75" thickBot="1" x14ac:dyDescent="0.25">
      <c r="C24" s="844" t="s">
        <v>460</v>
      </c>
      <c r="D24" s="844" t="s">
        <v>461</v>
      </c>
      <c r="E24" s="845">
        <v>19600</v>
      </c>
      <c r="F24" s="845">
        <v>3800</v>
      </c>
      <c r="G24" s="845">
        <v>23400</v>
      </c>
      <c r="H24" s="846">
        <v>0.16</v>
      </c>
    </row>
    <row r="25" spans="3:9" ht="30.75" thickBot="1" x14ac:dyDescent="0.25">
      <c r="C25" s="844" t="s">
        <v>462</v>
      </c>
      <c r="D25" s="844" t="s">
        <v>463</v>
      </c>
      <c r="E25" s="845">
        <v>15880</v>
      </c>
      <c r="F25" s="845">
        <v>6680</v>
      </c>
      <c r="G25" s="845">
        <v>22560</v>
      </c>
      <c r="H25" s="846">
        <v>0.3</v>
      </c>
    </row>
    <row r="26" spans="3:9" ht="30.75" thickBot="1" x14ac:dyDescent="0.25">
      <c r="C26" s="844" t="s">
        <v>464</v>
      </c>
      <c r="D26" s="844" t="s">
        <v>465</v>
      </c>
      <c r="E26" s="845">
        <v>24250</v>
      </c>
      <c r="F26" s="845">
        <v>1800</v>
      </c>
      <c r="G26" s="845">
        <v>26050</v>
      </c>
      <c r="H26" s="846">
        <v>7.0000000000000007E-2</v>
      </c>
    </row>
    <row r="28" spans="3:9" ht="14.25" x14ac:dyDescent="0.2">
      <c r="C28" s="847" t="s">
        <v>466</v>
      </c>
    </row>
    <row r="29" spans="3:9" ht="14.25" x14ac:dyDescent="0.2">
      <c r="C29" s="848" t="s">
        <v>467</v>
      </c>
      <c r="D29" s="848" t="s">
        <v>468</v>
      </c>
    </row>
    <row r="30" spans="3:9" ht="14.25" x14ac:dyDescent="0.2">
      <c r="D30" s="848" t="s">
        <v>469</v>
      </c>
    </row>
    <row r="35" spans="3:6" x14ac:dyDescent="0.2">
      <c r="C35" t="s">
        <v>470</v>
      </c>
    </row>
    <row r="36" spans="3:6" x14ac:dyDescent="0.2">
      <c r="C36" s="849" t="s">
        <v>471</v>
      </c>
    </row>
    <row r="37" spans="3:6" x14ac:dyDescent="0.2">
      <c r="C37" s="849" t="s">
        <v>472</v>
      </c>
      <c r="D37" s="850">
        <v>16.2</v>
      </c>
      <c r="E37" s="851"/>
    </row>
    <row r="38" spans="3:6" x14ac:dyDescent="0.2">
      <c r="C38" s="849" t="s">
        <v>473</v>
      </c>
      <c r="D38" s="850">
        <v>29.4</v>
      </c>
      <c r="E38" s="851"/>
    </row>
    <row r="39" spans="3:6" x14ac:dyDescent="0.2">
      <c r="C39" s="849" t="s">
        <v>474</v>
      </c>
      <c r="D39" s="850">
        <v>17.8</v>
      </c>
      <c r="E39">
        <v>1.67</v>
      </c>
      <c r="F39" t="s">
        <v>475</v>
      </c>
    </row>
    <row r="40" spans="3:6" x14ac:dyDescent="0.2">
      <c r="C40" s="849" t="s">
        <v>476</v>
      </c>
      <c r="D40" s="850">
        <v>32.4</v>
      </c>
    </row>
    <row r="41" spans="3:6" x14ac:dyDescent="0.2">
      <c r="C41" s="849" t="s">
        <v>477</v>
      </c>
      <c r="D41" s="850"/>
    </row>
    <row r="42" spans="3:6" x14ac:dyDescent="0.2">
      <c r="C42" s="849" t="s">
        <v>478</v>
      </c>
      <c r="D42" s="850">
        <v>32</v>
      </c>
      <c r="E42">
        <v>1</v>
      </c>
    </row>
    <row r="43" spans="3:6" x14ac:dyDescent="0.2">
      <c r="C43" s="849" t="s">
        <v>479</v>
      </c>
      <c r="D43" s="850">
        <v>33.6</v>
      </c>
    </row>
    <row r="44" spans="3:6" x14ac:dyDescent="0.2">
      <c r="C44" s="849" t="s">
        <v>480</v>
      </c>
      <c r="D44" s="850">
        <v>50.7</v>
      </c>
    </row>
    <row r="45" spans="3:6" x14ac:dyDescent="0.2">
      <c r="C45" s="849" t="s">
        <v>481</v>
      </c>
      <c r="D45" s="850">
        <v>52.2</v>
      </c>
    </row>
    <row r="48" spans="3:6" ht="15" x14ac:dyDescent="0.25">
      <c r="C48" s="372">
        <v>0.54200000000000004</v>
      </c>
      <c r="D48" s="370"/>
      <c r="E48" s="22"/>
    </row>
    <row r="49" spans="3:7" x14ac:dyDescent="0.2">
      <c r="C49" s="370" t="s">
        <v>63</v>
      </c>
      <c r="D49" s="370"/>
      <c r="E49" s="518" t="s">
        <v>226</v>
      </c>
    </row>
    <row r="56" spans="3:7" ht="14.25" thickBot="1" x14ac:dyDescent="0.25">
      <c r="C56" s="863" t="s">
        <v>490</v>
      </c>
      <c r="D56" s="863" t="s">
        <v>491</v>
      </c>
    </row>
    <row r="57" spans="3:7" ht="39" thickBot="1" x14ac:dyDescent="0.25">
      <c r="C57" s="839" t="s">
        <v>27</v>
      </c>
      <c r="D57" s="839" t="s">
        <v>94</v>
      </c>
      <c r="E57" s="839" t="s">
        <v>492</v>
      </c>
      <c r="F57" s="839" t="s">
        <v>493</v>
      </c>
      <c r="G57" s="840" t="s">
        <v>99</v>
      </c>
    </row>
    <row r="58" spans="3:7" ht="15.75" thickBot="1" x14ac:dyDescent="0.25">
      <c r="C58" s="864" t="s">
        <v>494</v>
      </c>
      <c r="D58" s="864">
        <v>2</v>
      </c>
      <c r="E58" s="864">
        <v>892</v>
      </c>
      <c r="F58" s="864">
        <v>853</v>
      </c>
      <c r="G58" s="865">
        <v>1747</v>
      </c>
    </row>
    <row r="59" spans="3:7" ht="15.75" thickBot="1" x14ac:dyDescent="0.25">
      <c r="C59" s="864" t="s">
        <v>495</v>
      </c>
      <c r="D59" s="864">
        <v>1</v>
      </c>
      <c r="E59" s="864">
        <v>124</v>
      </c>
      <c r="F59" s="864">
        <v>81</v>
      </c>
      <c r="G59" s="866">
        <v>206</v>
      </c>
    </row>
    <row r="60" spans="3:7" ht="15.75" thickBot="1" x14ac:dyDescent="0.25">
      <c r="C60" s="864" t="s">
        <v>496</v>
      </c>
      <c r="D60" s="864">
        <v>0</v>
      </c>
      <c r="E60" s="864">
        <v>154</v>
      </c>
      <c r="F60" s="864">
        <v>125</v>
      </c>
      <c r="G60" s="866">
        <v>279</v>
      </c>
    </row>
    <row r="61" spans="3:7" ht="15.75" thickBot="1" x14ac:dyDescent="0.25">
      <c r="C61" s="864" t="s">
        <v>497</v>
      </c>
      <c r="D61" s="864">
        <v>5</v>
      </c>
      <c r="E61" s="864">
        <v>605</v>
      </c>
      <c r="F61" s="864">
        <v>445</v>
      </c>
      <c r="G61" s="865">
        <v>1055</v>
      </c>
    </row>
    <row r="62" spans="3:7" ht="15.75" thickBot="1" x14ac:dyDescent="0.25">
      <c r="C62" s="864" t="s">
        <v>498</v>
      </c>
      <c r="D62" s="864">
        <v>0</v>
      </c>
      <c r="E62" s="864">
        <v>17</v>
      </c>
      <c r="F62" s="864">
        <v>28</v>
      </c>
      <c r="G62" s="866">
        <v>45</v>
      </c>
    </row>
    <row r="63" spans="3:7" ht="15.75" thickBot="1" x14ac:dyDescent="0.25">
      <c r="C63" s="864" t="s">
        <v>499</v>
      </c>
      <c r="D63" s="864">
        <v>1</v>
      </c>
      <c r="E63" s="864">
        <v>57</v>
      </c>
      <c r="F63" s="864">
        <v>52</v>
      </c>
      <c r="G63" s="866">
        <v>110</v>
      </c>
    </row>
    <row r="64" spans="3:7" ht="15.75" thickBot="1" x14ac:dyDescent="0.25">
      <c r="C64" s="864" t="s">
        <v>500</v>
      </c>
      <c r="D64" s="864">
        <v>0</v>
      </c>
      <c r="E64" s="864">
        <v>48</v>
      </c>
      <c r="F64" s="864">
        <v>50</v>
      </c>
      <c r="G64" s="866">
        <v>98</v>
      </c>
    </row>
    <row r="65" spans="3:7" ht="15.75" thickBot="1" x14ac:dyDescent="0.25">
      <c r="C65" s="867" t="s">
        <v>99</v>
      </c>
      <c r="D65" s="868">
        <v>9</v>
      </c>
      <c r="E65" s="869">
        <v>1897</v>
      </c>
      <c r="F65" s="869">
        <v>1634</v>
      </c>
      <c r="G65" s="865">
        <v>3540</v>
      </c>
    </row>
    <row r="66" spans="3:7" x14ac:dyDescent="0.2">
      <c r="C66" s="870" t="s">
        <v>501</v>
      </c>
    </row>
  </sheetData>
  <mergeCells count="14">
    <mergeCell ref="B5:B6"/>
    <mergeCell ref="C5:C6"/>
    <mergeCell ref="P7:P8"/>
    <mergeCell ref="P9:P10"/>
    <mergeCell ref="P11:P12"/>
    <mergeCell ref="Q3:R5"/>
    <mergeCell ref="D4:E4"/>
    <mergeCell ref="F4:G4"/>
    <mergeCell ref="H4:I4"/>
    <mergeCell ref="J4:K4"/>
    <mergeCell ref="L4:M4"/>
    <mergeCell ref="N4:O4"/>
    <mergeCell ref="D3:I3"/>
    <mergeCell ref="J3:O3"/>
  </mergeCells>
  <hyperlinks>
    <hyperlink ref="C66" r:id="rId1" display="https://tvc.odot.state.or.us/tvc/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9"/>
  <sheetViews>
    <sheetView topLeftCell="A4" zoomScale="85" zoomScaleNormal="85" workbookViewId="0">
      <selection activeCell="BE23" sqref="BE23"/>
    </sheetView>
  </sheetViews>
  <sheetFormatPr defaultRowHeight="12.75" x14ac:dyDescent="0.2"/>
  <cols>
    <col min="3" max="3" width="0" hidden="1" customWidth="1"/>
    <col min="4" max="4" width="13.28515625" hidden="1" customWidth="1"/>
    <col min="5" max="5" width="9.7109375" hidden="1" customWidth="1"/>
    <col min="6" max="6" width="10.5703125" hidden="1" customWidth="1"/>
    <col min="7" max="7" width="13.140625" hidden="1" customWidth="1"/>
    <col min="8" max="8" width="12.140625" hidden="1" customWidth="1"/>
    <col min="9" max="9" width="0" hidden="1" customWidth="1"/>
    <col min="10" max="10" width="7.5703125" hidden="1" customWidth="1"/>
    <col min="11" max="11" width="16.5703125" customWidth="1"/>
    <col min="12" max="12" width="4.140625" customWidth="1"/>
    <col min="13" max="13" width="0" hidden="1" customWidth="1"/>
    <col min="14" max="14" width="13.140625" hidden="1" customWidth="1"/>
    <col min="15" max="15" width="9.7109375" hidden="1" customWidth="1"/>
    <col min="16" max="16" width="9.5703125" hidden="1" customWidth="1"/>
    <col min="17" max="17" width="13.5703125" hidden="1" customWidth="1"/>
    <col min="18" max="18" width="0" hidden="1" customWidth="1"/>
    <col min="19" max="19" width="9.5703125" hidden="1" customWidth="1"/>
    <col min="20" max="20" width="7.85546875" hidden="1" customWidth="1"/>
    <col min="21" max="21" width="15.85546875" customWidth="1"/>
    <col min="22" max="22" width="10.5703125" customWidth="1"/>
    <col min="23" max="23" width="10.85546875" customWidth="1"/>
    <col min="30" max="37" width="0" hidden="1" customWidth="1"/>
    <col min="38" max="38" width="11.5703125" customWidth="1"/>
    <col min="40" max="47" width="0" hidden="1" customWidth="1"/>
    <col min="48" max="48" width="12.42578125" customWidth="1"/>
    <col min="49" max="50" width="10.85546875" customWidth="1"/>
    <col min="54" max="54" width="20.5703125" customWidth="1"/>
    <col min="55" max="55" width="23.7109375" customWidth="1"/>
    <col min="57" max="57" width="12.5703125" customWidth="1"/>
  </cols>
  <sheetData>
    <row r="1" spans="1:57" ht="18.75" x14ac:dyDescent="0.3">
      <c r="A1" s="1022" t="s">
        <v>383</v>
      </c>
      <c r="B1" s="1022"/>
      <c r="C1" s="1022"/>
      <c r="D1" s="1022"/>
      <c r="E1" s="1022"/>
      <c r="F1" s="1022"/>
      <c r="G1" s="1022"/>
      <c r="H1" s="1022"/>
      <c r="I1" s="1022"/>
      <c r="J1" s="1022"/>
      <c r="K1" s="1022"/>
      <c r="L1" s="1022"/>
      <c r="M1" s="1022"/>
      <c r="N1" s="1022"/>
      <c r="O1" s="1022"/>
      <c r="P1" s="1022"/>
      <c r="Q1" s="1022"/>
      <c r="R1" s="1022"/>
      <c r="S1" s="1022"/>
      <c r="T1" s="1022"/>
      <c r="U1" s="1022"/>
      <c r="AB1" s="1022" t="s">
        <v>384</v>
      </c>
      <c r="AC1" s="1022"/>
      <c r="AD1" s="1022"/>
      <c r="AE1" s="1022"/>
      <c r="AF1" s="1022"/>
      <c r="AG1" s="1022"/>
      <c r="AH1" s="1022"/>
      <c r="AI1" s="1022"/>
      <c r="AJ1" s="1022"/>
      <c r="AK1" s="1022"/>
      <c r="AL1" s="1022"/>
      <c r="AM1" s="1022"/>
      <c r="AN1" s="1022"/>
      <c r="AO1" s="1022"/>
      <c r="AP1" s="1022"/>
      <c r="AQ1" s="1022"/>
      <c r="AR1" s="1022"/>
      <c r="AS1" s="1022"/>
      <c r="AT1" s="1022"/>
      <c r="AU1" s="1022"/>
      <c r="AV1" s="1022"/>
      <c r="BA1" s="1022" t="s">
        <v>385</v>
      </c>
      <c r="BB1" s="1022"/>
      <c r="BC1" s="1022"/>
      <c r="BD1" s="1022"/>
    </row>
    <row r="2" spans="1:57" ht="18.75" x14ac:dyDescent="0.3">
      <c r="A2" s="1022" t="s">
        <v>386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  <c r="M2" s="1022"/>
      <c r="N2" s="1022"/>
      <c r="O2" s="1022"/>
      <c r="P2" s="1022"/>
      <c r="Q2" s="1022"/>
      <c r="R2" s="1022"/>
      <c r="S2" s="1022"/>
      <c r="T2" s="1022"/>
      <c r="U2" s="1022"/>
      <c r="AB2" s="1022" t="s">
        <v>386</v>
      </c>
      <c r="AC2" s="1022"/>
      <c r="AD2" s="1022"/>
      <c r="AE2" s="1022"/>
      <c r="AF2" s="1022"/>
      <c r="AG2" s="1022"/>
      <c r="AH2" s="1022"/>
      <c r="AI2" s="1022"/>
      <c r="AJ2" s="1022"/>
      <c r="AK2" s="1022"/>
      <c r="AL2" s="1022"/>
      <c r="AM2" s="1022"/>
      <c r="AN2" s="1022"/>
      <c r="AO2" s="1022"/>
      <c r="AP2" s="1022"/>
      <c r="AQ2" s="1022"/>
      <c r="AR2" s="1022"/>
      <c r="AS2" s="1022"/>
      <c r="AT2" s="1022"/>
      <c r="AU2" s="1022"/>
      <c r="AV2" s="1022"/>
    </row>
    <row r="3" spans="1:57" ht="18.75" x14ac:dyDescent="0.3">
      <c r="A3" s="1022" t="s">
        <v>387</v>
      </c>
      <c r="B3" s="1022"/>
      <c r="C3" s="1022"/>
      <c r="D3" s="1022"/>
      <c r="E3" s="1022"/>
      <c r="F3" s="1022"/>
      <c r="G3" s="1022"/>
      <c r="H3" s="1022"/>
      <c r="I3" s="1022"/>
      <c r="J3" s="1022"/>
      <c r="K3" s="1022"/>
      <c r="L3" s="1022"/>
      <c r="M3" s="1022"/>
      <c r="N3" s="1022"/>
      <c r="O3" s="1022"/>
      <c r="P3" s="1022"/>
      <c r="Q3" s="1022"/>
      <c r="R3" s="1022"/>
      <c r="S3" s="1022"/>
      <c r="T3" s="1022"/>
      <c r="U3" s="1022"/>
      <c r="AB3" s="1022" t="s">
        <v>388</v>
      </c>
      <c r="AC3" s="1022"/>
      <c r="AD3" s="1022"/>
      <c r="AE3" s="1022"/>
      <c r="AF3" s="1022"/>
      <c r="AG3" s="1022"/>
      <c r="AH3" s="1022"/>
      <c r="AI3" s="1022"/>
      <c r="AJ3" s="1022"/>
      <c r="AK3" s="1022"/>
      <c r="AL3" s="1022"/>
      <c r="AM3" s="1022"/>
      <c r="AN3" s="1022"/>
      <c r="AO3" s="1022"/>
      <c r="AP3" s="1022"/>
      <c r="AQ3" s="1022"/>
      <c r="AR3" s="1022"/>
      <c r="AS3" s="1022"/>
      <c r="AT3" s="1022"/>
      <c r="AU3" s="1022"/>
      <c r="AV3" s="1022"/>
    </row>
    <row r="4" spans="1:57" ht="18.75" x14ac:dyDescent="0.3">
      <c r="C4" s="1022">
        <v>2027</v>
      </c>
      <c r="D4" s="1022"/>
      <c r="E4" s="1022"/>
      <c r="F4" s="1022"/>
      <c r="G4" s="1022"/>
      <c r="H4" s="1022"/>
      <c r="I4" s="1022"/>
      <c r="J4" s="1022"/>
      <c r="K4" s="1022"/>
      <c r="M4" s="1022">
        <v>2045</v>
      </c>
      <c r="N4" s="1022"/>
      <c r="O4" s="1022"/>
      <c r="P4" s="1022"/>
      <c r="Q4" s="1022"/>
      <c r="R4" s="1022"/>
      <c r="S4" s="1022"/>
      <c r="T4" s="1022"/>
      <c r="U4" s="1022"/>
      <c r="V4" s="1020" t="s">
        <v>389</v>
      </c>
      <c r="W4" s="1021"/>
      <c r="AD4" s="1022">
        <v>2027</v>
      </c>
      <c r="AE4" s="1022"/>
      <c r="AF4" s="1022"/>
      <c r="AG4" s="1022"/>
      <c r="AH4" s="1022"/>
      <c r="AI4" s="1022"/>
      <c r="AJ4" s="1022"/>
      <c r="AK4" s="1022"/>
      <c r="AL4" s="1022"/>
      <c r="AN4" s="1022">
        <v>2045</v>
      </c>
      <c r="AO4" s="1022"/>
      <c r="AP4" s="1022"/>
      <c r="AQ4" s="1022"/>
      <c r="AR4" s="1022"/>
      <c r="AS4" s="1022"/>
      <c r="AT4" s="1022"/>
      <c r="AU4" s="1022"/>
      <c r="AV4" s="1022"/>
      <c r="AW4" s="1020" t="s">
        <v>389</v>
      </c>
      <c r="AX4" s="1021"/>
    </row>
    <row r="5" spans="1:57" ht="65.25" customHeight="1" x14ac:dyDescent="0.25">
      <c r="A5" s="704" t="s">
        <v>354</v>
      </c>
      <c r="B5" s="704" t="s">
        <v>390</v>
      </c>
      <c r="C5" s="770" t="s">
        <v>391</v>
      </c>
      <c r="D5" s="771" t="s">
        <v>392</v>
      </c>
      <c r="E5" s="772" t="s">
        <v>393</v>
      </c>
      <c r="F5" s="772" t="s">
        <v>394</v>
      </c>
      <c r="G5" s="771" t="s">
        <v>395</v>
      </c>
      <c r="H5" s="771" t="s">
        <v>396</v>
      </c>
      <c r="I5" s="771" t="s">
        <v>397</v>
      </c>
      <c r="J5" s="771" t="s">
        <v>398</v>
      </c>
      <c r="K5" s="773" t="s">
        <v>399</v>
      </c>
      <c r="M5" s="770" t="s">
        <v>391</v>
      </c>
      <c r="N5" s="771" t="s">
        <v>392</v>
      </c>
      <c r="O5" s="772" t="s">
        <v>393</v>
      </c>
      <c r="P5" s="772" t="s">
        <v>394</v>
      </c>
      <c r="Q5" s="771" t="s">
        <v>395</v>
      </c>
      <c r="R5" s="771" t="s">
        <v>396</v>
      </c>
      <c r="S5" s="771" t="s">
        <v>397</v>
      </c>
      <c r="T5" s="771" t="s">
        <v>398</v>
      </c>
      <c r="U5" s="774" t="s">
        <v>400</v>
      </c>
      <c r="V5" s="775" t="s">
        <v>401</v>
      </c>
      <c r="W5" s="776" t="s">
        <v>402</v>
      </c>
      <c r="AB5" s="704" t="s">
        <v>354</v>
      </c>
      <c r="AC5" s="704" t="s">
        <v>390</v>
      </c>
      <c r="AD5" s="770" t="s">
        <v>391</v>
      </c>
      <c r="AE5" s="771" t="s">
        <v>392</v>
      </c>
      <c r="AF5" s="772" t="s">
        <v>393</v>
      </c>
      <c r="AG5" s="772" t="s">
        <v>394</v>
      </c>
      <c r="AH5" s="771" t="s">
        <v>395</v>
      </c>
      <c r="AI5" s="771" t="s">
        <v>396</v>
      </c>
      <c r="AJ5" s="771" t="s">
        <v>397</v>
      </c>
      <c r="AK5" s="771" t="s">
        <v>398</v>
      </c>
      <c r="AL5" s="773" t="s">
        <v>403</v>
      </c>
      <c r="AN5" s="770" t="s">
        <v>391</v>
      </c>
      <c r="AO5" s="771" t="s">
        <v>392</v>
      </c>
      <c r="AP5" s="772" t="s">
        <v>393</v>
      </c>
      <c r="AQ5" s="772" t="s">
        <v>394</v>
      </c>
      <c r="AR5" s="771" t="s">
        <v>395</v>
      </c>
      <c r="AS5" s="771" t="s">
        <v>396</v>
      </c>
      <c r="AT5" s="771" t="s">
        <v>397</v>
      </c>
      <c r="AU5" s="771" t="s">
        <v>398</v>
      </c>
      <c r="AV5" s="774" t="s">
        <v>404</v>
      </c>
      <c r="AW5" s="775" t="s">
        <v>401</v>
      </c>
      <c r="AX5" s="776" t="s">
        <v>402</v>
      </c>
      <c r="BB5" s="144" t="s">
        <v>405</v>
      </c>
      <c r="BC5" s="144" t="s">
        <v>406</v>
      </c>
      <c r="BE5" s="699" t="s">
        <v>407</v>
      </c>
    </row>
    <row r="6" spans="1:57" ht="15" x14ac:dyDescent="0.25">
      <c r="A6" s="777" t="s">
        <v>356</v>
      </c>
      <c r="B6" s="778" t="s">
        <v>408</v>
      </c>
      <c r="C6" s="779">
        <v>0</v>
      </c>
      <c r="D6" s="780">
        <v>31.903275873077853</v>
      </c>
      <c r="E6" s="780">
        <v>47.257207745047594</v>
      </c>
      <c r="F6" s="780">
        <v>0</v>
      </c>
      <c r="G6" s="780">
        <v>11.723047045096934</v>
      </c>
      <c r="H6" s="780">
        <v>10.452696892511304</v>
      </c>
      <c r="I6" s="780">
        <v>1.7812410665651015</v>
      </c>
      <c r="J6" s="781">
        <v>13.53518791033107</v>
      </c>
      <c r="K6" s="782">
        <v>295.22015752700224</v>
      </c>
      <c r="M6" s="779">
        <v>0</v>
      </c>
      <c r="N6" s="780">
        <v>34.513199163440561</v>
      </c>
      <c r="O6" s="780">
        <v>54.40053821912911</v>
      </c>
      <c r="P6" s="780">
        <v>0</v>
      </c>
      <c r="Q6" s="780">
        <v>11.956206235202806</v>
      </c>
      <c r="R6" s="780">
        <v>11.355699659368611</v>
      </c>
      <c r="S6" s="780">
        <v>2.1783658038677776</v>
      </c>
      <c r="T6" s="781">
        <v>15.185629465575259</v>
      </c>
      <c r="U6" s="783">
        <v>317.94696737751178</v>
      </c>
      <c r="V6" s="779">
        <f>U6-K6</f>
        <v>22.72680985050954</v>
      </c>
      <c r="W6" s="784">
        <f>V6/K6</f>
        <v>7.6982581544862289E-2</v>
      </c>
      <c r="AB6" s="777" t="s">
        <v>356</v>
      </c>
      <c r="AC6" s="778" t="s">
        <v>408</v>
      </c>
      <c r="AD6" s="779">
        <v>0</v>
      </c>
      <c r="AE6" s="780">
        <v>31.903275873077853</v>
      </c>
      <c r="AF6" s="780">
        <v>47.257207745047594</v>
      </c>
      <c r="AG6" s="780">
        <v>0</v>
      </c>
      <c r="AH6" s="780">
        <v>11.723047045096934</v>
      </c>
      <c r="AI6" s="780">
        <v>10.452696892511304</v>
      </c>
      <c r="AJ6" s="780">
        <v>1.7812410665651015</v>
      </c>
      <c r="AK6" s="781">
        <v>13.53518791033107</v>
      </c>
      <c r="AL6" s="782">
        <v>116.65265653262986</v>
      </c>
      <c r="AN6" s="779">
        <v>0</v>
      </c>
      <c r="AO6" s="780">
        <v>34.513199163440561</v>
      </c>
      <c r="AP6" s="780">
        <v>54.40053821912911</v>
      </c>
      <c r="AQ6" s="780">
        <v>0</v>
      </c>
      <c r="AR6" s="780">
        <v>11.956206235202806</v>
      </c>
      <c r="AS6" s="780">
        <v>11.355699659368611</v>
      </c>
      <c r="AT6" s="780">
        <v>2.1783658038677776</v>
      </c>
      <c r="AU6" s="781">
        <v>15.185629465575259</v>
      </c>
      <c r="AV6" s="783">
        <v>129.58963854658413</v>
      </c>
      <c r="AW6" s="779">
        <f>AV6-AL6</f>
        <v>12.936982013954264</v>
      </c>
      <c r="AX6" s="784">
        <f>AW6/AL6</f>
        <v>0.11090173510395415</v>
      </c>
      <c r="BA6" s="710"/>
      <c r="BB6" s="710">
        <f>AL6-K6</f>
        <v>-178.56750099437238</v>
      </c>
      <c r="BC6" s="710">
        <f>AV6-U6</f>
        <v>-188.35732883092766</v>
      </c>
      <c r="BD6" s="710"/>
      <c r="BE6" s="17"/>
    </row>
    <row r="7" spans="1:57" ht="15" x14ac:dyDescent="0.25">
      <c r="A7" s="785" t="s">
        <v>358</v>
      </c>
      <c r="B7" s="786" t="s">
        <v>408</v>
      </c>
      <c r="C7" s="787">
        <v>0</v>
      </c>
      <c r="D7" s="788">
        <v>51.291993974049831</v>
      </c>
      <c r="E7" s="788">
        <v>60.537393688344117</v>
      </c>
      <c r="F7" s="788">
        <v>0.54081915745861264</v>
      </c>
      <c r="G7" s="788">
        <v>11.302055746915396</v>
      </c>
      <c r="H7" s="788">
        <v>16.492987300421291</v>
      </c>
      <c r="I7" s="788">
        <v>1.8558965418248554</v>
      </c>
      <c r="J7" s="789">
        <v>14.077522834249862</v>
      </c>
      <c r="K7" s="790">
        <v>411.34232192738983</v>
      </c>
      <c r="M7" s="787">
        <v>0</v>
      </c>
      <c r="N7" s="788">
        <v>53.912235696868187</v>
      </c>
      <c r="O7" s="788">
        <v>71.357619174456502</v>
      </c>
      <c r="P7" s="788">
        <v>0.5455212872252847</v>
      </c>
      <c r="Q7" s="788">
        <v>11.738208149335819</v>
      </c>
      <c r="R7" s="788">
        <v>19.182318962606889</v>
      </c>
      <c r="S7" s="788">
        <v>2.2838943073967264</v>
      </c>
      <c r="T7" s="789">
        <v>16.180052486455441</v>
      </c>
      <c r="U7" s="791">
        <v>454.28416550345605</v>
      </c>
      <c r="V7" s="787">
        <f t="shared" ref="V7:V54" si="0">U7-K7</f>
        <v>42.941843576066219</v>
      </c>
      <c r="W7" s="792">
        <f t="shared" ref="W7:W54" si="1">V7/K7</f>
        <v>0.10439442111100426</v>
      </c>
      <c r="AB7" s="785" t="s">
        <v>358</v>
      </c>
      <c r="AC7" s="786" t="s">
        <v>408</v>
      </c>
      <c r="AD7" s="787">
        <v>0</v>
      </c>
      <c r="AE7" s="788">
        <v>51.291993974049831</v>
      </c>
      <c r="AF7" s="788">
        <v>60.537393688344117</v>
      </c>
      <c r="AG7" s="788">
        <v>0.54081915745861264</v>
      </c>
      <c r="AH7" s="788">
        <v>11.302055746915396</v>
      </c>
      <c r="AI7" s="788">
        <v>16.492987300421291</v>
      </c>
      <c r="AJ7" s="788">
        <v>1.8558965418248554</v>
      </c>
      <c r="AK7" s="789">
        <v>14.077522834249862</v>
      </c>
      <c r="AL7" s="790">
        <v>156.09866924326394</v>
      </c>
      <c r="AN7" s="787">
        <v>0</v>
      </c>
      <c r="AO7" s="788">
        <v>53.912235696868187</v>
      </c>
      <c r="AP7" s="788">
        <v>71.357619174456502</v>
      </c>
      <c r="AQ7" s="788">
        <v>0.5455212872252847</v>
      </c>
      <c r="AR7" s="788">
        <v>11.738208149335819</v>
      </c>
      <c r="AS7" s="788">
        <v>19.182318962606889</v>
      </c>
      <c r="AT7" s="788">
        <v>2.2838943073967264</v>
      </c>
      <c r="AU7" s="789">
        <v>16.180052486455441</v>
      </c>
      <c r="AV7" s="791">
        <v>175.19985006434487</v>
      </c>
      <c r="AW7" s="787">
        <f t="shared" ref="AW7:AW54" si="2">AV7-AL7</f>
        <v>19.101180821080931</v>
      </c>
      <c r="AX7" s="792">
        <f t="shared" ref="AX7:AX54" si="3">AW7/AL7</f>
        <v>0.12236607085556686</v>
      </c>
      <c r="BB7" s="710">
        <f t="shared" ref="BB7:BB54" si="4">AL7-K7</f>
        <v>-255.24365268412589</v>
      </c>
      <c r="BC7" s="710">
        <f t="shared" ref="BC7:BC54" si="5">AV7-U7</f>
        <v>-279.08431543911115</v>
      </c>
      <c r="BD7" s="710"/>
      <c r="BE7" s="17"/>
    </row>
    <row r="8" spans="1:57" ht="15" x14ac:dyDescent="0.25">
      <c r="A8" s="785" t="s">
        <v>356</v>
      </c>
      <c r="B8" s="786" t="s">
        <v>409</v>
      </c>
      <c r="C8" s="787">
        <v>0</v>
      </c>
      <c r="D8" s="788">
        <v>24.075881500629819</v>
      </c>
      <c r="E8" s="788">
        <v>32.555077877326696</v>
      </c>
      <c r="F8" s="788">
        <v>0</v>
      </c>
      <c r="G8" s="788">
        <v>8.5950089468745308</v>
      </c>
      <c r="H8" s="788">
        <v>7.5148979271460599</v>
      </c>
      <c r="I8" s="788">
        <v>1.2362883528054518</v>
      </c>
      <c r="J8" s="789">
        <v>11.498644994617262</v>
      </c>
      <c r="K8" s="790">
        <v>216.05930929778313</v>
      </c>
      <c r="M8" s="787">
        <v>0</v>
      </c>
      <c r="N8" s="788">
        <v>26.494751787051463</v>
      </c>
      <c r="O8" s="788">
        <v>37.686057523283786</v>
      </c>
      <c r="P8" s="788">
        <v>0</v>
      </c>
      <c r="Q8" s="788">
        <v>8.928380554566262</v>
      </c>
      <c r="R8" s="788">
        <v>8.2492985528237348</v>
      </c>
      <c r="S8" s="788">
        <v>1.5127199707708607</v>
      </c>
      <c r="T8" s="789">
        <v>12.894599785725656</v>
      </c>
      <c r="U8" s="791">
        <v>236.7901816030207</v>
      </c>
      <c r="V8" s="787">
        <f t="shared" si="0"/>
        <v>20.730872305237568</v>
      </c>
      <c r="W8" s="792">
        <f t="shared" si="1"/>
        <v>9.5949914736908198E-2</v>
      </c>
      <c r="AB8" s="785" t="s">
        <v>356</v>
      </c>
      <c r="AC8" s="786" t="s">
        <v>409</v>
      </c>
      <c r="AD8" s="787">
        <v>0</v>
      </c>
      <c r="AE8" s="788">
        <v>24.075881500629819</v>
      </c>
      <c r="AF8" s="788">
        <v>32.555077877326696</v>
      </c>
      <c r="AG8" s="788">
        <v>0</v>
      </c>
      <c r="AH8" s="788">
        <v>8.5950089468745308</v>
      </c>
      <c r="AI8" s="788">
        <v>7.5148979271460599</v>
      </c>
      <c r="AJ8" s="788">
        <v>1.2362883528054518</v>
      </c>
      <c r="AK8" s="789">
        <v>11.498644994617262</v>
      </c>
      <c r="AL8" s="790">
        <v>85.475799599399821</v>
      </c>
      <c r="AN8" s="787">
        <v>0</v>
      </c>
      <c r="AO8" s="788">
        <v>26.494751787051463</v>
      </c>
      <c r="AP8" s="788">
        <v>37.686057523283786</v>
      </c>
      <c r="AQ8" s="788">
        <v>0</v>
      </c>
      <c r="AR8" s="788">
        <v>8.928380554566262</v>
      </c>
      <c r="AS8" s="788">
        <v>8.2492985528237348</v>
      </c>
      <c r="AT8" s="788">
        <v>1.5127199707708607</v>
      </c>
      <c r="AU8" s="789">
        <v>12.894599785725656</v>
      </c>
      <c r="AV8" s="791">
        <v>95.76580817422176</v>
      </c>
      <c r="AW8" s="787">
        <f t="shared" si="2"/>
        <v>10.29000857482194</v>
      </c>
      <c r="AX8" s="792">
        <f t="shared" si="3"/>
        <v>0.12038505194509104</v>
      </c>
      <c r="BB8" s="710">
        <f t="shared" si="4"/>
        <v>-130.5835096983833</v>
      </c>
      <c r="BC8" s="710">
        <f t="shared" si="5"/>
        <v>-141.02437342879892</v>
      </c>
      <c r="BD8" s="710"/>
      <c r="BE8" s="17"/>
    </row>
    <row r="9" spans="1:57" ht="15" x14ac:dyDescent="0.25">
      <c r="A9" s="785" t="s">
        <v>358</v>
      </c>
      <c r="B9" s="786" t="s">
        <v>409</v>
      </c>
      <c r="C9" s="787">
        <v>0</v>
      </c>
      <c r="D9" s="788">
        <v>48.907389357901721</v>
      </c>
      <c r="E9" s="788">
        <v>63.168305314914534</v>
      </c>
      <c r="F9" s="788">
        <v>0.55133183580949607</v>
      </c>
      <c r="G9" s="788">
        <v>11.333506375382262</v>
      </c>
      <c r="H9" s="788">
        <v>16.538034478492605</v>
      </c>
      <c r="I9" s="788">
        <v>1.8156441157796095</v>
      </c>
      <c r="J9" s="789">
        <v>16.791047026334166</v>
      </c>
      <c r="K9" s="790">
        <v>313.56322949024548</v>
      </c>
      <c r="M9" s="787">
        <v>0</v>
      </c>
      <c r="N9" s="788">
        <v>52.547140383146619</v>
      </c>
      <c r="O9" s="788">
        <v>77.080776722058687</v>
      </c>
      <c r="P9" s="788">
        <v>0.56451938379995481</v>
      </c>
      <c r="Q9" s="788">
        <v>11.970761960168048</v>
      </c>
      <c r="R9" s="788">
        <v>19.585313270467324</v>
      </c>
      <c r="S9" s="788">
        <v>2.2328310832685805</v>
      </c>
      <c r="T9" s="789">
        <v>18.822662224815815</v>
      </c>
      <c r="U9" s="791">
        <v>358.97340875345964</v>
      </c>
      <c r="V9" s="787">
        <f t="shared" si="0"/>
        <v>45.410179263214161</v>
      </c>
      <c r="W9" s="792">
        <f t="shared" si="1"/>
        <v>0.1448198480958266</v>
      </c>
      <c r="AB9" s="785" t="s">
        <v>358</v>
      </c>
      <c r="AC9" s="786" t="s">
        <v>409</v>
      </c>
      <c r="AD9" s="787">
        <v>0</v>
      </c>
      <c r="AE9" s="788">
        <v>48.907389357901721</v>
      </c>
      <c r="AF9" s="788">
        <v>63.168305314914534</v>
      </c>
      <c r="AG9" s="788">
        <v>0.55133183580949607</v>
      </c>
      <c r="AH9" s="788">
        <v>11.333506375382262</v>
      </c>
      <c r="AI9" s="788">
        <v>16.538034478492605</v>
      </c>
      <c r="AJ9" s="788">
        <v>1.8156441157796095</v>
      </c>
      <c r="AK9" s="789">
        <v>16.791047026334166</v>
      </c>
      <c r="AL9" s="790">
        <v>159.10525850461437</v>
      </c>
      <c r="AN9" s="787">
        <v>0</v>
      </c>
      <c r="AO9" s="788">
        <v>52.547140383146619</v>
      </c>
      <c r="AP9" s="788">
        <v>77.080776722058687</v>
      </c>
      <c r="AQ9" s="788">
        <v>0.56451938379995481</v>
      </c>
      <c r="AR9" s="788">
        <v>11.970761960168048</v>
      </c>
      <c r="AS9" s="788">
        <v>19.585313270467324</v>
      </c>
      <c r="AT9" s="788">
        <v>2.2328310832685805</v>
      </c>
      <c r="AU9" s="789">
        <v>18.822662224815815</v>
      </c>
      <c r="AV9" s="791">
        <v>182.80400502772505</v>
      </c>
      <c r="AW9" s="787">
        <f t="shared" si="2"/>
        <v>23.698746523110685</v>
      </c>
      <c r="AX9" s="792">
        <f t="shared" si="3"/>
        <v>0.14895011482240467</v>
      </c>
      <c r="BB9" s="710">
        <f t="shared" si="4"/>
        <v>-154.45797098563111</v>
      </c>
      <c r="BC9" s="710">
        <f t="shared" si="5"/>
        <v>-176.16940372573458</v>
      </c>
      <c r="BD9" s="710"/>
      <c r="BE9" s="17"/>
    </row>
    <row r="10" spans="1:57" ht="15" x14ac:dyDescent="0.25">
      <c r="A10" s="785" t="s">
        <v>356</v>
      </c>
      <c r="B10" s="786" t="s">
        <v>410</v>
      </c>
      <c r="C10" s="787">
        <v>0</v>
      </c>
      <c r="D10" s="788">
        <v>22.233734997021759</v>
      </c>
      <c r="E10" s="788">
        <v>24.786613727206944</v>
      </c>
      <c r="F10" s="788">
        <v>0</v>
      </c>
      <c r="G10" s="788">
        <v>14.36686026098301</v>
      </c>
      <c r="H10" s="788">
        <v>13.888231610669386</v>
      </c>
      <c r="I10" s="788">
        <v>2.1460669011652569</v>
      </c>
      <c r="J10" s="789">
        <v>13.727330330660724</v>
      </c>
      <c r="K10" s="790">
        <v>240.00890839826602</v>
      </c>
      <c r="M10" s="787">
        <v>0</v>
      </c>
      <c r="N10" s="788">
        <v>24.392944027895211</v>
      </c>
      <c r="O10" s="788">
        <v>31.336105875168432</v>
      </c>
      <c r="P10" s="788">
        <v>0</v>
      </c>
      <c r="Q10" s="788">
        <v>15.267554483114695</v>
      </c>
      <c r="R10" s="788">
        <v>15.656931693215329</v>
      </c>
      <c r="S10" s="788">
        <v>2.6242250705935817</v>
      </c>
      <c r="T10" s="789">
        <v>15.343968505488624</v>
      </c>
      <c r="U10" s="791">
        <v>259.24379152582367</v>
      </c>
      <c r="V10" s="787">
        <f t="shared" si="0"/>
        <v>19.234883127557652</v>
      </c>
      <c r="W10" s="792">
        <f t="shared" si="1"/>
        <v>8.0142371614138869E-2</v>
      </c>
      <c r="AB10" s="785" t="s">
        <v>356</v>
      </c>
      <c r="AC10" s="786" t="s">
        <v>410</v>
      </c>
      <c r="AD10" s="787">
        <v>0</v>
      </c>
      <c r="AE10" s="788">
        <v>22.233734997021759</v>
      </c>
      <c r="AF10" s="788">
        <v>24.786613727206944</v>
      </c>
      <c r="AG10" s="788">
        <v>0</v>
      </c>
      <c r="AH10" s="788">
        <v>14.36686026098301</v>
      </c>
      <c r="AI10" s="788">
        <v>13.888231610669386</v>
      </c>
      <c r="AJ10" s="788">
        <v>2.1460669011652569</v>
      </c>
      <c r="AK10" s="789">
        <v>13.727330330660724</v>
      </c>
      <c r="AL10" s="790">
        <v>91.148837827707069</v>
      </c>
      <c r="AN10" s="787">
        <v>0</v>
      </c>
      <c r="AO10" s="788">
        <v>24.392944027895211</v>
      </c>
      <c r="AP10" s="788">
        <v>31.336105875168432</v>
      </c>
      <c r="AQ10" s="788">
        <v>0</v>
      </c>
      <c r="AR10" s="788">
        <v>15.267554483114695</v>
      </c>
      <c r="AS10" s="788">
        <v>15.656931693215329</v>
      </c>
      <c r="AT10" s="788">
        <v>2.6242250705935817</v>
      </c>
      <c r="AU10" s="789">
        <v>15.343968505488624</v>
      </c>
      <c r="AV10" s="791">
        <v>104.62172965547586</v>
      </c>
      <c r="AW10" s="787">
        <f t="shared" si="2"/>
        <v>13.472891827768791</v>
      </c>
      <c r="AX10" s="792">
        <f t="shared" si="3"/>
        <v>0.147811997924052</v>
      </c>
      <c r="BB10" s="710">
        <f t="shared" si="4"/>
        <v>-148.86007057055895</v>
      </c>
      <c r="BC10" s="710">
        <f t="shared" si="5"/>
        <v>-154.62206187034781</v>
      </c>
      <c r="BD10" s="710"/>
      <c r="BE10" s="17"/>
    </row>
    <row r="11" spans="1:57" ht="15" x14ac:dyDescent="0.25">
      <c r="A11" s="785" t="s">
        <v>358</v>
      </c>
      <c r="B11" s="786" t="s">
        <v>410</v>
      </c>
      <c r="C11" s="787">
        <v>0</v>
      </c>
      <c r="D11" s="788">
        <v>26.130980624639566</v>
      </c>
      <c r="E11" s="788">
        <v>36.717542680456994</v>
      </c>
      <c r="F11" s="788">
        <v>0.6433103253534751</v>
      </c>
      <c r="G11" s="788">
        <v>11.571188488272391</v>
      </c>
      <c r="H11" s="788">
        <v>15.470622723871417</v>
      </c>
      <c r="I11" s="788">
        <v>1.7983515660306431</v>
      </c>
      <c r="J11" s="789">
        <v>11.363341205170897</v>
      </c>
      <c r="K11" s="790">
        <v>270.7490138668507</v>
      </c>
      <c r="M11" s="787">
        <v>0</v>
      </c>
      <c r="N11" s="788">
        <v>26.063618821540157</v>
      </c>
      <c r="O11" s="788">
        <v>42.233905585647953</v>
      </c>
      <c r="P11" s="788">
        <v>0.6357764218995462</v>
      </c>
      <c r="Q11" s="788">
        <v>11.631208259131695</v>
      </c>
      <c r="R11" s="788">
        <v>17.323862925746344</v>
      </c>
      <c r="S11" s="788">
        <v>2.0648935838413385</v>
      </c>
      <c r="T11" s="789">
        <v>11.824293772900271</v>
      </c>
      <c r="U11" s="791">
        <v>310.06059150879054</v>
      </c>
      <c r="V11" s="787">
        <f t="shared" si="0"/>
        <v>39.311577641939834</v>
      </c>
      <c r="W11" s="792">
        <f t="shared" si="1"/>
        <v>0.14519564477997521</v>
      </c>
      <c r="AB11" s="785" t="s">
        <v>358</v>
      </c>
      <c r="AC11" s="786" t="s">
        <v>410</v>
      </c>
      <c r="AD11" s="787">
        <v>0</v>
      </c>
      <c r="AE11" s="788">
        <v>26.130980624639566</v>
      </c>
      <c r="AF11" s="788">
        <v>36.717542680456994</v>
      </c>
      <c r="AG11" s="788">
        <v>0.6433103253534751</v>
      </c>
      <c r="AH11" s="788">
        <v>11.571188488272391</v>
      </c>
      <c r="AI11" s="788">
        <v>15.470622723871417</v>
      </c>
      <c r="AJ11" s="788">
        <v>1.7983515660306431</v>
      </c>
      <c r="AK11" s="789">
        <v>11.363341205170897</v>
      </c>
      <c r="AL11" s="790">
        <v>103.69533761379539</v>
      </c>
      <c r="AN11" s="787">
        <v>0</v>
      </c>
      <c r="AO11" s="788">
        <v>26.063618821540157</v>
      </c>
      <c r="AP11" s="788">
        <v>42.233905585647953</v>
      </c>
      <c r="AQ11" s="788">
        <v>0.6357764218995462</v>
      </c>
      <c r="AR11" s="788">
        <v>11.631208259131695</v>
      </c>
      <c r="AS11" s="788">
        <v>17.323862925746344</v>
      </c>
      <c r="AT11" s="788">
        <v>2.0648935838413385</v>
      </c>
      <c r="AU11" s="789">
        <v>11.824293772900271</v>
      </c>
      <c r="AV11" s="791">
        <v>111.77755937070731</v>
      </c>
      <c r="AW11" s="787">
        <f t="shared" si="2"/>
        <v>8.0822217569119204</v>
      </c>
      <c r="AX11" s="792">
        <f t="shared" si="3"/>
        <v>7.794199761433325E-2</v>
      </c>
      <c r="BB11" s="710">
        <f t="shared" si="4"/>
        <v>-167.0536762530553</v>
      </c>
      <c r="BC11" s="710">
        <f t="shared" si="5"/>
        <v>-198.28303213808323</v>
      </c>
      <c r="BD11" s="710"/>
      <c r="BE11" s="17"/>
    </row>
    <row r="12" spans="1:57" ht="15" x14ac:dyDescent="0.25">
      <c r="A12" s="785" t="s">
        <v>356</v>
      </c>
      <c r="B12" s="786" t="s">
        <v>411</v>
      </c>
      <c r="C12" s="787">
        <v>0</v>
      </c>
      <c r="D12" s="788">
        <v>26.439976231002298</v>
      </c>
      <c r="E12" s="788">
        <v>50.737419216884582</v>
      </c>
      <c r="F12" s="788">
        <v>0</v>
      </c>
      <c r="G12" s="788">
        <v>12.260504632788376</v>
      </c>
      <c r="H12" s="788">
        <v>14.031320345706192</v>
      </c>
      <c r="I12" s="788">
        <v>3.0106270356274103</v>
      </c>
      <c r="J12" s="789">
        <v>20.554567272485279</v>
      </c>
      <c r="K12" s="790">
        <v>312.0661650112562</v>
      </c>
      <c r="M12" s="787">
        <v>0</v>
      </c>
      <c r="N12" s="788">
        <v>24.531183611855408</v>
      </c>
      <c r="O12" s="788">
        <v>58.783801694264305</v>
      </c>
      <c r="P12" s="788">
        <v>0</v>
      </c>
      <c r="Q12" s="788">
        <v>10.811220077093751</v>
      </c>
      <c r="R12" s="788">
        <v>13.860652244862187</v>
      </c>
      <c r="S12" s="788">
        <v>2.7046291208039275</v>
      </c>
      <c r="T12" s="789">
        <v>16.764163002745818</v>
      </c>
      <c r="U12" s="791">
        <v>401.3365040582546</v>
      </c>
      <c r="V12" s="787">
        <f t="shared" si="0"/>
        <v>89.270339046998401</v>
      </c>
      <c r="W12" s="792">
        <f t="shared" si="1"/>
        <v>0.28606221710635765</v>
      </c>
      <c r="AB12" s="785" t="s">
        <v>356</v>
      </c>
      <c r="AC12" s="786" t="s">
        <v>411</v>
      </c>
      <c r="AD12" s="787">
        <v>0</v>
      </c>
      <c r="AE12" s="788">
        <v>26.439976231002298</v>
      </c>
      <c r="AF12" s="788">
        <v>50.737419216884582</v>
      </c>
      <c r="AG12" s="788">
        <v>0</v>
      </c>
      <c r="AH12" s="788">
        <v>12.260504632788376</v>
      </c>
      <c r="AI12" s="788">
        <v>14.031320345706192</v>
      </c>
      <c r="AJ12" s="788">
        <v>3.0106270356274103</v>
      </c>
      <c r="AK12" s="789">
        <v>20.554567272485279</v>
      </c>
      <c r="AL12" s="790">
        <v>127.03441473449413</v>
      </c>
      <c r="AN12" s="787">
        <v>0</v>
      </c>
      <c r="AO12" s="788">
        <v>24.531183611855408</v>
      </c>
      <c r="AP12" s="788">
        <v>58.783801694264305</v>
      </c>
      <c r="AQ12" s="788">
        <v>0</v>
      </c>
      <c r="AR12" s="788">
        <v>10.811220077093751</v>
      </c>
      <c r="AS12" s="788">
        <v>13.860652244862187</v>
      </c>
      <c r="AT12" s="788">
        <v>2.7046291208039275</v>
      </c>
      <c r="AU12" s="789">
        <v>16.764163002745818</v>
      </c>
      <c r="AV12" s="791">
        <v>127.4556497516254</v>
      </c>
      <c r="AW12" s="787">
        <f t="shared" si="2"/>
        <v>0.42123501713126643</v>
      </c>
      <c r="AX12" s="792">
        <f t="shared" si="3"/>
        <v>3.3159126053491934E-3</v>
      </c>
      <c r="BB12" s="710">
        <f t="shared" si="4"/>
        <v>-185.03175027676207</v>
      </c>
      <c r="BC12" s="710">
        <f t="shared" si="5"/>
        <v>-273.8808543066292</v>
      </c>
      <c r="BD12" s="710"/>
      <c r="BE12" s="17"/>
    </row>
    <row r="13" spans="1:57" ht="15" x14ac:dyDescent="0.25">
      <c r="A13" s="785" t="s">
        <v>358</v>
      </c>
      <c r="B13" s="786" t="s">
        <v>411</v>
      </c>
      <c r="C13" s="787">
        <v>0</v>
      </c>
      <c r="D13" s="788">
        <v>61.104521362329919</v>
      </c>
      <c r="E13" s="788">
        <v>55.735689054073404</v>
      </c>
      <c r="F13" s="788">
        <v>0.79196780629815311</v>
      </c>
      <c r="G13" s="788">
        <v>15.941580244948488</v>
      </c>
      <c r="H13" s="788">
        <v>14.15338841216909</v>
      </c>
      <c r="I13" s="788">
        <v>3.1475632049011479</v>
      </c>
      <c r="J13" s="789">
        <v>21.166241031190673</v>
      </c>
      <c r="K13" s="790">
        <v>344.71973813734263</v>
      </c>
      <c r="M13" s="787">
        <v>0</v>
      </c>
      <c r="N13" s="788">
        <v>60.837647174550725</v>
      </c>
      <c r="O13" s="788">
        <v>59.271758153516416</v>
      </c>
      <c r="P13" s="788">
        <v>0.74537483124782444</v>
      </c>
      <c r="Q13" s="788">
        <v>15.510030821271847</v>
      </c>
      <c r="R13" s="788">
        <v>14.523571077299842</v>
      </c>
      <c r="S13" s="788">
        <v>3.1210152510190468</v>
      </c>
      <c r="T13" s="789">
        <v>19.611461542574997</v>
      </c>
      <c r="U13" s="791">
        <v>422.1909463455807</v>
      </c>
      <c r="V13" s="787">
        <f t="shared" si="0"/>
        <v>77.471208208238068</v>
      </c>
      <c r="W13" s="792">
        <f t="shared" si="1"/>
        <v>0.22473679234860675</v>
      </c>
      <c r="AB13" s="785" t="s">
        <v>358</v>
      </c>
      <c r="AC13" s="786" t="s">
        <v>411</v>
      </c>
      <c r="AD13" s="787">
        <v>0</v>
      </c>
      <c r="AE13" s="788">
        <v>61.104521362329919</v>
      </c>
      <c r="AF13" s="788">
        <v>55.735689054073404</v>
      </c>
      <c r="AG13" s="788">
        <v>0.79196780629815311</v>
      </c>
      <c r="AH13" s="788">
        <v>15.941580244948488</v>
      </c>
      <c r="AI13" s="788">
        <v>14.15338841216909</v>
      </c>
      <c r="AJ13" s="788">
        <v>3.1475632049011479</v>
      </c>
      <c r="AK13" s="789">
        <v>21.166241031190673</v>
      </c>
      <c r="AL13" s="790">
        <v>172.04095111591087</v>
      </c>
      <c r="AN13" s="787">
        <v>0</v>
      </c>
      <c r="AO13" s="788">
        <v>60.837647174550725</v>
      </c>
      <c r="AP13" s="788">
        <v>59.271758153516416</v>
      </c>
      <c r="AQ13" s="788">
        <v>0.74537483124782444</v>
      </c>
      <c r="AR13" s="788">
        <v>15.510030821271847</v>
      </c>
      <c r="AS13" s="788">
        <v>14.523571077299842</v>
      </c>
      <c r="AT13" s="788">
        <v>3.1210152510190468</v>
      </c>
      <c r="AU13" s="789">
        <v>19.611461542574997</v>
      </c>
      <c r="AV13" s="791">
        <v>173.6208588514807</v>
      </c>
      <c r="AW13" s="787">
        <f t="shared" si="2"/>
        <v>1.579907735569833</v>
      </c>
      <c r="AX13" s="792">
        <f t="shared" si="3"/>
        <v>9.1833236524331112E-3</v>
      </c>
      <c r="BB13" s="710">
        <f t="shared" si="4"/>
        <v>-172.67878702143176</v>
      </c>
      <c r="BC13" s="710">
        <f t="shared" si="5"/>
        <v>-248.57008749409999</v>
      </c>
      <c r="BD13" s="710"/>
      <c r="BE13" s="17"/>
    </row>
    <row r="14" spans="1:57" ht="15" x14ac:dyDescent="0.25">
      <c r="A14" s="785" t="s">
        <v>356</v>
      </c>
      <c r="B14" s="786" t="s">
        <v>412</v>
      </c>
      <c r="C14" s="787">
        <v>0</v>
      </c>
      <c r="D14" s="788">
        <v>71.071935830502738</v>
      </c>
      <c r="E14" s="788">
        <v>159.37448549765003</v>
      </c>
      <c r="F14" s="788">
        <v>0</v>
      </c>
      <c r="G14" s="788">
        <v>21.834628401234959</v>
      </c>
      <c r="H14" s="788">
        <v>32.944407812141712</v>
      </c>
      <c r="I14" s="788">
        <v>5.864664826438144</v>
      </c>
      <c r="J14" s="789">
        <v>25.255183652895212</v>
      </c>
      <c r="K14" s="790">
        <v>686.25947467760818</v>
      </c>
      <c r="M14" s="787">
        <v>0</v>
      </c>
      <c r="N14" s="788">
        <v>143.34323672879952</v>
      </c>
      <c r="O14" s="788">
        <v>254.57910618094053</v>
      </c>
      <c r="P14" s="788">
        <v>0</v>
      </c>
      <c r="Q14" s="788">
        <v>28.774034224131274</v>
      </c>
      <c r="R14" s="788">
        <v>48.639581381133027</v>
      </c>
      <c r="S14" s="788">
        <v>6.9698868450267453</v>
      </c>
      <c r="T14" s="789">
        <v>26.841843411453858</v>
      </c>
      <c r="U14" s="791">
        <v>1127.5644567058762</v>
      </c>
      <c r="V14" s="787">
        <f t="shared" si="0"/>
        <v>441.304982028268</v>
      </c>
      <c r="W14" s="792">
        <f t="shared" si="1"/>
        <v>0.64305849071968701</v>
      </c>
      <c r="AB14" s="785" t="s">
        <v>356</v>
      </c>
      <c r="AC14" s="786" t="s">
        <v>412</v>
      </c>
      <c r="AD14" s="787">
        <v>0</v>
      </c>
      <c r="AE14" s="788">
        <v>71.071935830502738</v>
      </c>
      <c r="AF14" s="788">
        <v>159.37448549765003</v>
      </c>
      <c r="AG14" s="788">
        <v>0</v>
      </c>
      <c r="AH14" s="788">
        <v>21.834628401234959</v>
      </c>
      <c r="AI14" s="788">
        <v>32.944407812141712</v>
      </c>
      <c r="AJ14" s="788">
        <v>5.864664826438144</v>
      </c>
      <c r="AK14" s="789">
        <v>25.255183652895212</v>
      </c>
      <c r="AL14" s="790">
        <v>316.34530602086284</v>
      </c>
      <c r="AN14" s="787">
        <v>0</v>
      </c>
      <c r="AO14" s="788">
        <v>143.34323672879952</v>
      </c>
      <c r="AP14" s="788">
        <v>254.57910618094053</v>
      </c>
      <c r="AQ14" s="788">
        <v>0</v>
      </c>
      <c r="AR14" s="788">
        <v>28.774034224131274</v>
      </c>
      <c r="AS14" s="788">
        <v>48.639581381133027</v>
      </c>
      <c r="AT14" s="788">
        <v>6.9698868450267453</v>
      </c>
      <c r="AU14" s="789">
        <v>26.841843411453858</v>
      </c>
      <c r="AV14" s="791">
        <v>509.14768877148498</v>
      </c>
      <c r="AW14" s="787">
        <f t="shared" si="2"/>
        <v>192.80238275062214</v>
      </c>
      <c r="AX14" s="792">
        <f t="shared" si="3"/>
        <v>0.60946813207308004</v>
      </c>
      <c r="BB14" s="710">
        <f t="shared" si="4"/>
        <v>-369.91416865674535</v>
      </c>
      <c r="BC14" s="710">
        <f t="shared" si="5"/>
        <v>-618.41676793439115</v>
      </c>
      <c r="BD14" s="710"/>
      <c r="BE14" s="17"/>
    </row>
    <row r="15" spans="1:57" ht="15" x14ac:dyDescent="0.25">
      <c r="A15" s="785" t="s">
        <v>358</v>
      </c>
      <c r="B15" s="786" t="s">
        <v>412</v>
      </c>
      <c r="C15" s="787">
        <v>0</v>
      </c>
      <c r="D15" s="788">
        <v>224.74646016128514</v>
      </c>
      <c r="E15" s="788">
        <v>156.91746873114991</v>
      </c>
      <c r="F15" s="788">
        <v>1.6573793669720533</v>
      </c>
      <c r="G15" s="788">
        <v>42.293960262089527</v>
      </c>
      <c r="H15" s="788">
        <v>31.626465672505493</v>
      </c>
      <c r="I15" s="788">
        <v>8.2934108529595161</v>
      </c>
      <c r="J15" s="789">
        <v>31.926239944427682</v>
      </c>
      <c r="K15" s="790">
        <v>915.39555777354713</v>
      </c>
      <c r="M15" s="787">
        <v>0</v>
      </c>
      <c r="N15" s="788">
        <v>351.03813678738567</v>
      </c>
      <c r="O15" s="788">
        <v>235.7621573317507</v>
      </c>
      <c r="P15" s="788">
        <v>3.2533326833962195</v>
      </c>
      <c r="Q15" s="788">
        <v>61.600869170920781</v>
      </c>
      <c r="R15" s="788">
        <v>47.429459375875936</v>
      </c>
      <c r="S15" s="788">
        <v>10.189151328133907</v>
      </c>
      <c r="T15" s="789">
        <v>39.639673825466467</v>
      </c>
      <c r="U15" s="791">
        <v>1364.3466393966555</v>
      </c>
      <c r="V15" s="787">
        <f t="shared" si="0"/>
        <v>448.95108162310839</v>
      </c>
      <c r="W15" s="792">
        <f t="shared" si="1"/>
        <v>0.49044489872231939</v>
      </c>
      <c r="AB15" s="785" t="s">
        <v>358</v>
      </c>
      <c r="AC15" s="786" t="s">
        <v>412</v>
      </c>
      <c r="AD15" s="787">
        <v>0</v>
      </c>
      <c r="AE15" s="788">
        <v>224.74646016128514</v>
      </c>
      <c r="AF15" s="788">
        <v>156.91746873114991</v>
      </c>
      <c r="AG15" s="788">
        <v>1.6573793669720533</v>
      </c>
      <c r="AH15" s="788">
        <v>42.293960262089527</v>
      </c>
      <c r="AI15" s="788">
        <v>31.626465672505493</v>
      </c>
      <c r="AJ15" s="788">
        <v>8.2934108529595161</v>
      </c>
      <c r="AK15" s="789">
        <v>31.926239944427682</v>
      </c>
      <c r="AL15" s="790">
        <v>497.46138499138931</v>
      </c>
      <c r="AN15" s="787">
        <v>0</v>
      </c>
      <c r="AO15" s="788">
        <v>351.03813678738567</v>
      </c>
      <c r="AP15" s="788">
        <v>235.7621573317507</v>
      </c>
      <c r="AQ15" s="788">
        <v>3.2533326833962195</v>
      </c>
      <c r="AR15" s="788">
        <v>61.600869170920781</v>
      </c>
      <c r="AS15" s="788">
        <v>47.429459375875936</v>
      </c>
      <c r="AT15" s="788">
        <v>10.189151328133907</v>
      </c>
      <c r="AU15" s="789">
        <v>39.639673825466467</v>
      </c>
      <c r="AV15" s="791">
        <v>748.91278050292976</v>
      </c>
      <c r="AW15" s="787">
        <f t="shared" si="2"/>
        <v>251.45139551154045</v>
      </c>
      <c r="AX15" s="792">
        <f t="shared" si="3"/>
        <v>0.50546917428755378</v>
      </c>
      <c r="BB15" s="710">
        <f t="shared" si="4"/>
        <v>-417.93417278215782</v>
      </c>
      <c r="BC15" s="710">
        <f t="shared" si="5"/>
        <v>-615.43385889372576</v>
      </c>
      <c r="BD15" s="710"/>
      <c r="BE15" s="17"/>
    </row>
    <row r="16" spans="1:57" ht="15" x14ac:dyDescent="0.25">
      <c r="A16" s="785" t="s">
        <v>356</v>
      </c>
      <c r="B16" s="786" t="s">
        <v>413</v>
      </c>
      <c r="C16" s="787">
        <v>0</v>
      </c>
      <c r="D16" s="788">
        <v>220.40733053958567</v>
      </c>
      <c r="E16" s="788">
        <v>496.06211514840533</v>
      </c>
      <c r="F16" s="788">
        <v>0</v>
      </c>
      <c r="G16" s="788">
        <v>63.225326695771471</v>
      </c>
      <c r="H16" s="788">
        <v>96.567902844468392</v>
      </c>
      <c r="I16" s="788">
        <v>9.9731844393857116</v>
      </c>
      <c r="J16" s="789">
        <v>56.089692055574425</v>
      </c>
      <c r="K16" s="790">
        <v>1788.7733880170094</v>
      </c>
      <c r="M16" s="787">
        <v>0</v>
      </c>
      <c r="N16" s="788">
        <v>359.24230580941116</v>
      </c>
      <c r="O16" s="788">
        <v>677.9918413079771</v>
      </c>
      <c r="P16" s="788">
        <v>2.8806161108459438</v>
      </c>
      <c r="Q16" s="788">
        <v>71.337120125666047</v>
      </c>
      <c r="R16" s="788">
        <v>123.83251999385993</v>
      </c>
      <c r="S16" s="788">
        <v>16.315315301619133</v>
      </c>
      <c r="T16" s="789">
        <v>98.954178888390317</v>
      </c>
      <c r="U16" s="791">
        <v>2511.6803049270279</v>
      </c>
      <c r="V16" s="787">
        <f t="shared" si="0"/>
        <v>722.90691691001848</v>
      </c>
      <c r="W16" s="792">
        <f t="shared" si="1"/>
        <v>0.40413554995438267</v>
      </c>
      <c r="AB16" s="785" t="s">
        <v>356</v>
      </c>
      <c r="AC16" s="786" t="s">
        <v>413</v>
      </c>
      <c r="AD16" s="787">
        <v>0</v>
      </c>
      <c r="AE16" s="788">
        <v>220.40733053958567</v>
      </c>
      <c r="AF16" s="788">
        <v>496.06211514840533</v>
      </c>
      <c r="AG16" s="788">
        <v>0</v>
      </c>
      <c r="AH16" s="788">
        <v>63.225326695771471</v>
      </c>
      <c r="AI16" s="788">
        <v>96.567902844468392</v>
      </c>
      <c r="AJ16" s="788">
        <v>9.9731844393857116</v>
      </c>
      <c r="AK16" s="789">
        <v>56.089692055574425</v>
      </c>
      <c r="AL16" s="790">
        <v>942.32555172319098</v>
      </c>
      <c r="AN16" s="787">
        <v>0</v>
      </c>
      <c r="AO16" s="788">
        <v>359.24230580941116</v>
      </c>
      <c r="AP16" s="788">
        <v>677.9918413079771</v>
      </c>
      <c r="AQ16" s="788">
        <v>2.8806161108459438</v>
      </c>
      <c r="AR16" s="788">
        <v>71.337120125666047</v>
      </c>
      <c r="AS16" s="788">
        <v>123.83251999385993</v>
      </c>
      <c r="AT16" s="788">
        <v>16.315315301619133</v>
      </c>
      <c r="AU16" s="789">
        <v>98.954178888390317</v>
      </c>
      <c r="AV16" s="791">
        <v>1350.5538975377694</v>
      </c>
      <c r="AW16" s="787">
        <f t="shared" si="2"/>
        <v>408.22834581457846</v>
      </c>
      <c r="AX16" s="792">
        <f t="shared" si="3"/>
        <v>0.43321370737328357</v>
      </c>
      <c r="BB16" s="710">
        <f t="shared" si="4"/>
        <v>-846.44783629381845</v>
      </c>
      <c r="BC16" s="710">
        <f t="shared" si="5"/>
        <v>-1161.1264073892585</v>
      </c>
      <c r="BD16" s="710"/>
      <c r="BE16" s="17"/>
    </row>
    <row r="17" spans="1:57" ht="15" x14ac:dyDescent="0.25">
      <c r="A17" s="785" t="s">
        <v>358</v>
      </c>
      <c r="B17" s="786" t="s">
        <v>413</v>
      </c>
      <c r="C17" s="787">
        <v>0</v>
      </c>
      <c r="D17" s="788">
        <v>647.26131488913677</v>
      </c>
      <c r="E17" s="788">
        <v>521.02597489542291</v>
      </c>
      <c r="F17" s="788">
        <v>5.7285820978691797</v>
      </c>
      <c r="G17" s="788">
        <v>126.70619689305799</v>
      </c>
      <c r="H17" s="788">
        <v>93.997151476966337</v>
      </c>
      <c r="I17" s="788">
        <v>14.061000570689115</v>
      </c>
      <c r="J17" s="789">
        <v>76.217498527627725</v>
      </c>
      <c r="K17" s="790">
        <v>2518.6087208518857</v>
      </c>
      <c r="M17" s="787">
        <v>0</v>
      </c>
      <c r="N17" s="788">
        <v>927.74808361657813</v>
      </c>
      <c r="O17" s="788">
        <v>719.33091075318771</v>
      </c>
      <c r="P17" s="788">
        <v>10.903602912703992</v>
      </c>
      <c r="Q17" s="788">
        <v>170.60739525752311</v>
      </c>
      <c r="R17" s="788">
        <v>130.98120663013836</v>
      </c>
      <c r="S17" s="788">
        <v>26.650167789752466</v>
      </c>
      <c r="T17" s="789">
        <v>106.40559429195432</v>
      </c>
      <c r="U17" s="791">
        <v>3116.805865196563</v>
      </c>
      <c r="V17" s="787">
        <f t="shared" si="0"/>
        <v>598.19714434467733</v>
      </c>
      <c r="W17" s="792">
        <f t="shared" si="1"/>
        <v>0.23751094776736306</v>
      </c>
      <c r="AB17" s="785" t="s">
        <v>358</v>
      </c>
      <c r="AC17" s="786" t="s">
        <v>413</v>
      </c>
      <c r="AD17" s="787">
        <v>0</v>
      </c>
      <c r="AE17" s="788">
        <v>647.26131488913677</v>
      </c>
      <c r="AF17" s="788">
        <v>521.02597489542291</v>
      </c>
      <c r="AG17" s="788">
        <v>5.7285820978691797</v>
      </c>
      <c r="AH17" s="788">
        <v>126.70619689305799</v>
      </c>
      <c r="AI17" s="788">
        <v>93.997151476966337</v>
      </c>
      <c r="AJ17" s="788">
        <v>14.061000570689115</v>
      </c>
      <c r="AK17" s="789">
        <v>76.217498527627725</v>
      </c>
      <c r="AL17" s="790">
        <v>1484.9977193507698</v>
      </c>
      <c r="AN17" s="787">
        <v>0</v>
      </c>
      <c r="AO17" s="788">
        <v>927.74808361657813</v>
      </c>
      <c r="AP17" s="788">
        <v>719.33091075318771</v>
      </c>
      <c r="AQ17" s="788">
        <v>10.903602912703992</v>
      </c>
      <c r="AR17" s="788">
        <v>170.60739525752311</v>
      </c>
      <c r="AS17" s="788">
        <v>130.98120663013836</v>
      </c>
      <c r="AT17" s="788">
        <v>26.650167789752466</v>
      </c>
      <c r="AU17" s="789">
        <v>106.40559429195432</v>
      </c>
      <c r="AV17" s="791">
        <v>2092.6269612518381</v>
      </c>
      <c r="AW17" s="787">
        <f t="shared" si="2"/>
        <v>607.62924190106833</v>
      </c>
      <c r="AX17" s="792">
        <f t="shared" si="3"/>
        <v>0.40917856908677236</v>
      </c>
      <c r="BB17" s="710">
        <f t="shared" si="4"/>
        <v>-1033.6110015011159</v>
      </c>
      <c r="BC17" s="710">
        <f t="shared" si="5"/>
        <v>-1024.1789039447249</v>
      </c>
      <c r="BD17" s="710"/>
      <c r="BE17" s="17"/>
    </row>
    <row r="18" spans="1:57" ht="15" x14ac:dyDescent="0.25">
      <c r="A18" s="785" t="s">
        <v>356</v>
      </c>
      <c r="B18" s="786" t="s">
        <v>414</v>
      </c>
      <c r="C18" s="787">
        <v>0</v>
      </c>
      <c r="D18" s="788">
        <v>613.99324552124017</v>
      </c>
      <c r="E18" s="788">
        <v>1146.8234080103491</v>
      </c>
      <c r="F18" s="788">
        <v>10.515220435269173</v>
      </c>
      <c r="G18" s="788">
        <v>154.82613764550121</v>
      </c>
      <c r="H18" s="788">
        <v>253.17625588211069</v>
      </c>
      <c r="I18" s="788">
        <v>30.894172821744988</v>
      </c>
      <c r="J18" s="789">
        <v>101.98607269879831</v>
      </c>
      <c r="K18" s="790">
        <v>3032.463137280246</v>
      </c>
      <c r="M18" s="787">
        <v>0</v>
      </c>
      <c r="N18" s="788">
        <v>603.15010666223793</v>
      </c>
      <c r="O18" s="788">
        <v>1285.6822655101328</v>
      </c>
      <c r="P18" s="788">
        <v>9.8155161022590462</v>
      </c>
      <c r="Q18" s="788">
        <v>145.21137257833081</v>
      </c>
      <c r="R18" s="788">
        <v>273.87180171589512</v>
      </c>
      <c r="S18" s="788">
        <v>36.799501555710734</v>
      </c>
      <c r="T18" s="789">
        <v>250.18109909514703</v>
      </c>
      <c r="U18" s="791">
        <v>3954.9838186155557</v>
      </c>
      <c r="V18" s="787">
        <f t="shared" si="0"/>
        <v>922.52068133530975</v>
      </c>
      <c r="W18" s="792">
        <f t="shared" si="1"/>
        <v>0.3042149696707277</v>
      </c>
      <c r="AB18" s="785" t="s">
        <v>356</v>
      </c>
      <c r="AC18" s="786" t="s">
        <v>414</v>
      </c>
      <c r="AD18" s="787">
        <v>0</v>
      </c>
      <c r="AE18" s="788">
        <v>613.99324552124017</v>
      </c>
      <c r="AF18" s="788">
        <v>1146.8234080103491</v>
      </c>
      <c r="AG18" s="788">
        <v>10.515220435269173</v>
      </c>
      <c r="AH18" s="788">
        <v>154.82613764550121</v>
      </c>
      <c r="AI18" s="788">
        <v>253.17625588211069</v>
      </c>
      <c r="AJ18" s="788">
        <v>30.894172821744988</v>
      </c>
      <c r="AK18" s="789">
        <v>101.98607269879831</v>
      </c>
      <c r="AL18" s="790">
        <v>2312.2145130150134</v>
      </c>
      <c r="AN18" s="787">
        <v>0</v>
      </c>
      <c r="AO18" s="788">
        <v>603.15010666223793</v>
      </c>
      <c r="AP18" s="788">
        <v>1285.6822655101328</v>
      </c>
      <c r="AQ18" s="788">
        <v>9.8155161022590462</v>
      </c>
      <c r="AR18" s="788">
        <v>145.21137257833081</v>
      </c>
      <c r="AS18" s="788">
        <v>273.87180171589512</v>
      </c>
      <c r="AT18" s="788">
        <v>36.799501555710734</v>
      </c>
      <c r="AU18" s="789">
        <v>250.18109909514703</v>
      </c>
      <c r="AV18" s="791">
        <v>2604.711663219714</v>
      </c>
      <c r="AW18" s="787">
        <f t="shared" si="2"/>
        <v>292.49715020470057</v>
      </c>
      <c r="AX18" s="792">
        <f t="shared" si="3"/>
        <v>0.12650087115978645</v>
      </c>
      <c r="BB18" s="710">
        <f t="shared" si="4"/>
        <v>-720.24862426523259</v>
      </c>
      <c r="BC18" s="710">
        <f t="shared" si="5"/>
        <v>-1350.2721553958418</v>
      </c>
      <c r="BD18" s="710"/>
      <c r="BE18" s="17"/>
    </row>
    <row r="19" spans="1:57" ht="15" x14ac:dyDescent="0.25">
      <c r="A19" s="785" t="s">
        <v>358</v>
      </c>
      <c r="B19" s="786" t="s">
        <v>414</v>
      </c>
      <c r="C19" s="787">
        <v>0</v>
      </c>
      <c r="D19" s="788">
        <v>1116.085411635351</v>
      </c>
      <c r="E19" s="788">
        <v>871.77951363128386</v>
      </c>
      <c r="F19" s="788">
        <v>15.998998740566378</v>
      </c>
      <c r="G19" s="788">
        <v>272.38744170351788</v>
      </c>
      <c r="H19" s="788">
        <v>191.65077033824315</v>
      </c>
      <c r="I19" s="788">
        <v>35.389909784785381</v>
      </c>
      <c r="J19" s="789">
        <v>140.41662980992638</v>
      </c>
      <c r="K19" s="790">
        <v>4032.8552711427574</v>
      </c>
      <c r="M19" s="787">
        <v>0</v>
      </c>
      <c r="N19" s="788">
        <v>1178.8473934894653</v>
      </c>
      <c r="O19" s="788">
        <v>927.59981495582565</v>
      </c>
      <c r="P19" s="788">
        <v>15.636209690360134</v>
      </c>
      <c r="Q19" s="788">
        <v>280.30747142509898</v>
      </c>
      <c r="R19" s="788">
        <v>198.36519870753975</v>
      </c>
      <c r="S19" s="788">
        <v>44.314190562128786</v>
      </c>
      <c r="T19" s="789">
        <v>311.87252439007739</v>
      </c>
      <c r="U19" s="791">
        <v>4108.4219367341884</v>
      </c>
      <c r="V19" s="787">
        <f t="shared" si="0"/>
        <v>75.566665591431047</v>
      </c>
      <c r="W19" s="792">
        <f t="shared" si="1"/>
        <v>1.8737757869009351E-2</v>
      </c>
      <c r="AB19" s="785" t="s">
        <v>358</v>
      </c>
      <c r="AC19" s="786" t="s">
        <v>414</v>
      </c>
      <c r="AD19" s="787">
        <v>0</v>
      </c>
      <c r="AE19" s="788">
        <v>1116.085411635351</v>
      </c>
      <c r="AF19" s="788">
        <v>871.77951363128386</v>
      </c>
      <c r="AG19" s="788">
        <v>15.998998740566378</v>
      </c>
      <c r="AH19" s="788">
        <v>272.38744170351788</v>
      </c>
      <c r="AI19" s="788">
        <v>191.65077033824315</v>
      </c>
      <c r="AJ19" s="788">
        <v>35.389909784785381</v>
      </c>
      <c r="AK19" s="789">
        <v>140.41662980992638</v>
      </c>
      <c r="AL19" s="790">
        <v>2643.7086756436738</v>
      </c>
      <c r="AN19" s="787">
        <v>0</v>
      </c>
      <c r="AO19" s="788">
        <v>1178.8473934894653</v>
      </c>
      <c r="AP19" s="788">
        <v>927.59981495582565</v>
      </c>
      <c r="AQ19" s="788">
        <v>15.636209690360134</v>
      </c>
      <c r="AR19" s="788">
        <v>280.30747142509898</v>
      </c>
      <c r="AS19" s="788">
        <v>198.36519870753975</v>
      </c>
      <c r="AT19" s="788">
        <v>44.314190562128786</v>
      </c>
      <c r="AU19" s="789">
        <v>311.87252439007739</v>
      </c>
      <c r="AV19" s="791">
        <v>2956.9428032204951</v>
      </c>
      <c r="AW19" s="787">
        <f t="shared" si="2"/>
        <v>313.23412757682127</v>
      </c>
      <c r="AX19" s="792">
        <f t="shared" si="3"/>
        <v>0.11848284588337138</v>
      </c>
      <c r="BB19" s="710">
        <f t="shared" si="4"/>
        <v>-1389.1465954990836</v>
      </c>
      <c r="BC19" s="710">
        <f t="shared" si="5"/>
        <v>-1151.4791335136933</v>
      </c>
      <c r="BD19" s="710"/>
      <c r="BE19" s="17"/>
    </row>
    <row r="20" spans="1:57" ht="15" x14ac:dyDescent="0.25">
      <c r="A20" s="766" t="s">
        <v>356</v>
      </c>
      <c r="B20" s="767" t="s">
        <v>357</v>
      </c>
      <c r="C20" s="793">
        <v>0</v>
      </c>
      <c r="D20" s="794">
        <v>1029.9049292277509</v>
      </c>
      <c r="E20" s="794">
        <v>1967.5407878832489</v>
      </c>
      <c r="F20" s="794">
        <v>20.505238311303501</v>
      </c>
      <c r="G20" s="794">
        <v>269.9764237394013</v>
      </c>
      <c r="H20" s="794">
        <v>418.98875664458041</v>
      </c>
      <c r="I20" s="794">
        <v>68.1568990131493</v>
      </c>
      <c r="J20" s="795">
        <v>186.42684126482837</v>
      </c>
      <c r="K20" s="796">
        <v>4875.6024783147459</v>
      </c>
      <c r="M20" s="793">
        <v>0</v>
      </c>
      <c r="N20" s="794">
        <v>947.39084203161701</v>
      </c>
      <c r="O20" s="794">
        <v>2177.7989579378477</v>
      </c>
      <c r="P20" s="794">
        <v>17.450475251152106</v>
      </c>
      <c r="Q20" s="794">
        <v>249.29256632869232</v>
      </c>
      <c r="R20" s="794">
        <v>446.4804483768819</v>
      </c>
      <c r="S20" s="794">
        <v>78.96101085464241</v>
      </c>
      <c r="T20" s="795">
        <v>461.86153042005816</v>
      </c>
      <c r="U20" s="797">
        <v>4750.2354399008673</v>
      </c>
      <c r="V20" s="787">
        <f t="shared" si="0"/>
        <v>-125.36703841387862</v>
      </c>
      <c r="W20" s="792">
        <f t="shared" si="1"/>
        <v>-2.5713137806347944E-2</v>
      </c>
      <c r="AB20" s="766" t="s">
        <v>356</v>
      </c>
      <c r="AC20" s="767" t="s">
        <v>357</v>
      </c>
      <c r="AD20" s="793">
        <v>0</v>
      </c>
      <c r="AE20" s="794">
        <v>1029.9049292277509</v>
      </c>
      <c r="AF20" s="794">
        <v>1967.5407878832489</v>
      </c>
      <c r="AG20" s="794">
        <v>20.505238311303501</v>
      </c>
      <c r="AH20" s="794">
        <v>269.9764237394013</v>
      </c>
      <c r="AI20" s="794">
        <v>418.98875664458041</v>
      </c>
      <c r="AJ20" s="794">
        <v>68.1568990131493</v>
      </c>
      <c r="AK20" s="795">
        <v>186.42684126482837</v>
      </c>
      <c r="AL20" s="796">
        <v>3961.4998760842623</v>
      </c>
      <c r="AN20" s="793">
        <v>0</v>
      </c>
      <c r="AO20" s="794">
        <v>947.39084203161701</v>
      </c>
      <c r="AP20" s="794">
        <v>2177.7989579378477</v>
      </c>
      <c r="AQ20" s="794">
        <v>17.450475251152106</v>
      </c>
      <c r="AR20" s="794">
        <v>249.29256632869232</v>
      </c>
      <c r="AS20" s="794">
        <v>446.4804483768819</v>
      </c>
      <c r="AT20" s="794">
        <v>78.96101085464241</v>
      </c>
      <c r="AU20" s="795">
        <v>461.86153042005816</v>
      </c>
      <c r="AV20" s="797">
        <v>4379.2358312008919</v>
      </c>
      <c r="AW20" s="787">
        <f t="shared" si="2"/>
        <v>417.73595511662961</v>
      </c>
      <c r="AX20" s="792">
        <f t="shared" si="3"/>
        <v>0.10544893807482332</v>
      </c>
      <c r="BB20" s="796">
        <f t="shared" si="4"/>
        <v>-914.10260223048363</v>
      </c>
      <c r="BC20" s="796">
        <f t="shared" si="5"/>
        <v>-370.9996086999754</v>
      </c>
      <c r="BD20" s="710"/>
      <c r="BE20" s="17">
        <f>IF(BC20&gt;0, 1, 0)</f>
        <v>0</v>
      </c>
    </row>
    <row r="21" spans="1:57" ht="15" x14ac:dyDescent="0.25">
      <c r="A21" s="766" t="s">
        <v>358</v>
      </c>
      <c r="B21" s="767" t="s">
        <v>357</v>
      </c>
      <c r="C21" s="793">
        <v>0</v>
      </c>
      <c r="D21" s="794">
        <v>1283.88568926633</v>
      </c>
      <c r="E21" s="794">
        <v>1067.5104381822373</v>
      </c>
      <c r="F21" s="794">
        <v>22.01996213580939</v>
      </c>
      <c r="G21" s="794">
        <v>340.30317203074827</v>
      </c>
      <c r="H21" s="794">
        <v>244.26007642169569</v>
      </c>
      <c r="I21" s="794">
        <v>61.764562754989086</v>
      </c>
      <c r="J21" s="795">
        <v>329.36453294312957</v>
      </c>
      <c r="K21" s="796">
        <v>4082.5274431057564</v>
      </c>
      <c r="M21" s="793">
        <v>0</v>
      </c>
      <c r="N21" s="794">
        <v>1445.8560095235719</v>
      </c>
      <c r="O21" s="794">
        <v>1189.9257907433903</v>
      </c>
      <c r="P21" s="794">
        <v>21.582332889705299</v>
      </c>
      <c r="Q21" s="794">
        <v>353.48472833697952</v>
      </c>
      <c r="R21" s="794">
        <v>257.59549535534819</v>
      </c>
      <c r="S21" s="794">
        <v>78.481296550501412</v>
      </c>
      <c r="T21" s="795">
        <v>466.73563053231544</v>
      </c>
      <c r="U21" s="797">
        <v>3982.661311914324</v>
      </c>
      <c r="V21" s="787">
        <f t="shared" si="0"/>
        <v>-99.866131191432487</v>
      </c>
      <c r="W21" s="792">
        <f t="shared" si="1"/>
        <v>-2.4461839530332704E-2</v>
      </c>
      <c r="AB21" s="766" t="s">
        <v>358</v>
      </c>
      <c r="AC21" s="767" t="s">
        <v>357</v>
      </c>
      <c r="AD21" s="793">
        <v>0</v>
      </c>
      <c r="AE21" s="794">
        <v>1283.88568926633</v>
      </c>
      <c r="AF21" s="794">
        <v>1067.5104381822373</v>
      </c>
      <c r="AG21" s="794">
        <v>22.01996213580939</v>
      </c>
      <c r="AH21" s="794">
        <v>340.30317203074827</v>
      </c>
      <c r="AI21" s="794">
        <v>244.26007642169569</v>
      </c>
      <c r="AJ21" s="794">
        <v>61.764562754989086</v>
      </c>
      <c r="AK21" s="795">
        <v>329.36453294312957</v>
      </c>
      <c r="AL21" s="796">
        <v>3349.1084337349394</v>
      </c>
      <c r="AN21" s="793">
        <v>0</v>
      </c>
      <c r="AO21" s="794">
        <v>1445.8560095235719</v>
      </c>
      <c r="AP21" s="794">
        <v>1189.9257907433903</v>
      </c>
      <c r="AQ21" s="794">
        <v>21.582332889705299</v>
      </c>
      <c r="AR21" s="794">
        <v>353.48472833697952</v>
      </c>
      <c r="AS21" s="794">
        <v>257.59549535534819</v>
      </c>
      <c r="AT21" s="794">
        <v>78.481296550501412</v>
      </c>
      <c r="AU21" s="795">
        <v>466.73563053231544</v>
      </c>
      <c r="AV21" s="797">
        <v>3813.6612839318122</v>
      </c>
      <c r="AW21" s="787">
        <f t="shared" si="2"/>
        <v>464.5528501968729</v>
      </c>
      <c r="AX21" s="792">
        <f t="shared" si="3"/>
        <v>0.13870940860484521</v>
      </c>
      <c r="BB21" s="796">
        <f t="shared" si="4"/>
        <v>-733.41900937081709</v>
      </c>
      <c r="BC21" s="796">
        <f t="shared" si="5"/>
        <v>-169.00002798251171</v>
      </c>
      <c r="BD21" s="710"/>
      <c r="BE21" s="17">
        <f t="shared" ref="BE21:BE23" si="6">IF(BC21&gt;0, 1, 0)</f>
        <v>0</v>
      </c>
    </row>
    <row r="22" spans="1:57" ht="15" x14ac:dyDescent="0.25">
      <c r="A22" s="766" t="s">
        <v>356</v>
      </c>
      <c r="B22" s="767" t="s">
        <v>359</v>
      </c>
      <c r="C22" s="793">
        <v>0</v>
      </c>
      <c r="D22" s="794">
        <v>911.084054381697</v>
      </c>
      <c r="E22" s="794">
        <v>1759.9945110908509</v>
      </c>
      <c r="F22" s="794">
        <v>30.32467162253467</v>
      </c>
      <c r="G22" s="794">
        <v>373.8801001645291</v>
      </c>
      <c r="H22" s="794">
        <v>535.9055215489434</v>
      </c>
      <c r="I22" s="794">
        <v>129.81052088873415</v>
      </c>
      <c r="J22" s="795">
        <v>253.95910042349658</v>
      </c>
      <c r="K22" s="796">
        <v>4859.9584801207857</v>
      </c>
      <c r="M22" s="793">
        <v>0</v>
      </c>
      <c r="N22" s="794">
        <v>903.39134118352604</v>
      </c>
      <c r="O22" s="794">
        <v>1939.2264856566701</v>
      </c>
      <c r="P22" s="794">
        <v>27.222822823172304</v>
      </c>
      <c r="Q22" s="794">
        <v>342.01978468445179</v>
      </c>
      <c r="R22" s="794">
        <v>567.09591250992275</v>
      </c>
      <c r="S22" s="794">
        <v>145.02258330236805</v>
      </c>
      <c r="T22" s="795">
        <v>603.52571456441603</v>
      </c>
      <c r="U22" s="797">
        <v>4706.5047810770011</v>
      </c>
      <c r="V22" s="787">
        <f t="shared" si="0"/>
        <v>-153.45369904378458</v>
      </c>
      <c r="W22" s="792">
        <f t="shared" si="1"/>
        <v>-3.1575104946158047E-2</v>
      </c>
      <c r="AB22" s="766" t="s">
        <v>356</v>
      </c>
      <c r="AC22" s="767" t="s">
        <v>359</v>
      </c>
      <c r="AD22" s="793">
        <v>0</v>
      </c>
      <c r="AE22" s="794">
        <v>911.084054381697</v>
      </c>
      <c r="AF22" s="794">
        <v>1759.9945110908509</v>
      </c>
      <c r="AG22" s="794">
        <v>30.32467162253467</v>
      </c>
      <c r="AH22" s="794">
        <v>373.8801001645291</v>
      </c>
      <c r="AI22" s="794">
        <v>535.9055215489434</v>
      </c>
      <c r="AJ22" s="794">
        <v>129.81052088873415</v>
      </c>
      <c r="AK22" s="795">
        <v>253.95910042349658</v>
      </c>
      <c r="AL22" s="796">
        <v>3994.9584801207861</v>
      </c>
      <c r="AN22" s="793">
        <v>0</v>
      </c>
      <c r="AO22" s="794">
        <v>903.39134118352604</v>
      </c>
      <c r="AP22" s="794">
        <v>1939.2264856566701</v>
      </c>
      <c r="AQ22" s="794">
        <v>27.222822823172304</v>
      </c>
      <c r="AR22" s="794">
        <v>342.01978468445179</v>
      </c>
      <c r="AS22" s="794">
        <v>567.09591250992275</v>
      </c>
      <c r="AT22" s="794">
        <v>145.02258330236805</v>
      </c>
      <c r="AU22" s="795">
        <v>603.52571456441603</v>
      </c>
      <c r="AV22" s="797">
        <v>4527.5046447245277</v>
      </c>
      <c r="AW22" s="787">
        <f t="shared" si="2"/>
        <v>532.54616460374154</v>
      </c>
      <c r="AX22" s="792">
        <f t="shared" si="3"/>
        <v>0.13330455554262485</v>
      </c>
      <c r="BB22" s="796">
        <f t="shared" si="4"/>
        <v>-864.99999999999955</v>
      </c>
      <c r="BC22" s="796">
        <f t="shared" si="5"/>
        <v>-179.00013635247342</v>
      </c>
      <c r="BD22" s="710"/>
      <c r="BE22" s="17">
        <f t="shared" si="6"/>
        <v>0</v>
      </c>
    </row>
    <row r="23" spans="1:57" ht="15" x14ac:dyDescent="0.25">
      <c r="A23" s="766" t="s">
        <v>358</v>
      </c>
      <c r="B23" s="767" t="s">
        <v>359</v>
      </c>
      <c r="C23" s="793">
        <v>0</v>
      </c>
      <c r="D23" s="794">
        <v>993.51859290079472</v>
      </c>
      <c r="E23" s="794">
        <v>1033.3786946120726</v>
      </c>
      <c r="F23" s="794">
        <v>30.137304655046538</v>
      </c>
      <c r="G23" s="794">
        <v>410.76333486139021</v>
      </c>
      <c r="H23" s="794">
        <v>332.53743597404264</v>
      </c>
      <c r="I23" s="794">
        <v>113.45805940984341</v>
      </c>
      <c r="J23" s="795">
        <v>227.24262317387561</v>
      </c>
      <c r="K23" s="796">
        <v>3741.5788497217068</v>
      </c>
      <c r="M23" s="793">
        <v>0</v>
      </c>
      <c r="N23" s="794">
        <v>1041.2831999343443</v>
      </c>
      <c r="O23" s="794">
        <v>1080.2871092215348</v>
      </c>
      <c r="P23" s="794">
        <v>29.027906974404384</v>
      </c>
      <c r="Q23" s="794">
        <v>408.84059954595517</v>
      </c>
      <c r="R23" s="794">
        <v>342.0763527034066</v>
      </c>
      <c r="S23" s="794">
        <v>132.60051753710437</v>
      </c>
      <c r="T23" s="795">
        <v>546.66154086980737</v>
      </c>
      <c r="U23" s="797">
        <v>3385.7771004505698</v>
      </c>
      <c r="V23" s="787">
        <f t="shared" si="0"/>
        <v>-355.80174927113694</v>
      </c>
      <c r="W23" s="792">
        <f t="shared" si="1"/>
        <v>-9.509401339961096E-2</v>
      </c>
      <c r="AB23" s="766" t="s">
        <v>358</v>
      </c>
      <c r="AC23" s="767" t="s">
        <v>359</v>
      </c>
      <c r="AD23" s="793">
        <v>0</v>
      </c>
      <c r="AE23" s="794">
        <v>993.51859290079472</v>
      </c>
      <c r="AF23" s="794">
        <v>1033.3786946120726</v>
      </c>
      <c r="AG23" s="794">
        <v>30.137304655046538</v>
      </c>
      <c r="AH23" s="794">
        <v>410.76333486139021</v>
      </c>
      <c r="AI23" s="794">
        <v>332.53743597404264</v>
      </c>
      <c r="AJ23" s="794">
        <v>113.45805940984341</v>
      </c>
      <c r="AK23" s="795">
        <v>227.24262317387561</v>
      </c>
      <c r="AL23" s="796">
        <v>3141.0360455870659</v>
      </c>
      <c r="AN23" s="793">
        <v>0</v>
      </c>
      <c r="AO23" s="794">
        <v>1041.2831999343443</v>
      </c>
      <c r="AP23" s="794">
        <v>1080.2871092215348</v>
      </c>
      <c r="AQ23" s="794">
        <v>29.027906974404384</v>
      </c>
      <c r="AR23" s="794">
        <v>408.84059954595517</v>
      </c>
      <c r="AS23" s="794">
        <v>342.0763527034066</v>
      </c>
      <c r="AT23" s="794">
        <v>132.60051753710437</v>
      </c>
      <c r="AU23" s="795">
        <v>546.66154086980737</v>
      </c>
      <c r="AV23" s="797">
        <v>3580.7772267865566</v>
      </c>
      <c r="AW23" s="787">
        <f t="shared" si="2"/>
        <v>439.74118119949071</v>
      </c>
      <c r="AX23" s="792">
        <f t="shared" si="3"/>
        <v>0.13999876945611497</v>
      </c>
      <c r="BB23" s="796">
        <f t="shared" si="4"/>
        <v>-600.54280413464085</v>
      </c>
      <c r="BC23" s="796">
        <f t="shared" si="5"/>
        <v>195.00012633598681</v>
      </c>
      <c r="BD23" s="710"/>
      <c r="BE23" s="17">
        <f t="shared" si="6"/>
        <v>1</v>
      </c>
    </row>
    <row r="24" spans="1:57" ht="15" x14ac:dyDescent="0.25">
      <c r="A24" s="785" t="s">
        <v>356</v>
      </c>
      <c r="B24" s="786" t="s">
        <v>415</v>
      </c>
      <c r="C24" s="787">
        <v>0</v>
      </c>
      <c r="D24" s="788">
        <v>926.78770914499887</v>
      </c>
      <c r="E24" s="788">
        <v>1072.0496391786317</v>
      </c>
      <c r="F24" s="788">
        <v>26.206732632150555</v>
      </c>
      <c r="G24" s="788">
        <v>287.61677061157627</v>
      </c>
      <c r="H24" s="788">
        <v>370.57057398786645</v>
      </c>
      <c r="I24" s="788">
        <v>108.84234656321907</v>
      </c>
      <c r="J24" s="789">
        <v>230.99705884827225</v>
      </c>
      <c r="K24" s="790">
        <v>4063.5264177616737</v>
      </c>
      <c r="M24" s="787">
        <v>0</v>
      </c>
      <c r="N24" s="788">
        <v>965.8575686541069</v>
      </c>
      <c r="O24" s="788">
        <v>1376.0375645663239</v>
      </c>
      <c r="P24" s="788">
        <v>34.769004995016751</v>
      </c>
      <c r="Q24" s="788">
        <v>323.54002652483257</v>
      </c>
      <c r="R24" s="788">
        <v>465.66624380532318</v>
      </c>
      <c r="S24" s="788">
        <v>137.32928779644996</v>
      </c>
      <c r="T24" s="789">
        <v>616.91478100950883</v>
      </c>
      <c r="U24" s="791">
        <v>4792.7022322759549</v>
      </c>
      <c r="V24" s="787">
        <f t="shared" si="0"/>
        <v>729.17581451428123</v>
      </c>
      <c r="W24" s="792">
        <f t="shared" si="1"/>
        <v>0.17944409351617693</v>
      </c>
      <c r="AB24" s="785" t="s">
        <v>356</v>
      </c>
      <c r="AC24" s="786" t="s">
        <v>415</v>
      </c>
      <c r="AD24" s="787">
        <v>0</v>
      </c>
      <c r="AE24" s="788">
        <v>926.78770914499887</v>
      </c>
      <c r="AF24" s="788">
        <v>1072.0496391786317</v>
      </c>
      <c r="AG24" s="788">
        <v>26.206732632150555</v>
      </c>
      <c r="AH24" s="788">
        <v>287.61677061157627</v>
      </c>
      <c r="AI24" s="788">
        <v>370.57057398786645</v>
      </c>
      <c r="AJ24" s="788">
        <v>108.84234656321907</v>
      </c>
      <c r="AK24" s="789">
        <v>230.99705884827225</v>
      </c>
      <c r="AL24" s="790">
        <v>3023.0708309667152</v>
      </c>
      <c r="AN24" s="787">
        <v>0</v>
      </c>
      <c r="AO24" s="788">
        <v>965.8575686541069</v>
      </c>
      <c r="AP24" s="788">
        <v>1376.0375645663239</v>
      </c>
      <c r="AQ24" s="788">
        <v>34.769004995016751</v>
      </c>
      <c r="AR24" s="788">
        <v>323.54002652483257</v>
      </c>
      <c r="AS24" s="788">
        <v>465.66624380532318</v>
      </c>
      <c r="AT24" s="788">
        <v>137.32928779644996</v>
      </c>
      <c r="AU24" s="789">
        <v>616.91478100950883</v>
      </c>
      <c r="AV24" s="791">
        <v>3920.1144773515616</v>
      </c>
      <c r="AW24" s="787">
        <f t="shared" si="2"/>
        <v>897.0436463848464</v>
      </c>
      <c r="AX24" s="792">
        <f t="shared" si="3"/>
        <v>0.29673259296342402</v>
      </c>
      <c r="BB24" s="710">
        <f t="shared" si="4"/>
        <v>-1040.4555867949584</v>
      </c>
      <c r="BC24" s="710">
        <f t="shared" si="5"/>
        <v>-872.58775492439327</v>
      </c>
      <c r="BD24" s="710"/>
      <c r="BE24" s="17"/>
    </row>
    <row r="25" spans="1:57" ht="15" x14ac:dyDescent="0.25">
      <c r="A25" s="785" t="s">
        <v>358</v>
      </c>
      <c r="B25" s="786" t="s">
        <v>415</v>
      </c>
      <c r="C25" s="787">
        <v>0</v>
      </c>
      <c r="D25" s="788">
        <v>955.09209801848488</v>
      </c>
      <c r="E25" s="788">
        <v>788.0483741041088</v>
      </c>
      <c r="F25" s="788">
        <v>32.95430023399247</v>
      </c>
      <c r="G25" s="788">
        <v>341.20706359718986</v>
      </c>
      <c r="H25" s="788">
        <v>289.66595912711978</v>
      </c>
      <c r="I25" s="788">
        <v>104.67284143080911</v>
      </c>
      <c r="J25" s="789">
        <v>225.83770764800647</v>
      </c>
      <c r="K25" s="790">
        <v>3796.3151161707269</v>
      </c>
      <c r="M25" s="787">
        <v>0</v>
      </c>
      <c r="N25" s="788">
        <v>1051.4722680772388</v>
      </c>
      <c r="O25" s="788">
        <v>872.59877966732449</v>
      </c>
      <c r="P25" s="788">
        <v>37.529370328636247</v>
      </c>
      <c r="Q25" s="788">
        <v>356.81572726458438</v>
      </c>
      <c r="R25" s="788">
        <v>319.25470835203464</v>
      </c>
      <c r="S25" s="788">
        <v>121.10155390278784</v>
      </c>
      <c r="T25" s="789">
        <v>543.86450098565922</v>
      </c>
      <c r="U25" s="791">
        <v>4373.1128979050973</v>
      </c>
      <c r="V25" s="787">
        <f t="shared" si="0"/>
        <v>576.79778173437035</v>
      </c>
      <c r="W25" s="792">
        <f t="shared" si="1"/>
        <v>0.151936223438737</v>
      </c>
      <c r="AB25" s="785" t="s">
        <v>358</v>
      </c>
      <c r="AC25" s="786" t="s">
        <v>415</v>
      </c>
      <c r="AD25" s="787">
        <v>0</v>
      </c>
      <c r="AE25" s="788">
        <v>955.09209801848488</v>
      </c>
      <c r="AF25" s="788">
        <v>788.0483741041088</v>
      </c>
      <c r="AG25" s="788">
        <v>32.95430023399247</v>
      </c>
      <c r="AH25" s="788">
        <v>341.20706359718986</v>
      </c>
      <c r="AI25" s="788">
        <v>289.66595912711978</v>
      </c>
      <c r="AJ25" s="788">
        <v>104.67284143080911</v>
      </c>
      <c r="AK25" s="789">
        <v>225.83770764800647</v>
      </c>
      <c r="AL25" s="790">
        <v>2737.478344159711</v>
      </c>
      <c r="AN25" s="787">
        <v>0</v>
      </c>
      <c r="AO25" s="788">
        <v>1051.4722680772388</v>
      </c>
      <c r="AP25" s="788">
        <v>872.59877966732449</v>
      </c>
      <c r="AQ25" s="788">
        <v>37.529370328636247</v>
      </c>
      <c r="AR25" s="788">
        <v>356.81572726458438</v>
      </c>
      <c r="AS25" s="788">
        <v>319.25470835203464</v>
      </c>
      <c r="AT25" s="788">
        <v>121.10155390278784</v>
      </c>
      <c r="AU25" s="789">
        <v>543.86450098565922</v>
      </c>
      <c r="AV25" s="791">
        <v>3302.6369085782658</v>
      </c>
      <c r="AW25" s="787">
        <f t="shared" si="2"/>
        <v>565.15856441855476</v>
      </c>
      <c r="AX25" s="792">
        <f t="shared" si="3"/>
        <v>0.20645225034356732</v>
      </c>
      <c r="BB25" s="710">
        <f t="shared" si="4"/>
        <v>-1058.8367720110159</v>
      </c>
      <c r="BC25" s="710">
        <f t="shared" si="5"/>
        <v>-1070.4759893268315</v>
      </c>
      <c r="BD25" s="710"/>
      <c r="BE25" s="17"/>
    </row>
    <row r="26" spans="1:57" ht="15" x14ac:dyDescent="0.25">
      <c r="A26" s="785" t="s">
        <v>356</v>
      </c>
      <c r="B26" s="786" t="s">
        <v>416</v>
      </c>
      <c r="C26" s="787">
        <v>0</v>
      </c>
      <c r="D26" s="788">
        <v>972.53029615267371</v>
      </c>
      <c r="E26" s="788">
        <v>904.67193083660879</v>
      </c>
      <c r="F26" s="788">
        <v>20.092104797113517</v>
      </c>
      <c r="G26" s="788">
        <v>275.06347624172673</v>
      </c>
      <c r="H26" s="788">
        <v>310.38335408954788</v>
      </c>
      <c r="I26" s="788">
        <v>110.24703611132836</v>
      </c>
      <c r="J26" s="789">
        <v>257.69962764104457</v>
      </c>
      <c r="K26" s="790">
        <v>3737.2105200456376</v>
      </c>
      <c r="M26" s="787">
        <v>0</v>
      </c>
      <c r="N26" s="788">
        <v>1101.3290346368681</v>
      </c>
      <c r="O26" s="788">
        <v>1134.7074544839306</v>
      </c>
      <c r="P26" s="788">
        <v>33.192288762497206</v>
      </c>
      <c r="Q26" s="788">
        <v>310.11773114848774</v>
      </c>
      <c r="R26" s="788">
        <v>384.22113592441218</v>
      </c>
      <c r="S26" s="788">
        <v>141.551989330498</v>
      </c>
      <c r="T26" s="789">
        <v>692.19661863848262</v>
      </c>
      <c r="U26" s="791">
        <v>4400.8678855861308</v>
      </c>
      <c r="V26" s="787">
        <f t="shared" si="0"/>
        <v>663.65736554049317</v>
      </c>
      <c r="W26" s="792">
        <f t="shared" si="1"/>
        <v>0.17758094225111751</v>
      </c>
      <c r="AB26" s="785" t="s">
        <v>356</v>
      </c>
      <c r="AC26" s="786" t="s">
        <v>416</v>
      </c>
      <c r="AD26" s="787">
        <v>0</v>
      </c>
      <c r="AE26" s="788">
        <v>972.53029615267371</v>
      </c>
      <c r="AF26" s="788">
        <v>904.67193083660879</v>
      </c>
      <c r="AG26" s="788">
        <v>20.092104797113517</v>
      </c>
      <c r="AH26" s="788">
        <v>275.06347624172673</v>
      </c>
      <c r="AI26" s="788">
        <v>310.38335408954788</v>
      </c>
      <c r="AJ26" s="788">
        <v>110.24703611132836</v>
      </c>
      <c r="AK26" s="789">
        <v>257.69962764104457</v>
      </c>
      <c r="AL26" s="790">
        <v>2850.6878258700435</v>
      </c>
      <c r="AN26" s="787">
        <v>0</v>
      </c>
      <c r="AO26" s="788">
        <v>1101.3290346368681</v>
      </c>
      <c r="AP26" s="788">
        <v>1134.7074544839306</v>
      </c>
      <c r="AQ26" s="788">
        <v>33.192288762497206</v>
      </c>
      <c r="AR26" s="788">
        <v>310.11773114848774</v>
      </c>
      <c r="AS26" s="788">
        <v>384.22113592441218</v>
      </c>
      <c r="AT26" s="788">
        <v>141.551989330498</v>
      </c>
      <c r="AU26" s="789">
        <v>692.19661863848262</v>
      </c>
      <c r="AV26" s="791">
        <v>3797.3162529251763</v>
      </c>
      <c r="AW26" s="787">
        <f t="shared" si="2"/>
        <v>946.62842705513276</v>
      </c>
      <c r="AX26" s="792">
        <f t="shared" si="3"/>
        <v>0.33207018266414956</v>
      </c>
      <c r="BB26" s="710">
        <f t="shared" si="4"/>
        <v>-886.5226941755941</v>
      </c>
      <c r="BC26" s="710">
        <f t="shared" si="5"/>
        <v>-603.55163266095451</v>
      </c>
      <c r="BD26" s="710"/>
      <c r="BE26" s="17"/>
    </row>
    <row r="27" spans="1:57" ht="15" x14ac:dyDescent="0.25">
      <c r="A27" s="785" t="s">
        <v>358</v>
      </c>
      <c r="B27" s="786" t="s">
        <v>416</v>
      </c>
      <c r="C27" s="787">
        <v>0</v>
      </c>
      <c r="D27" s="788">
        <v>918.98677448861065</v>
      </c>
      <c r="E27" s="788">
        <v>725.71339377363972</v>
      </c>
      <c r="F27" s="788">
        <v>28.341482868598195</v>
      </c>
      <c r="G27" s="788">
        <v>275.90125808217198</v>
      </c>
      <c r="H27" s="788">
        <v>257.42339887992983</v>
      </c>
      <c r="I27" s="788">
        <v>101.29809377195403</v>
      </c>
      <c r="J27" s="789">
        <v>243.57930934451042</v>
      </c>
      <c r="K27" s="790">
        <v>3380.7707375226601</v>
      </c>
      <c r="M27" s="787">
        <v>2.075811306982235</v>
      </c>
      <c r="N27" s="788">
        <v>1027.1245273676814</v>
      </c>
      <c r="O27" s="788">
        <v>886.61296951700558</v>
      </c>
      <c r="P27" s="788">
        <v>34.00808057895221</v>
      </c>
      <c r="Q27" s="788">
        <v>324.27729274604764</v>
      </c>
      <c r="R27" s="788">
        <v>316.41545773984757</v>
      </c>
      <c r="S27" s="788">
        <v>132.30396788997294</v>
      </c>
      <c r="T27" s="789">
        <v>639.69396291977932</v>
      </c>
      <c r="U27" s="791">
        <v>4014.0352308381721</v>
      </c>
      <c r="V27" s="787">
        <f t="shared" si="0"/>
        <v>633.26449331551203</v>
      </c>
      <c r="W27" s="792">
        <f t="shared" si="1"/>
        <v>0.18731364605325224</v>
      </c>
      <c r="AB27" s="785" t="s">
        <v>358</v>
      </c>
      <c r="AC27" s="786" t="s">
        <v>416</v>
      </c>
      <c r="AD27" s="787">
        <v>0</v>
      </c>
      <c r="AE27" s="788">
        <v>918.98677448861065</v>
      </c>
      <c r="AF27" s="788">
        <v>725.71339377363972</v>
      </c>
      <c r="AG27" s="788">
        <v>28.341482868598195</v>
      </c>
      <c r="AH27" s="788">
        <v>275.90125808217198</v>
      </c>
      <c r="AI27" s="788">
        <v>257.42339887992983</v>
      </c>
      <c r="AJ27" s="788">
        <v>101.29809377195403</v>
      </c>
      <c r="AK27" s="789">
        <v>243.57930934451042</v>
      </c>
      <c r="AL27" s="790">
        <v>2551.2437112094149</v>
      </c>
      <c r="AN27" s="787">
        <v>2.075811306982235</v>
      </c>
      <c r="AO27" s="788">
        <v>1027.1245273676814</v>
      </c>
      <c r="AP27" s="788">
        <v>886.61296951700558</v>
      </c>
      <c r="AQ27" s="788">
        <v>34.00808057895221</v>
      </c>
      <c r="AR27" s="788">
        <v>324.27729274604764</v>
      </c>
      <c r="AS27" s="788">
        <v>316.41545773984757</v>
      </c>
      <c r="AT27" s="788">
        <v>132.30396788997294</v>
      </c>
      <c r="AU27" s="789">
        <v>639.69396291977932</v>
      </c>
      <c r="AV27" s="791">
        <v>3362.5120700662692</v>
      </c>
      <c r="AW27" s="787">
        <f t="shared" si="2"/>
        <v>811.26835885685432</v>
      </c>
      <c r="AX27" s="792">
        <f t="shared" si="3"/>
        <v>0.31798936153860158</v>
      </c>
      <c r="BB27" s="710">
        <f t="shared" si="4"/>
        <v>-829.52702631324519</v>
      </c>
      <c r="BC27" s="710">
        <f t="shared" si="5"/>
        <v>-651.52316077190289</v>
      </c>
      <c r="BD27" s="710"/>
      <c r="BE27" s="17"/>
    </row>
    <row r="28" spans="1:57" ht="15" x14ac:dyDescent="0.25">
      <c r="A28" s="785" t="s">
        <v>356</v>
      </c>
      <c r="B28" s="786" t="s">
        <v>417</v>
      </c>
      <c r="C28" s="787">
        <v>0</v>
      </c>
      <c r="D28" s="788">
        <v>929.75044142594163</v>
      </c>
      <c r="E28" s="788">
        <v>793.31843714129116</v>
      </c>
      <c r="F28" s="788">
        <v>21.100905400503233</v>
      </c>
      <c r="G28" s="788">
        <v>276.26198101709156</v>
      </c>
      <c r="H28" s="788">
        <v>290.95549752310143</v>
      </c>
      <c r="I28" s="788">
        <v>102.38136796941576</v>
      </c>
      <c r="J28" s="789">
        <v>234.44271698296581</v>
      </c>
      <c r="K28" s="790">
        <v>3520.2190268459553</v>
      </c>
      <c r="M28" s="787">
        <v>0</v>
      </c>
      <c r="N28" s="788">
        <v>1063.31250037624</v>
      </c>
      <c r="O28" s="788">
        <v>991.42007841163297</v>
      </c>
      <c r="P28" s="788">
        <v>35.028040755123875</v>
      </c>
      <c r="Q28" s="788">
        <v>319.53612889496986</v>
      </c>
      <c r="R28" s="788">
        <v>368.99601746929693</v>
      </c>
      <c r="S28" s="788">
        <v>130.5873421174191</v>
      </c>
      <c r="T28" s="789">
        <v>591.60246528732853</v>
      </c>
      <c r="U28" s="791">
        <v>4143.4225606437731</v>
      </c>
      <c r="V28" s="787">
        <f t="shared" si="0"/>
        <v>623.20353379781773</v>
      </c>
      <c r="W28" s="792">
        <f t="shared" si="1"/>
        <v>0.17703544269408583</v>
      </c>
      <c r="AB28" s="785" t="s">
        <v>356</v>
      </c>
      <c r="AC28" s="786" t="s">
        <v>417</v>
      </c>
      <c r="AD28" s="787">
        <v>0</v>
      </c>
      <c r="AE28" s="788">
        <v>929.75044142594163</v>
      </c>
      <c r="AF28" s="788">
        <v>793.31843714129116</v>
      </c>
      <c r="AG28" s="788">
        <v>21.100905400503233</v>
      </c>
      <c r="AH28" s="788">
        <v>276.26198101709156</v>
      </c>
      <c r="AI28" s="788">
        <v>290.95549752310143</v>
      </c>
      <c r="AJ28" s="788">
        <v>102.38136796941576</v>
      </c>
      <c r="AK28" s="789">
        <v>234.44271698296581</v>
      </c>
      <c r="AL28" s="790">
        <v>2648.2113474603107</v>
      </c>
      <c r="AN28" s="787">
        <v>0</v>
      </c>
      <c r="AO28" s="788">
        <v>1063.31250037624</v>
      </c>
      <c r="AP28" s="788">
        <v>991.42007841163297</v>
      </c>
      <c r="AQ28" s="788">
        <v>35.028040755123875</v>
      </c>
      <c r="AR28" s="788">
        <v>319.53612889496986</v>
      </c>
      <c r="AS28" s="788">
        <v>368.99601746929693</v>
      </c>
      <c r="AT28" s="788">
        <v>130.5873421174191</v>
      </c>
      <c r="AU28" s="789">
        <v>591.60246528732853</v>
      </c>
      <c r="AV28" s="791">
        <v>3500.4825733120115</v>
      </c>
      <c r="AW28" s="787">
        <f t="shared" si="2"/>
        <v>852.27122585170082</v>
      </c>
      <c r="AX28" s="792">
        <f t="shared" si="3"/>
        <v>0.32182900608331222</v>
      </c>
      <c r="BB28" s="710">
        <f t="shared" si="4"/>
        <v>-872.00767938564468</v>
      </c>
      <c r="BC28" s="710">
        <f t="shared" si="5"/>
        <v>-642.93998733176159</v>
      </c>
      <c r="BD28" s="710"/>
      <c r="BE28" s="17"/>
    </row>
    <row r="29" spans="1:57" ht="15" x14ac:dyDescent="0.25">
      <c r="A29" s="785" t="s">
        <v>358</v>
      </c>
      <c r="B29" s="786" t="s">
        <v>417</v>
      </c>
      <c r="C29" s="787">
        <v>0</v>
      </c>
      <c r="D29" s="788">
        <v>853.22134346215955</v>
      </c>
      <c r="E29" s="788">
        <v>710.44245427300348</v>
      </c>
      <c r="F29" s="788">
        <v>29.066960566144669</v>
      </c>
      <c r="G29" s="788">
        <v>275.75014918179295</v>
      </c>
      <c r="H29" s="788">
        <v>267.19969210981236</v>
      </c>
      <c r="I29" s="788">
        <v>96.016036499789266</v>
      </c>
      <c r="J29" s="789">
        <v>225.2240544237286</v>
      </c>
      <c r="K29" s="790">
        <v>3323.8426540576893</v>
      </c>
      <c r="M29" s="787">
        <v>5.7765303617321031</v>
      </c>
      <c r="N29" s="788">
        <v>998.28800085975536</v>
      </c>
      <c r="O29" s="788">
        <v>883.32526695147374</v>
      </c>
      <c r="P29" s="788">
        <v>36.159142416559583</v>
      </c>
      <c r="Q29" s="788">
        <v>326.61385776033575</v>
      </c>
      <c r="R29" s="788">
        <v>338.60282872568234</v>
      </c>
      <c r="S29" s="788">
        <v>124.73740377601244</v>
      </c>
      <c r="T29" s="789">
        <v>570.60423568951296</v>
      </c>
      <c r="U29" s="791">
        <v>3970.9074119962579</v>
      </c>
      <c r="V29" s="787">
        <f t="shared" si="0"/>
        <v>647.06475793856862</v>
      </c>
      <c r="W29" s="792">
        <f t="shared" si="1"/>
        <v>0.1946737030853862</v>
      </c>
      <c r="AB29" s="785" t="s">
        <v>358</v>
      </c>
      <c r="AC29" s="786" t="s">
        <v>417</v>
      </c>
      <c r="AD29" s="787">
        <v>0</v>
      </c>
      <c r="AE29" s="788">
        <v>853.22134346215955</v>
      </c>
      <c r="AF29" s="788">
        <v>710.44245427300348</v>
      </c>
      <c r="AG29" s="788">
        <v>29.066960566144669</v>
      </c>
      <c r="AH29" s="788">
        <v>275.75014918179295</v>
      </c>
      <c r="AI29" s="788">
        <v>267.19969210981236</v>
      </c>
      <c r="AJ29" s="788">
        <v>96.016036499789266</v>
      </c>
      <c r="AK29" s="789">
        <v>225.2240544237286</v>
      </c>
      <c r="AL29" s="790">
        <v>2456.920690516431</v>
      </c>
      <c r="AN29" s="787">
        <v>5.7765303617321031</v>
      </c>
      <c r="AO29" s="788">
        <v>998.28800085975536</v>
      </c>
      <c r="AP29" s="788">
        <v>883.32526695147374</v>
      </c>
      <c r="AQ29" s="788">
        <v>36.159142416559583</v>
      </c>
      <c r="AR29" s="788">
        <v>326.61385776033575</v>
      </c>
      <c r="AS29" s="788">
        <v>338.60282872568234</v>
      </c>
      <c r="AT29" s="788">
        <v>124.73740377601244</v>
      </c>
      <c r="AU29" s="789">
        <v>570.60423568951296</v>
      </c>
      <c r="AV29" s="791">
        <v>3284.1072665410638</v>
      </c>
      <c r="AW29" s="787">
        <f t="shared" si="2"/>
        <v>827.18657602463281</v>
      </c>
      <c r="AX29" s="792">
        <f t="shared" si="3"/>
        <v>0.33667614067378088</v>
      </c>
      <c r="BB29" s="710">
        <f t="shared" si="4"/>
        <v>-866.92196354125826</v>
      </c>
      <c r="BC29" s="710">
        <f t="shared" si="5"/>
        <v>-686.80014545519407</v>
      </c>
      <c r="BD29" s="710"/>
      <c r="BE29" s="17"/>
    </row>
    <row r="30" spans="1:57" ht="15" x14ac:dyDescent="0.25">
      <c r="A30" s="785" t="s">
        <v>356</v>
      </c>
      <c r="B30" s="786" t="s">
        <v>418</v>
      </c>
      <c r="C30" s="787">
        <v>0</v>
      </c>
      <c r="D30" s="788">
        <v>1027.3226259792295</v>
      </c>
      <c r="E30" s="788">
        <v>850.36065905067335</v>
      </c>
      <c r="F30" s="788">
        <v>28.510233500531562</v>
      </c>
      <c r="G30" s="788">
        <v>294.46831016207852</v>
      </c>
      <c r="H30" s="788">
        <v>285.97985747147214</v>
      </c>
      <c r="I30" s="788">
        <v>103.47103818960267</v>
      </c>
      <c r="J30" s="789">
        <v>229.47350107511772</v>
      </c>
      <c r="K30" s="790">
        <v>3912.4073817761723</v>
      </c>
      <c r="M30" s="787">
        <v>0</v>
      </c>
      <c r="N30" s="788">
        <v>1196.5645784092244</v>
      </c>
      <c r="O30" s="788">
        <v>1069.0557493800311</v>
      </c>
      <c r="P30" s="788">
        <v>37.592274391924704</v>
      </c>
      <c r="Q30" s="788">
        <v>338.6678665897025</v>
      </c>
      <c r="R30" s="788">
        <v>358.35243241003383</v>
      </c>
      <c r="S30" s="788">
        <v>133.88918124165554</v>
      </c>
      <c r="T30" s="789">
        <v>585.80176188358928</v>
      </c>
      <c r="U30" s="791">
        <v>4491.6545359642041</v>
      </c>
      <c r="V30" s="787">
        <f t="shared" si="0"/>
        <v>579.2471541880318</v>
      </c>
      <c r="W30" s="792">
        <f t="shared" si="1"/>
        <v>0.14805389563626234</v>
      </c>
      <c r="AB30" s="785" t="s">
        <v>356</v>
      </c>
      <c r="AC30" s="786" t="s">
        <v>418</v>
      </c>
      <c r="AD30" s="787">
        <v>0</v>
      </c>
      <c r="AE30" s="788">
        <v>1027.3226259792295</v>
      </c>
      <c r="AF30" s="788">
        <v>850.36065905067335</v>
      </c>
      <c r="AG30" s="788">
        <v>28.510233500531562</v>
      </c>
      <c r="AH30" s="788">
        <v>294.46831016207852</v>
      </c>
      <c r="AI30" s="788">
        <v>285.97985747147214</v>
      </c>
      <c r="AJ30" s="788">
        <v>103.47103818960267</v>
      </c>
      <c r="AK30" s="789">
        <v>229.47350107511772</v>
      </c>
      <c r="AL30" s="790">
        <v>2819.5862254287058</v>
      </c>
      <c r="AN30" s="787">
        <v>0</v>
      </c>
      <c r="AO30" s="788">
        <v>1196.5645784092244</v>
      </c>
      <c r="AP30" s="788">
        <v>1069.0557493800311</v>
      </c>
      <c r="AQ30" s="788">
        <v>37.592274391924704</v>
      </c>
      <c r="AR30" s="788">
        <v>338.6678665897025</v>
      </c>
      <c r="AS30" s="788">
        <v>358.35243241003383</v>
      </c>
      <c r="AT30" s="788">
        <v>133.88918124165554</v>
      </c>
      <c r="AU30" s="789">
        <v>585.80176188358928</v>
      </c>
      <c r="AV30" s="791">
        <v>3719.9238443061613</v>
      </c>
      <c r="AW30" s="787">
        <f t="shared" si="2"/>
        <v>900.3376188774555</v>
      </c>
      <c r="AX30" s="792">
        <f t="shared" si="3"/>
        <v>0.31931551188528134</v>
      </c>
      <c r="BB30" s="710">
        <f t="shared" si="4"/>
        <v>-1092.8211563474665</v>
      </c>
      <c r="BC30" s="710">
        <f t="shared" si="5"/>
        <v>-771.73069165804282</v>
      </c>
      <c r="BD30" s="710"/>
      <c r="BE30" s="17"/>
    </row>
    <row r="31" spans="1:57" ht="15" x14ac:dyDescent="0.25">
      <c r="A31" s="785" t="s">
        <v>358</v>
      </c>
      <c r="B31" s="786" t="s">
        <v>418</v>
      </c>
      <c r="C31" s="787">
        <v>0</v>
      </c>
      <c r="D31" s="788">
        <v>877.9556641627853</v>
      </c>
      <c r="E31" s="788">
        <v>740.42953579564346</v>
      </c>
      <c r="F31" s="788">
        <v>26.824760546640022</v>
      </c>
      <c r="G31" s="788">
        <v>240.89055585524184</v>
      </c>
      <c r="H31" s="788">
        <v>240.06643800794285</v>
      </c>
      <c r="I31" s="788">
        <v>84.703043219558438</v>
      </c>
      <c r="J31" s="789">
        <v>191.66574137841096</v>
      </c>
      <c r="K31" s="790">
        <v>3905.1948304454277</v>
      </c>
      <c r="M31" s="787">
        <v>38.06219790096786</v>
      </c>
      <c r="N31" s="788">
        <v>1165.0008591777087</v>
      </c>
      <c r="O31" s="788">
        <v>1078.398266872076</v>
      </c>
      <c r="P31" s="788">
        <v>37.16917393707201</v>
      </c>
      <c r="Q31" s="788">
        <v>327.88352913547999</v>
      </c>
      <c r="R31" s="788">
        <v>351.75484854385917</v>
      </c>
      <c r="S31" s="788">
        <v>124.81957860747767</v>
      </c>
      <c r="T31" s="789">
        <v>556.69369481589695</v>
      </c>
      <c r="U31" s="791">
        <v>4518.2307928766295</v>
      </c>
      <c r="V31" s="787">
        <f t="shared" si="0"/>
        <v>613.03596243120182</v>
      </c>
      <c r="W31" s="792">
        <f t="shared" si="1"/>
        <v>0.15697961024937615</v>
      </c>
      <c r="AB31" s="785" t="s">
        <v>358</v>
      </c>
      <c r="AC31" s="786" t="s">
        <v>418</v>
      </c>
      <c r="AD31" s="787">
        <v>0</v>
      </c>
      <c r="AE31" s="788">
        <v>877.9556641627853</v>
      </c>
      <c r="AF31" s="788">
        <v>740.42953579564346</v>
      </c>
      <c r="AG31" s="788">
        <v>26.824760546640022</v>
      </c>
      <c r="AH31" s="788">
        <v>240.89055585524184</v>
      </c>
      <c r="AI31" s="788">
        <v>240.06643800794285</v>
      </c>
      <c r="AJ31" s="788">
        <v>84.703043219558438</v>
      </c>
      <c r="AK31" s="789">
        <v>191.66574137841096</v>
      </c>
      <c r="AL31" s="790">
        <v>2402.5357389662227</v>
      </c>
      <c r="AN31" s="787">
        <v>38.06219790096786</v>
      </c>
      <c r="AO31" s="788">
        <v>1165.0008591777087</v>
      </c>
      <c r="AP31" s="788">
        <v>1078.398266872076</v>
      </c>
      <c r="AQ31" s="788">
        <v>37.16917393707201</v>
      </c>
      <c r="AR31" s="788">
        <v>327.88352913547999</v>
      </c>
      <c r="AS31" s="788">
        <v>351.75484854385917</v>
      </c>
      <c r="AT31" s="788">
        <v>124.81957860747767</v>
      </c>
      <c r="AU31" s="789">
        <v>556.69369481589695</v>
      </c>
      <c r="AV31" s="791">
        <v>3679.7821489905382</v>
      </c>
      <c r="AW31" s="787">
        <f t="shared" si="2"/>
        <v>1277.2464100243155</v>
      </c>
      <c r="AX31" s="792">
        <f t="shared" si="3"/>
        <v>0.53162431230841822</v>
      </c>
      <c r="BB31" s="710">
        <f t="shared" si="4"/>
        <v>-1502.659091479205</v>
      </c>
      <c r="BC31" s="710">
        <f t="shared" si="5"/>
        <v>-838.4486438860913</v>
      </c>
      <c r="BD31" s="710"/>
      <c r="BE31" s="17"/>
    </row>
    <row r="32" spans="1:57" ht="15" x14ac:dyDescent="0.25">
      <c r="A32" s="785" t="s">
        <v>356</v>
      </c>
      <c r="B32" s="786" t="s">
        <v>419</v>
      </c>
      <c r="C32" s="787">
        <v>0</v>
      </c>
      <c r="D32" s="788">
        <v>952.09920473405145</v>
      </c>
      <c r="E32" s="788">
        <v>864.99031264749306</v>
      </c>
      <c r="F32" s="788">
        <v>14.40709440331095</v>
      </c>
      <c r="G32" s="788">
        <v>313.70936078797888</v>
      </c>
      <c r="H32" s="788">
        <v>324.41083288320476</v>
      </c>
      <c r="I32" s="788">
        <v>104.86265382191675</v>
      </c>
      <c r="J32" s="789">
        <v>236.91792456325197</v>
      </c>
      <c r="K32" s="790">
        <v>4068.4285940581963</v>
      </c>
      <c r="M32" s="787">
        <v>0</v>
      </c>
      <c r="N32" s="788">
        <v>1116.5086871294561</v>
      </c>
      <c r="O32" s="788">
        <v>1100.2533334290401</v>
      </c>
      <c r="P32" s="788">
        <v>31.908483669376956</v>
      </c>
      <c r="Q32" s="788">
        <v>364.6994707841892</v>
      </c>
      <c r="R32" s="788">
        <v>408.83196502435084</v>
      </c>
      <c r="S32" s="788">
        <v>133.79009057978556</v>
      </c>
      <c r="T32" s="789">
        <v>586.66272925526687</v>
      </c>
      <c r="U32" s="791">
        <v>4640.9792004940618</v>
      </c>
      <c r="V32" s="787">
        <f t="shared" si="0"/>
        <v>572.55060643586557</v>
      </c>
      <c r="W32" s="792">
        <f t="shared" si="1"/>
        <v>0.14073015986370183</v>
      </c>
      <c r="AB32" s="785" t="s">
        <v>356</v>
      </c>
      <c r="AC32" s="786" t="s">
        <v>419</v>
      </c>
      <c r="AD32" s="787">
        <v>0</v>
      </c>
      <c r="AE32" s="788">
        <v>952.09920473405145</v>
      </c>
      <c r="AF32" s="788">
        <v>864.99031264749306</v>
      </c>
      <c r="AG32" s="788">
        <v>14.40709440331095</v>
      </c>
      <c r="AH32" s="788">
        <v>313.70936078797888</v>
      </c>
      <c r="AI32" s="788">
        <v>324.41083288320476</v>
      </c>
      <c r="AJ32" s="788">
        <v>104.86265382191675</v>
      </c>
      <c r="AK32" s="789">
        <v>236.91792456325197</v>
      </c>
      <c r="AL32" s="790">
        <v>2811.3973838412085</v>
      </c>
      <c r="AN32" s="787">
        <v>0</v>
      </c>
      <c r="AO32" s="788">
        <v>1116.5086871294561</v>
      </c>
      <c r="AP32" s="788">
        <v>1100.2533334290401</v>
      </c>
      <c r="AQ32" s="788">
        <v>31.908483669376956</v>
      </c>
      <c r="AR32" s="788">
        <v>364.6994707841892</v>
      </c>
      <c r="AS32" s="788">
        <v>408.83196502435084</v>
      </c>
      <c r="AT32" s="788">
        <v>133.79009057978556</v>
      </c>
      <c r="AU32" s="789">
        <v>586.66272925526687</v>
      </c>
      <c r="AV32" s="791">
        <v>3742.6547598714651</v>
      </c>
      <c r="AW32" s="787">
        <f t="shared" si="2"/>
        <v>931.25737603025664</v>
      </c>
      <c r="AX32" s="792">
        <f t="shared" si="3"/>
        <v>0.33124359486949545</v>
      </c>
      <c r="BB32" s="710">
        <f t="shared" si="4"/>
        <v>-1257.0312102169878</v>
      </c>
      <c r="BC32" s="710">
        <f t="shared" si="5"/>
        <v>-898.32444062259674</v>
      </c>
      <c r="BD32" s="710"/>
      <c r="BE32" s="17"/>
    </row>
    <row r="33" spans="1:57" ht="15" x14ac:dyDescent="0.25">
      <c r="A33" s="785" t="s">
        <v>358</v>
      </c>
      <c r="B33" s="786" t="s">
        <v>419</v>
      </c>
      <c r="C33" s="787">
        <v>0</v>
      </c>
      <c r="D33" s="788">
        <v>900.03866856642207</v>
      </c>
      <c r="E33" s="788">
        <v>874.79547020631719</v>
      </c>
      <c r="F33" s="788">
        <v>21.357873115108738</v>
      </c>
      <c r="G33" s="788">
        <v>306.4757881860624</v>
      </c>
      <c r="H33" s="788">
        <v>313.11664731565145</v>
      </c>
      <c r="I33" s="788">
        <v>101.84642117830471</v>
      </c>
      <c r="J33" s="789">
        <v>229.73508467992806</v>
      </c>
      <c r="K33" s="790">
        <v>3973.6052172560371</v>
      </c>
      <c r="M33" s="787">
        <v>0</v>
      </c>
      <c r="N33" s="788">
        <v>1121.0557552013161</v>
      </c>
      <c r="O33" s="788">
        <v>1117.2900278672357</v>
      </c>
      <c r="P33" s="788">
        <v>35.435781080995248</v>
      </c>
      <c r="Q33" s="788">
        <v>364.15474951074572</v>
      </c>
      <c r="R33" s="788">
        <v>402.65917267194652</v>
      </c>
      <c r="S33" s="788">
        <v>127.9390519417671</v>
      </c>
      <c r="T33" s="789">
        <v>564.77892167387461</v>
      </c>
      <c r="U33" s="791">
        <v>4565.4628216870333</v>
      </c>
      <c r="V33" s="787">
        <f t="shared" si="0"/>
        <v>591.85760443099616</v>
      </c>
      <c r="W33" s="792">
        <f t="shared" si="1"/>
        <v>0.14894725874144638</v>
      </c>
      <c r="AB33" s="785" t="s">
        <v>358</v>
      </c>
      <c r="AC33" s="786" t="s">
        <v>419</v>
      </c>
      <c r="AD33" s="787">
        <v>0</v>
      </c>
      <c r="AE33" s="788">
        <v>900.03866856642207</v>
      </c>
      <c r="AF33" s="788">
        <v>874.79547020631719</v>
      </c>
      <c r="AG33" s="788">
        <v>21.357873115108738</v>
      </c>
      <c r="AH33" s="788">
        <v>306.4757881860624</v>
      </c>
      <c r="AI33" s="788">
        <v>313.11664731565145</v>
      </c>
      <c r="AJ33" s="788">
        <v>101.84642117830471</v>
      </c>
      <c r="AK33" s="789">
        <v>229.73508467992806</v>
      </c>
      <c r="AL33" s="790">
        <v>2747.3659532477946</v>
      </c>
      <c r="AN33" s="787">
        <v>0</v>
      </c>
      <c r="AO33" s="788">
        <v>1121.0557552013161</v>
      </c>
      <c r="AP33" s="788">
        <v>1117.2900278672357</v>
      </c>
      <c r="AQ33" s="788">
        <v>35.435781080995248</v>
      </c>
      <c r="AR33" s="788">
        <v>364.15474951074572</v>
      </c>
      <c r="AS33" s="788">
        <v>402.65917267194652</v>
      </c>
      <c r="AT33" s="788">
        <v>127.9390519417671</v>
      </c>
      <c r="AU33" s="789">
        <v>564.77892167387461</v>
      </c>
      <c r="AV33" s="791">
        <v>3733.3134599478813</v>
      </c>
      <c r="AW33" s="787">
        <f t="shared" si="2"/>
        <v>985.94750670008671</v>
      </c>
      <c r="AX33" s="792">
        <f t="shared" si="3"/>
        <v>0.35887010448482493</v>
      </c>
      <c r="BB33" s="710">
        <f t="shared" si="4"/>
        <v>-1226.2392640082426</v>
      </c>
      <c r="BC33" s="710">
        <f t="shared" si="5"/>
        <v>-832.14936173915203</v>
      </c>
      <c r="BD33" s="710"/>
      <c r="BE33" s="17"/>
    </row>
    <row r="34" spans="1:57" ht="15" x14ac:dyDescent="0.25">
      <c r="A34" s="785" t="s">
        <v>356</v>
      </c>
      <c r="B34" s="786" t="s">
        <v>420</v>
      </c>
      <c r="C34" s="787">
        <v>0</v>
      </c>
      <c r="D34" s="788">
        <v>1169.2269660216668</v>
      </c>
      <c r="E34" s="788">
        <v>960.94304708212724</v>
      </c>
      <c r="F34" s="788">
        <v>32.92100236992529</v>
      </c>
      <c r="G34" s="788">
        <v>340.95599740556435</v>
      </c>
      <c r="H34" s="788">
        <v>363.83312433671745</v>
      </c>
      <c r="I34" s="788">
        <v>99.22596790046029</v>
      </c>
      <c r="J34" s="789">
        <v>219.13485517573096</v>
      </c>
      <c r="K34" s="790">
        <v>4328.2716592104398</v>
      </c>
      <c r="M34" s="787">
        <v>6.4041997860918212</v>
      </c>
      <c r="N34" s="788">
        <v>1267.7831042032828</v>
      </c>
      <c r="O34" s="788">
        <v>1129.1571102293324</v>
      </c>
      <c r="P34" s="788">
        <v>38.490327984792025</v>
      </c>
      <c r="Q34" s="788">
        <v>394.62418860695726</v>
      </c>
      <c r="R34" s="788">
        <v>431.64133409469957</v>
      </c>
      <c r="S34" s="788">
        <v>117.88763363505505</v>
      </c>
      <c r="T34" s="789">
        <v>504.73794174621725</v>
      </c>
      <c r="U34" s="791">
        <v>4985.1154178589959</v>
      </c>
      <c r="V34" s="787">
        <f t="shared" si="0"/>
        <v>656.8437586485561</v>
      </c>
      <c r="W34" s="792">
        <f t="shared" si="1"/>
        <v>0.15175659255370702</v>
      </c>
      <c r="AB34" s="785" t="s">
        <v>356</v>
      </c>
      <c r="AC34" s="786" t="s">
        <v>420</v>
      </c>
      <c r="AD34" s="787">
        <v>0</v>
      </c>
      <c r="AE34" s="788">
        <v>1169.2269660216668</v>
      </c>
      <c r="AF34" s="788">
        <v>960.94304708212724</v>
      </c>
      <c r="AG34" s="788">
        <v>32.92100236992529</v>
      </c>
      <c r="AH34" s="788">
        <v>340.95599740556435</v>
      </c>
      <c r="AI34" s="788">
        <v>363.83312433671745</v>
      </c>
      <c r="AJ34" s="788">
        <v>99.22596790046029</v>
      </c>
      <c r="AK34" s="789">
        <v>219.13485517573096</v>
      </c>
      <c r="AL34" s="790">
        <v>3186.2409602921921</v>
      </c>
      <c r="AN34" s="787">
        <v>6.4041997860918212</v>
      </c>
      <c r="AO34" s="788">
        <v>1267.7831042032828</v>
      </c>
      <c r="AP34" s="788">
        <v>1129.1571102293324</v>
      </c>
      <c r="AQ34" s="788">
        <v>38.490327984792025</v>
      </c>
      <c r="AR34" s="788">
        <v>394.62418860695726</v>
      </c>
      <c r="AS34" s="788">
        <v>431.64133409469957</v>
      </c>
      <c r="AT34" s="788">
        <v>117.88763363505505</v>
      </c>
      <c r="AU34" s="789">
        <v>504.73794174621725</v>
      </c>
      <c r="AV34" s="791">
        <v>3890.7258402864286</v>
      </c>
      <c r="AW34" s="787">
        <f t="shared" si="2"/>
        <v>704.48487999423651</v>
      </c>
      <c r="AX34" s="792">
        <f t="shared" si="3"/>
        <v>0.22110219809917708</v>
      </c>
      <c r="BB34" s="710">
        <f t="shared" si="4"/>
        <v>-1142.0306989182477</v>
      </c>
      <c r="BC34" s="710">
        <f t="shared" si="5"/>
        <v>-1094.3895775725673</v>
      </c>
      <c r="BD34" s="710"/>
      <c r="BE34" s="17"/>
    </row>
    <row r="35" spans="1:57" ht="15" x14ac:dyDescent="0.25">
      <c r="A35" s="785" t="s">
        <v>358</v>
      </c>
      <c r="B35" s="786" t="s">
        <v>420</v>
      </c>
      <c r="C35" s="787">
        <v>0</v>
      </c>
      <c r="D35" s="788">
        <v>1097.6523568274965</v>
      </c>
      <c r="E35" s="788">
        <v>1087.768357177928</v>
      </c>
      <c r="F35" s="788">
        <v>33.618058900758328</v>
      </c>
      <c r="G35" s="788">
        <v>354.6823833410499</v>
      </c>
      <c r="H35" s="788">
        <v>372.99001840128153</v>
      </c>
      <c r="I35" s="788">
        <v>97.539250287803213</v>
      </c>
      <c r="J35" s="789">
        <v>217.18109146091629</v>
      </c>
      <c r="K35" s="790">
        <v>4137.9797920512283</v>
      </c>
      <c r="M35" s="787">
        <v>58.629595928768225</v>
      </c>
      <c r="N35" s="788">
        <v>1202.1638003402477</v>
      </c>
      <c r="O35" s="788">
        <v>1264.9071318220272</v>
      </c>
      <c r="P35" s="788">
        <v>34.922300459773162</v>
      </c>
      <c r="Q35" s="788">
        <v>357.91707021653173</v>
      </c>
      <c r="R35" s="788">
        <v>428.70371962036847</v>
      </c>
      <c r="S35" s="788">
        <v>113.08560502700291</v>
      </c>
      <c r="T35" s="789">
        <v>480.01988618120038</v>
      </c>
      <c r="U35" s="791">
        <v>4875.1176055797323</v>
      </c>
      <c r="V35" s="787">
        <f t="shared" si="0"/>
        <v>737.13781352850401</v>
      </c>
      <c r="W35" s="792">
        <f t="shared" si="1"/>
        <v>0.17813953923711628</v>
      </c>
      <c r="AB35" s="785" t="s">
        <v>358</v>
      </c>
      <c r="AC35" s="786" t="s">
        <v>420</v>
      </c>
      <c r="AD35" s="787">
        <v>0</v>
      </c>
      <c r="AE35" s="788">
        <v>1097.6523568274965</v>
      </c>
      <c r="AF35" s="788">
        <v>1087.768357177928</v>
      </c>
      <c r="AG35" s="788">
        <v>33.618058900758328</v>
      </c>
      <c r="AH35" s="788">
        <v>354.6823833410499</v>
      </c>
      <c r="AI35" s="788">
        <v>372.99001840128153</v>
      </c>
      <c r="AJ35" s="788">
        <v>97.539250287803213</v>
      </c>
      <c r="AK35" s="789">
        <v>217.18109146091629</v>
      </c>
      <c r="AL35" s="790">
        <v>3261.4315163972337</v>
      </c>
      <c r="AN35" s="787">
        <v>58.629595928768225</v>
      </c>
      <c r="AO35" s="788">
        <v>1202.1638003402477</v>
      </c>
      <c r="AP35" s="788">
        <v>1264.9071318220272</v>
      </c>
      <c r="AQ35" s="788">
        <v>34.922300459773162</v>
      </c>
      <c r="AR35" s="788">
        <v>357.91707021653173</v>
      </c>
      <c r="AS35" s="788">
        <v>428.70371962036847</v>
      </c>
      <c r="AT35" s="788">
        <v>113.08560502700291</v>
      </c>
      <c r="AU35" s="789">
        <v>480.01988618120038</v>
      </c>
      <c r="AV35" s="791">
        <v>3940.3491095959198</v>
      </c>
      <c r="AW35" s="787">
        <f t="shared" si="2"/>
        <v>678.91759319868606</v>
      </c>
      <c r="AX35" s="792">
        <f t="shared" si="3"/>
        <v>0.20816552173036512</v>
      </c>
      <c r="BB35" s="710">
        <f t="shared" si="4"/>
        <v>-876.54827565399455</v>
      </c>
      <c r="BC35" s="710">
        <f t="shared" si="5"/>
        <v>-934.7684959838125</v>
      </c>
      <c r="BD35" s="710"/>
      <c r="BE35" s="17"/>
    </row>
    <row r="36" spans="1:57" ht="15" x14ac:dyDescent="0.25">
      <c r="A36" s="785" t="s">
        <v>356</v>
      </c>
      <c r="B36" s="786" t="s">
        <v>421</v>
      </c>
      <c r="C36" s="787">
        <v>0</v>
      </c>
      <c r="D36" s="788">
        <v>1047.2781580250673</v>
      </c>
      <c r="E36" s="788">
        <v>1121.803132805524</v>
      </c>
      <c r="F36" s="788">
        <v>37.548244842593228</v>
      </c>
      <c r="G36" s="788">
        <v>448.26607109564338</v>
      </c>
      <c r="H36" s="788">
        <v>428.7041386561026</v>
      </c>
      <c r="I36" s="788">
        <v>95.685665146512378</v>
      </c>
      <c r="J36" s="789">
        <v>386.17742109838974</v>
      </c>
      <c r="K36" s="790">
        <v>4658.4297290033655</v>
      </c>
      <c r="M36" s="787">
        <v>0</v>
      </c>
      <c r="N36" s="788">
        <v>1198.1408219970087</v>
      </c>
      <c r="O36" s="788">
        <v>1303.7601091927497</v>
      </c>
      <c r="P36" s="788">
        <v>40.260332448495518</v>
      </c>
      <c r="Q36" s="788">
        <v>469.70563425750856</v>
      </c>
      <c r="R36" s="788">
        <v>477.64712049270202</v>
      </c>
      <c r="S36" s="788">
        <v>121.95114554519422</v>
      </c>
      <c r="T36" s="789">
        <v>525.9238379092111</v>
      </c>
      <c r="U36" s="791">
        <v>4958.9005447346544</v>
      </c>
      <c r="V36" s="787">
        <f t="shared" si="0"/>
        <v>300.47081573128889</v>
      </c>
      <c r="W36" s="792">
        <f t="shared" si="1"/>
        <v>6.4500450411553653E-2</v>
      </c>
      <c r="AB36" s="785" t="s">
        <v>356</v>
      </c>
      <c r="AC36" s="786" t="s">
        <v>421</v>
      </c>
      <c r="AD36" s="787">
        <v>0</v>
      </c>
      <c r="AE36" s="788">
        <v>1047.2781580250673</v>
      </c>
      <c r="AF36" s="788">
        <v>1121.803132805524</v>
      </c>
      <c r="AG36" s="788">
        <v>37.548244842593228</v>
      </c>
      <c r="AH36" s="788">
        <v>448.26607109564338</v>
      </c>
      <c r="AI36" s="788">
        <v>428.7041386561026</v>
      </c>
      <c r="AJ36" s="788">
        <v>95.685665146512378</v>
      </c>
      <c r="AK36" s="789">
        <v>386.17742109838974</v>
      </c>
      <c r="AL36" s="790">
        <v>3565.4628316698331</v>
      </c>
      <c r="AN36" s="787">
        <v>0</v>
      </c>
      <c r="AO36" s="788">
        <v>1198.1408219970087</v>
      </c>
      <c r="AP36" s="788">
        <v>1303.7601091927497</v>
      </c>
      <c r="AQ36" s="788">
        <v>40.260332448495518</v>
      </c>
      <c r="AR36" s="788">
        <v>469.70563425750856</v>
      </c>
      <c r="AS36" s="788">
        <v>477.64712049270202</v>
      </c>
      <c r="AT36" s="788">
        <v>121.95114554519422</v>
      </c>
      <c r="AU36" s="789">
        <v>525.9238379092111</v>
      </c>
      <c r="AV36" s="791">
        <v>4137.3890018428692</v>
      </c>
      <c r="AW36" s="787">
        <f t="shared" si="2"/>
        <v>571.9261701730361</v>
      </c>
      <c r="AX36" s="792">
        <f t="shared" si="3"/>
        <v>0.16040727310153524</v>
      </c>
      <c r="BB36" s="710">
        <f t="shared" si="4"/>
        <v>-1092.9668973335324</v>
      </c>
      <c r="BC36" s="710">
        <f t="shared" si="5"/>
        <v>-821.51154289178521</v>
      </c>
      <c r="BD36" s="710"/>
      <c r="BE36" s="17"/>
    </row>
    <row r="37" spans="1:57" ht="15" x14ac:dyDescent="0.25">
      <c r="A37" s="785" t="s">
        <v>358</v>
      </c>
      <c r="B37" s="786" t="s">
        <v>421</v>
      </c>
      <c r="C37" s="787">
        <v>0</v>
      </c>
      <c r="D37" s="788">
        <v>929.06488297659507</v>
      </c>
      <c r="E37" s="788">
        <v>1351.2904896130392</v>
      </c>
      <c r="F37" s="788">
        <v>37.19700739778483</v>
      </c>
      <c r="G37" s="788">
        <v>416.76076406925011</v>
      </c>
      <c r="H37" s="788">
        <v>466.97013297376998</v>
      </c>
      <c r="I37" s="788">
        <v>94.385361101385087</v>
      </c>
      <c r="J37" s="789">
        <v>234.89414390339635</v>
      </c>
      <c r="K37" s="790">
        <v>4390.4374708246523</v>
      </c>
      <c r="M37" s="787">
        <v>0</v>
      </c>
      <c r="N37" s="788">
        <v>981.46043720319528</v>
      </c>
      <c r="O37" s="788">
        <v>1473.6752239187217</v>
      </c>
      <c r="P37" s="788">
        <v>34.036488280683578</v>
      </c>
      <c r="Q37" s="788">
        <v>383.08542611399321</v>
      </c>
      <c r="R37" s="788">
        <v>486.67550475815528</v>
      </c>
      <c r="S37" s="788">
        <v>108.1862434613591</v>
      </c>
      <c r="T37" s="789">
        <v>455.54608152472008</v>
      </c>
      <c r="U37" s="791">
        <v>4770.8110968841029</v>
      </c>
      <c r="V37" s="787">
        <f t="shared" si="0"/>
        <v>380.37362605945054</v>
      </c>
      <c r="W37" s="792">
        <f t="shared" si="1"/>
        <v>8.663683940088214E-2</v>
      </c>
      <c r="AB37" s="785" t="s">
        <v>358</v>
      </c>
      <c r="AC37" s="786" t="s">
        <v>421</v>
      </c>
      <c r="AD37" s="787">
        <v>0</v>
      </c>
      <c r="AE37" s="788">
        <v>929.06488297659507</v>
      </c>
      <c r="AF37" s="788">
        <v>1351.2904896130392</v>
      </c>
      <c r="AG37" s="788">
        <v>37.19700739778483</v>
      </c>
      <c r="AH37" s="788">
        <v>416.76076406925011</v>
      </c>
      <c r="AI37" s="788">
        <v>466.97013297376998</v>
      </c>
      <c r="AJ37" s="788">
        <v>94.385361101385087</v>
      </c>
      <c r="AK37" s="789">
        <v>234.89414390339635</v>
      </c>
      <c r="AL37" s="790">
        <v>3530.5627820352211</v>
      </c>
      <c r="AN37" s="787">
        <v>0</v>
      </c>
      <c r="AO37" s="788">
        <v>981.46043720319528</v>
      </c>
      <c r="AP37" s="788">
        <v>1473.6752239187217</v>
      </c>
      <c r="AQ37" s="788">
        <v>34.036488280683578</v>
      </c>
      <c r="AR37" s="788">
        <v>383.08542611399321</v>
      </c>
      <c r="AS37" s="788">
        <v>486.67550475815528</v>
      </c>
      <c r="AT37" s="788">
        <v>108.1862434613591</v>
      </c>
      <c r="AU37" s="789">
        <v>455.54608152472008</v>
      </c>
      <c r="AV37" s="791">
        <v>3922.6654052608283</v>
      </c>
      <c r="AW37" s="787">
        <f t="shared" si="2"/>
        <v>392.1026232256072</v>
      </c>
      <c r="AX37" s="792">
        <f t="shared" si="3"/>
        <v>0.11105952434007604</v>
      </c>
      <c r="BB37" s="710">
        <f t="shared" si="4"/>
        <v>-859.87468878943127</v>
      </c>
      <c r="BC37" s="710">
        <f t="shared" si="5"/>
        <v>-848.14569162327462</v>
      </c>
      <c r="BD37" s="710"/>
      <c r="BE37" s="17"/>
    </row>
    <row r="38" spans="1:57" ht="15" x14ac:dyDescent="0.25">
      <c r="A38" s="766" t="s">
        <v>356</v>
      </c>
      <c r="B38" s="767" t="s">
        <v>360</v>
      </c>
      <c r="C38" s="793">
        <v>0</v>
      </c>
      <c r="D38" s="794">
        <v>1100.0179880061769</v>
      </c>
      <c r="E38" s="794">
        <v>1304.3521240907803</v>
      </c>
      <c r="F38" s="794">
        <v>39.96727039835239</v>
      </c>
      <c r="G38" s="794">
        <v>517.21578168981694</v>
      </c>
      <c r="H38" s="794">
        <v>482.30110886022578</v>
      </c>
      <c r="I38" s="794">
        <v>104.41985751657371</v>
      </c>
      <c r="J38" s="795">
        <v>308.20255715055612</v>
      </c>
      <c r="K38" s="796">
        <v>3879.2141816415738</v>
      </c>
      <c r="M38" s="793">
        <v>0</v>
      </c>
      <c r="N38" s="794">
        <v>1401.6794800180364</v>
      </c>
      <c r="O38" s="794">
        <v>1694.219845573288</v>
      </c>
      <c r="P38" s="794">
        <v>46.524545859496648</v>
      </c>
      <c r="Q38" s="794">
        <v>601.46207641104218</v>
      </c>
      <c r="R38" s="794">
        <v>603.40021023580914</v>
      </c>
      <c r="S38" s="794">
        <v>106.02307799389165</v>
      </c>
      <c r="T38" s="795">
        <v>484.39157931425927</v>
      </c>
      <c r="U38" s="797">
        <v>3923.7005828071883</v>
      </c>
      <c r="V38" s="787">
        <f t="shared" si="0"/>
        <v>44.486401165614552</v>
      </c>
      <c r="W38" s="792">
        <f t="shared" si="1"/>
        <v>1.1467889908256926E-2</v>
      </c>
      <c r="AB38" s="766" t="s">
        <v>356</v>
      </c>
      <c r="AC38" s="767" t="s">
        <v>360</v>
      </c>
      <c r="AD38" s="793">
        <v>0</v>
      </c>
      <c r="AE38" s="794">
        <v>1100.0179880061769</v>
      </c>
      <c r="AF38" s="794">
        <v>1304.3521240907803</v>
      </c>
      <c r="AG38" s="794">
        <v>39.96727039835239</v>
      </c>
      <c r="AH38" s="794">
        <v>517.21578168981694</v>
      </c>
      <c r="AI38" s="794">
        <v>482.30110886022578</v>
      </c>
      <c r="AJ38" s="794">
        <v>104.41985751657371</v>
      </c>
      <c r="AK38" s="795">
        <v>308.20255715055612</v>
      </c>
      <c r="AL38" s="796">
        <v>3856.4766877124821</v>
      </c>
      <c r="AN38" s="793">
        <v>0</v>
      </c>
      <c r="AO38" s="794">
        <v>1401.6794800180364</v>
      </c>
      <c r="AP38" s="794">
        <v>1694.219845573288</v>
      </c>
      <c r="AQ38" s="794">
        <v>46.524545859496648</v>
      </c>
      <c r="AR38" s="794">
        <v>601.46207641104218</v>
      </c>
      <c r="AS38" s="794">
        <v>603.40021023580914</v>
      </c>
      <c r="AT38" s="794">
        <v>106.02307799389165</v>
      </c>
      <c r="AU38" s="795">
        <v>484.39157931425927</v>
      </c>
      <c r="AV38" s="797">
        <v>4937.7008154058249</v>
      </c>
      <c r="AW38" s="787">
        <f t="shared" si="2"/>
        <v>1081.2241276933428</v>
      </c>
      <c r="AX38" s="792">
        <f t="shared" si="3"/>
        <v>0.28036578858063432</v>
      </c>
      <c r="BB38" s="796">
        <f t="shared" si="4"/>
        <v>-22.73749392909167</v>
      </c>
      <c r="BC38" s="796">
        <f t="shared" si="5"/>
        <v>1014.0002325986366</v>
      </c>
      <c r="BD38" s="710"/>
      <c r="BE38" s="17">
        <f>IF(BC38&gt;0, 1, 0)</f>
        <v>1</v>
      </c>
    </row>
    <row r="39" spans="1:57" ht="15" x14ac:dyDescent="0.25">
      <c r="A39" s="766" t="s">
        <v>358</v>
      </c>
      <c r="B39" s="767" t="s">
        <v>360</v>
      </c>
      <c r="C39" s="793">
        <v>0</v>
      </c>
      <c r="D39" s="794">
        <v>981.40290117059249</v>
      </c>
      <c r="E39" s="794">
        <v>1574.5827528364434</v>
      </c>
      <c r="F39" s="794">
        <v>41.665022023030062</v>
      </c>
      <c r="G39" s="794">
        <v>475.73152033502225</v>
      </c>
      <c r="H39" s="794">
        <v>548.38205296202682</v>
      </c>
      <c r="I39" s="794">
        <v>74.177108888605616</v>
      </c>
      <c r="J39" s="795">
        <v>224.27468949368503</v>
      </c>
      <c r="K39" s="796">
        <v>5331.2160477094058</v>
      </c>
      <c r="M39" s="793">
        <v>0</v>
      </c>
      <c r="N39" s="794">
        <v>944.91446184531242</v>
      </c>
      <c r="O39" s="794">
        <v>1710.5789723382172</v>
      </c>
      <c r="P39" s="794">
        <v>37.369738460721109</v>
      </c>
      <c r="Q39" s="794">
        <v>436.09773440563907</v>
      </c>
      <c r="R39" s="794">
        <v>553.88458180514579</v>
      </c>
      <c r="S39" s="794">
        <v>86.088760675235761</v>
      </c>
      <c r="T39" s="795">
        <v>395.92392891654674</v>
      </c>
      <c r="U39" s="797">
        <v>5066.8582271618316</v>
      </c>
      <c r="V39" s="787">
        <f t="shared" si="0"/>
        <v>-264.35782054757419</v>
      </c>
      <c r="W39" s="792">
        <f t="shared" si="1"/>
        <v>-4.9586776859504196E-2</v>
      </c>
      <c r="AB39" s="766" t="s">
        <v>358</v>
      </c>
      <c r="AC39" s="767" t="s">
        <v>360</v>
      </c>
      <c r="AD39" s="793">
        <v>0</v>
      </c>
      <c r="AE39" s="794">
        <v>981.40290117059249</v>
      </c>
      <c r="AF39" s="794">
        <v>1574.5827528364434</v>
      </c>
      <c r="AG39" s="794">
        <v>41.665022023030062</v>
      </c>
      <c r="AH39" s="794">
        <v>475.73152033502225</v>
      </c>
      <c r="AI39" s="794">
        <v>548.38205296202682</v>
      </c>
      <c r="AJ39" s="794">
        <v>74.177108888605616</v>
      </c>
      <c r="AK39" s="795">
        <v>224.27468949368503</v>
      </c>
      <c r="AL39" s="796">
        <v>3920.2160477094058</v>
      </c>
      <c r="AN39" s="793">
        <v>0</v>
      </c>
      <c r="AO39" s="794">
        <v>944.91446184531242</v>
      </c>
      <c r="AP39" s="794">
        <v>1710.5789723382172</v>
      </c>
      <c r="AQ39" s="794">
        <v>37.369738460721109</v>
      </c>
      <c r="AR39" s="794">
        <v>436.09773440563907</v>
      </c>
      <c r="AS39" s="794">
        <v>553.88458180514579</v>
      </c>
      <c r="AT39" s="794">
        <v>86.088760675235761</v>
      </c>
      <c r="AU39" s="795">
        <v>395.92392891654674</v>
      </c>
      <c r="AV39" s="797">
        <v>4164.8581784468188</v>
      </c>
      <c r="AW39" s="787">
        <f t="shared" si="2"/>
        <v>244.64213073741303</v>
      </c>
      <c r="AX39" s="792">
        <f t="shared" si="3"/>
        <v>6.2405267403657046E-2</v>
      </c>
      <c r="BB39" s="796">
        <f t="shared" si="4"/>
        <v>-1411</v>
      </c>
      <c r="BC39" s="796">
        <f t="shared" si="5"/>
        <v>-902.00004871501278</v>
      </c>
      <c r="BD39" s="710"/>
      <c r="BE39" s="17">
        <f t="shared" ref="BE39:BE41" si="7">IF(BC39&gt;0, 1, 0)</f>
        <v>0</v>
      </c>
    </row>
    <row r="40" spans="1:57" ht="15" x14ac:dyDescent="0.25">
      <c r="A40" s="766" t="s">
        <v>356</v>
      </c>
      <c r="B40" s="767" t="s">
        <v>361</v>
      </c>
      <c r="C40" s="793">
        <v>0</v>
      </c>
      <c r="D40" s="794">
        <v>1407.0377175793767</v>
      </c>
      <c r="E40" s="794">
        <v>1570.4122827491346</v>
      </c>
      <c r="F40" s="794">
        <v>42.177695514773298</v>
      </c>
      <c r="G40" s="794">
        <v>554.24181413806764</v>
      </c>
      <c r="H40" s="794">
        <v>505.19041481620496</v>
      </c>
      <c r="I40" s="794">
        <v>86.215032120909569</v>
      </c>
      <c r="J40" s="795">
        <v>257.53264989803102</v>
      </c>
      <c r="K40" s="796">
        <v>4477.1686836255867</v>
      </c>
      <c r="M40" s="793">
        <v>0</v>
      </c>
      <c r="N40" s="794">
        <v>1654.1081089107408</v>
      </c>
      <c r="O40" s="794">
        <v>1882.1154897184372</v>
      </c>
      <c r="P40" s="794">
        <v>44.104522187283187</v>
      </c>
      <c r="Q40" s="794">
        <v>615.30174211880683</v>
      </c>
      <c r="R40" s="794">
        <v>591.57151113148643</v>
      </c>
      <c r="S40" s="794">
        <v>117.83273367407567</v>
      </c>
      <c r="T40" s="795">
        <v>381.52962997315285</v>
      </c>
      <c r="U40" s="797">
        <v>4334.5640898987403</v>
      </c>
      <c r="V40" s="787">
        <f t="shared" si="0"/>
        <v>-142.60459372684636</v>
      </c>
      <c r="W40" s="792">
        <f t="shared" si="1"/>
        <v>-3.1851512373968882E-2</v>
      </c>
      <c r="AB40" s="766" t="s">
        <v>356</v>
      </c>
      <c r="AC40" s="767" t="s">
        <v>361</v>
      </c>
      <c r="AD40" s="793">
        <v>0</v>
      </c>
      <c r="AE40" s="794">
        <v>1407.0377175793767</v>
      </c>
      <c r="AF40" s="794">
        <v>1570.4122827491346</v>
      </c>
      <c r="AG40" s="794">
        <v>42.177695514773298</v>
      </c>
      <c r="AH40" s="794">
        <v>554.24181413806764</v>
      </c>
      <c r="AI40" s="794">
        <v>505.19041481620496</v>
      </c>
      <c r="AJ40" s="794">
        <v>86.215032120909569</v>
      </c>
      <c r="AK40" s="795">
        <v>257.53264989803102</v>
      </c>
      <c r="AL40" s="796">
        <v>4422.8076068164974</v>
      </c>
      <c r="AN40" s="793">
        <v>0</v>
      </c>
      <c r="AO40" s="794">
        <v>1654.1081089107408</v>
      </c>
      <c r="AP40" s="794">
        <v>1882.1154897184372</v>
      </c>
      <c r="AQ40" s="794">
        <v>44.104522187283187</v>
      </c>
      <c r="AR40" s="794">
        <v>615.30174211880683</v>
      </c>
      <c r="AS40" s="794">
        <v>591.57151113148643</v>
      </c>
      <c r="AT40" s="794">
        <v>117.83273367407567</v>
      </c>
      <c r="AU40" s="795">
        <v>381.52962997315285</v>
      </c>
      <c r="AV40" s="797">
        <v>5286.5637377139828</v>
      </c>
      <c r="AW40" s="787">
        <f t="shared" si="2"/>
        <v>863.75613089748549</v>
      </c>
      <c r="AX40" s="792">
        <f t="shared" si="3"/>
        <v>0.19529588616205046</v>
      </c>
      <c r="BB40" s="796">
        <f t="shared" si="4"/>
        <v>-54.361076809089354</v>
      </c>
      <c r="BC40" s="796">
        <f t="shared" si="5"/>
        <v>951.9996478152425</v>
      </c>
      <c r="BD40" s="710"/>
      <c r="BE40" s="17">
        <f t="shared" si="7"/>
        <v>1</v>
      </c>
    </row>
    <row r="41" spans="1:57" ht="15" x14ac:dyDescent="0.25">
      <c r="A41" s="766" t="s">
        <v>358</v>
      </c>
      <c r="B41" s="767" t="s">
        <v>361</v>
      </c>
      <c r="C41" s="793">
        <v>0</v>
      </c>
      <c r="D41" s="794">
        <v>1117.4187596414777</v>
      </c>
      <c r="E41" s="794">
        <v>1871.8704403010349</v>
      </c>
      <c r="F41" s="794">
        <v>41.235461244838234</v>
      </c>
      <c r="G41" s="794">
        <v>474.02506852559048</v>
      </c>
      <c r="H41" s="794">
        <v>576.30928054541982</v>
      </c>
      <c r="I41" s="794">
        <v>59.310798027349819</v>
      </c>
      <c r="J41" s="795">
        <v>247.80954439285884</v>
      </c>
      <c r="K41" s="796">
        <v>6006.9793526785706</v>
      </c>
      <c r="M41" s="793">
        <v>0</v>
      </c>
      <c r="N41" s="794">
        <v>1251.6603953059507</v>
      </c>
      <c r="O41" s="794">
        <v>2296.9076540078954</v>
      </c>
      <c r="P41" s="794">
        <v>41.3762650838583</v>
      </c>
      <c r="Q41" s="794">
        <v>498.51012601344866</v>
      </c>
      <c r="R41" s="794">
        <v>659.45031135055729</v>
      </c>
      <c r="S41" s="794">
        <v>113.57978172406115</v>
      </c>
      <c r="T41" s="795">
        <v>367.048040274436</v>
      </c>
      <c r="U41" s="797">
        <v>5115.5326450892853</v>
      </c>
      <c r="V41" s="787">
        <f t="shared" si="0"/>
        <v>-891.44670758928532</v>
      </c>
      <c r="W41" s="792">
        <f t="shared" si="1"/>
        <v>-0.14840182648401823</v>
      </c>
      <c r="AB41" s="766" t="s">
        <v>358</v>
      </c>
      <c r="AC41" s="767" t="s">
        <v>361</v>
      </c>
      <c r="AD41" s="793">
        <v>0</v>
      </c>
      <c r="AE41" s="794">
        <v>1117.4187596414777</v>
      </c>
      <c r="AF41" s="794">
        <v>1871.8704403010349</v>
      </c>
      <c r="AG41" s="794">
        <v>41.235461244838234</v>
      </c>
      <c r="AH41" s="794">
        <v>474.02506852559048</v>
      </c>
      <c r="AI41" s="794">
        <v>576.30928054541982</v>
      </c>
      <c r="AJ41" s="794">
        <v>59.310798027349819</v>
      </c>
      <c r="AK41" s="795">
        <v>247.80954439285884</v>
      </c>
      <c r="AL41" s="796">
        <v>4387.9793526785697</v>
      </c>
      <c r="AN41" s="793">
        <v>0</v>
      </c>
      <c r="AO41" s="794">
        <v>1251.6603953059507</v>
      </c>
      <c r="AP41" s="794">
        <v>2296.9076540078954</v>
      </c>
      <c r="AQ41" s="794">
        <v>41.3762650838583</v>
      </c>
      <c r="AR41" s="794">
        <v>498.51012601344866</v>
      </c>
      <c r="AS41" s="794">
        <v>659.45031135055729</v>
      </c>
      <c r="AT41" s="794">
        <v>113.57978172406115</v>
      </c>
      <c r="AU41" s="795">
        <v>367.048040274436</v>
      </c>
      <c r="AV41" s="797">
        <v>5228.5325737602079</v>
      </c>
      <c r="AW41" s="787">
        <f t="shared" si="2"/>
        <v>840.55322108163818</v>
      </c>
      <c r="AX41" s="792">
        <f t="shared" si="3"/>
        <v>0.19155815320063807</v>
      </c>
      <c r="BB41" s="796">
        <f t="shared" si="4"/>
        <v>-1619.0000000000009</v>
      </c>
      <c r="BC41" s="796">
        <f t="shared" si="5"/>
        <v>112.9999286709226</v>
      </c>
      <c r="BD41" s="710"/>
      <c r="BE41" s="17">
        <f t="shared" si="7"/>
        <v>1</v>
      </c>
    </row>
    <row r="42" spans="1:57" ht="15" x14ac:dyDescent="0.25">
      <c r="A42" s="785" t="s">
        <v>356</v>
      </c>
      <c r="B42" s="786" t="s">
        <v>422</v>
      </c>
      <c r="C42" s="787">
        <v>0</v>
      </c>
      <c r="D42" s="788">
        <v>951.60926378443503</v>
      </c>
      <c r="E42" s="788">
        <v>1206.0758990233419</v>
      </c>
      <c r="F42" s="788">
        <v>37.778564549934849</v>
      </c>
      <c r="G42" s="788">
        <v>452.15572276902492</v>
      </c>
      <c r="H42" s="788">
        <v>500.59271791563748</v>
      </c>
      <c r="I42" s="788">
        <v>46.528064425048285</v>
      </c>
      <c r="J42" s="789">
        <v>130.40316486853459</v>
      </c>
      <c r="K42" s="790">
        <v>4595.2043502969864</v>
      </c>
      <c r="M42" s="787">
        <v>0</v>
      </c>
      <c r="N42" s="788">
        <v>988.04551977167228</v>
      </c>
      <c r="O42" s="788">
        <v>1288.2294553650158</v>
      </c>
      <c r="P42" s="788">
        <v>35.909733536910878</v>
      </c>
      <c r="Q42" s="788">
        <v>437.71431060286881</v>
      </c>
      <c r="R42" s="788">
        <v>521.63652551149255</v>
      </c>
      <c r="S42" s="788">
        <v>52.982569686810614</v>
      </c>
      <c r="T42" s="789">
        <v>295.16789586446293</v>
      </c>
      <c r="U42" s="791">
        <v>5030.6735985226533</v>
      </c>
      <c r="V42" s="787">
        <f t="shared" si="0"/>
        <v>435.46924822566689</v>
      </c>
      <c r="W42" s="792">
        <f t="shared" si="1"/>
        <v>9.4766024539805871E-2</v>
      </c>
      <c r="AB42" s="785" t="s">
        <v>356</v>
      </c>
      <c r="AC42" s="786" t="s">
        <v>422</v>
      </c>
      <c r="AD42" s="787">
        <v>0</v>
      </c>
      <c r="AE42" s="788">
        <v>951.60926378443503</v>
      </c>
      <c r="AF42" s="788">
        <v>1206.0758990233419</v>
      </c>
      <c r="AG42" s="788">
        <v>37.778564549934849</v>
      </c>
      <c r="AH42" s="788">
        <v>452.15572276902492</v>
      </c>
      <c r="AI42" s="788">
        <v>500.59271791563748</v>
      </c>
      <c r="AJ42" s="788">
        <v>46.528064425048285</v>
      </c>
      <c r="AK42" s="789">
        <v>130.40316486853459</v>
      </c>
      <c r="AL42" s="790">
        <v>3325.1433973359572</v>
      </c>
      <c r="AN42" s="787">
        <v>0</v>
      </c>
      <c r="AO42" s="788">
        <v>988.04551977167228</v>
      </c>
      <c r="AP42" s="788">
        <v>1288.2294553650158</v>
      </c>
      <c r="AQ42" s="788">
        <v>35.909733536910878</v>
      </c>
      <c r="AR42" s="788">
        <v>437.71431060286881</v>
      </c>
      <c r="AS42" s="788">
        <v>521.63652551149255</v>
      </c>
      <c r="AT42" s="788">
        <v>52.982569686810614</v>
      </c>
      <c r="AU42" s="789">
        <v>295.16789586446293</v>
      </c>
      <c r="AV42" s="791">
        <v>3619.6860103392341</v>
      </c>
      <c r="AW42" s="787">
        <f t="shared" si="2"/>
        <v>294.54261300327698</v>
      </c>
      <c r="AX42" s="792">
        <f t="shared" si="3"/>
        <v>8.8580424302680913E-2</v>
      </c>
      <c r="BB42" s="710">
        <f t="shared" si="4"/>
        <v>-1270.0609529610292</v>
      </c>
      <c r="BC42" s="710">
        <f t="shared" si="5"/>
        <v>-1410.9875881834191</v>
      </c>
      <c r="BD42" s="710"/>
      <c r="BE42" s="17"/>
    </row>
    <row r="43" spans="1:57" ht="15" x14ac:dyDescent="0.25">
      <c r="A43" s="785" t="s">
        <v>358</v>
      </c>
      <c r="B43" s="786" t="s">
        <v>422</v>
      </c>
      <c r="C43" s="787">
        <v>0</v>
      </c>
      <c r="D43" s="788">
        <v>675.93037673244703</v>
      </c>
      <c r="E43" s="788">
        <v>1005.466342298233</v>
      </c>
      <c r="F43" s="788">
        <v>31.826288871323062</v>
      </c>
      <c r="G43" s="788">
        <v>373.08194879978856</v>
      </c>
      <c r="H43" s="788">
        <v>393.33732483177806</v>
      </c>
      <c r="I43" s="788">
        <v>37.414912693145666</v>
      </c>
      <c r="J43" s="789">
        <v>106.18631023803111</v>
      </c>
      <c r="K43" s="790">
        <v>3589.9726821254926</v>
      </c>
      <c r="M43" s="787">
        <v>0</v>
      </c>
      <c r="N43" s="788">
        <v>742.66368104750416</v>
      </c>
      <c r="O43" s="788">
        <v>1230.4514600433452</v>
      </c>
      <c r="P43" s="788">
        <v>31.531071118811688</v>
      </c>
      <c r="Q43" s="788">
        <v>374.14872622861236</v>
      </c>
      <c r="R43" s="788">
        <v>435.17345163637845</v>
      </c>
      <c r="S43" s="788">
        <v>46.736077908716609</v>
      </c>
      <c r="T43" s="789">
        <v>261.78321628180845</v>
      </c>
      <c r="U43" s="791">
        <v>4021.7617901250637</v>
      </c>
      <c r="V43" s="787">
        <f t="shared" si="0"/>
        <v>431.78910799957112</v>
      </c>
      <c r="W43" s="792">
        <f t="shared" si="1"/>
        <v>0.12027643278442009</v>
      </c>
      <c r="AB43" s="785" t="s">
        <v>358</v>
      </c>
      <c r="AC43" s="786" t="s">
        <v>422</v>
      </c>
      <c r="AD43" s="787">
        <v>0</v>
      </c>
      <c r="AE43" s="788">
        <v>675.93037673244703</v>
      </c>
      <c r="AF43" s="788">
        <v>1005.466342298233</v>
      </c>
      <c r="AG43" s="788">
        <v>31.826288871323062</v>
      </c>
      <c r="AH43" s="788">
        <v>373.08194879978856</v>
      </c>
      <c r="AI43" s="788">
        <v>393.33732483177806</v>
      </c>
      <c r="AJ43" s="788">
        <v>37.414912693145666</v>
      </c>
      <c r="AK43" s="789">
        <v>106.18631023803111</v>
      </c>
      <c r="AL43" s="790">
        <v>2623.2435044647464</v>
      </c>
      <c r="AN43" s="787">
        <v>0</v>
      </c>
      <c r="AO43" s="788">
        <v>742.66368104750416</v>
      </c>
      <c r="AP43" s="788">
        <v>1230.4514600433452</v>
      </c>
      <c r="AQ43" s="788">
        <v>31.531071118811688</v>
      </c>
      <c r="AR43" s="788">
        <v>374.14872622861236</v>
      </c>
      <c r="AS43" s="788">
        <v>435.17345163637845</v>
      </c>
      <c r="AT43" s="788">
        <v>46.736077908716609</v>
      </c>
      <c r="AU43" s="789">
        <v>261.78321628180845</v>
      </c>
      <c r="AV43" s="791">
        <v>3122.487684265177</v>
      </c>
      <c r="AW43" s="787">
        <f t="shared" si="2"/>
        <v>499.24417980043063</v>
      </c>
      <c r="AX43" s="792">
        <f t="shared" si="3"/>
        <v>0.19031560697690464</v>
      </c>
      <c r="BB43" s="710">
        <f t="shared" si="4"/>
        <v>-966.72917766074625</v>
      </c>
      <c r="BC43" s="710">
        <f t="shared" si="5"/>
        <v>-899.27410585988673</v>
      </c>
      <c r="BD43" s="710"/>
      <c r="BE43" s="17"/>
    </row>
    <row r="44" spans="1:57" ht="15" x14ac:dyDescent="0.25">
      <c r="A44" s="785" t="s">
        <v>356</v>
      </c>
      <c r="B44" s="786" t="s">
        <v>423</v>
      </c>
      <c r="C44" s="787">
        <v>0</v>
      </c>
      <c r="D44" s="788">
        <v>446.78356143885492</v>
      </c>
      <c r="E44" s="788">
        <v>501.35438586530745</v>
      </c>
      <c r="F44" s="788">
        <v>0</v>
      </c>
      <c r="G44" s="788">
        <v>233.31715211991187</v>
      </c>
      <c r="H44" s="788">
        <v>235.02696983317705</v>
      </c>
      <c r="I44" s="788">
        <v>27.482818136712687</v>
      </c>
      <c r="J44" s="789">
        <v>95.815703437081538</v>
      </c>
      <c r="K44" s="790">
        <v>2788.8635290806487</v>
      </c>
      <c r="M44" s="787">
        <v>0</v>
      </c>
      <c r="N44" s="788">
        <v>729.97042584203859</v>
      </c>
      <c r="O44" s="788">
        <v>742.65649525949448</v>
      </c>
      <c r="P44" s="788">
        <v>0</v>
      </c>
      <c r="Q44" s="788">
        <v>280.67681599538076</v>
      </c>
      <c r="R44" s="788">
        <v>308.61563836418338</v>
      </c>
      <c r="S44" s="788">
        <v>33.057227580291766</v>
      </c>
      <c r="T44" s="789">
        <v>253.62617825669565</v>
      </c>
      <c r="U44" s="791">
        <v>3616.9363554962588</v>
      </c>
      <c r="V44" s="787">
        <f t="shared" si="0"/>
        <v>828.07282641561005</v>
      </c>
      <c r="W44" s="792">
        <f t="shared" si="1"/>
        <v>0.29692124328815223</v>
      </c>
      <c r="AB44" s="785" t="s">
        <v>356</v>
      </c>
      <c r="AC44" s="786" t="s">
        <v>423</v>
      </c>
      <c r="AD44" s="787">
        <v>0</v>
      </c>
      <c r="AE44" s="788">
        <v>446.78356143885492</v>
      </c>
      <c r="AF44" s="788">
        <v>501.35438586530745</v>
      </c>
      <c r="AG44" s="788">
        <v>0</v>
      </c>
      <c r="AH44" s="788">
        <v>233.31715211991187</v>
      </c>
      <c r="AI44" s="788">
        <v>235.02696983317705</v>
      </c>
      <c r="AJ44" s="788">
        <v>27.482818136712687</v>
      </c>
      <c r="AK44" s="789">
        <v>95.815703437081538</v>
      </c>
      <c r="AL44" s="790">
        <v>1539.7805908310454</v>
      </c>
      <c r="AN44" s="787">
        <v>0</v>
      </c>
      <c r="AO44" s="788">
        <v>729.97042584203859</v>
      </c>
      <c r="AP44" s="788">
        <v>742.65649525949448</v>
      </c>
      <c r="AQ44" s="788">
        <v>0</v>
      </c>
      <c r="AR44" s="788">
        <v>280.67681599538076</v>
      </c>
      <c r="AS44" s="788">
        <v>308.61563836418338</v>
      </c>
      <c r="AT44" s="788">
        <v>33.057227580291766</v>
      </c>
      <c r="AU44" s="789">
        <v>253.62617825669565</v>
      </c>
      <c r="AV44" s="791">
        <v>2348.6027812980851</v>
      </c>
      <c r="AW44" s="787">
        <f t="shared" si="2"/>
        <v>808.82219046703972</v>
      </c>
      <c r="AX44" s="792">
        <f t="shared" si="3"/>
        <v>0.52528405363942454</v>
      </c>
      <c r="BB44" s="710">
        <f t="shared" si="4"/>
        <v>-1249.0829382496033</v>
      </c>
      <c r="BC44" s="710">
        <f t="shared" si="5"/>
        <v>-1268.3335741981737</v>
      </c>
      <c r="BD44" s="710"/>
      <c r="BE44" s="17"/>
    </row>
    <row r="45" spans="1:57" ht="15" x14ac:dyDescent="0.25">
      <c r="A45" s="785" t="s">
        <v>358</v>
      </c>
      <c r="B45" s="786" t="s">
        <v>423</v>
      </c>
      <c r="C45" s="787">
        <v>0</v>
      </c>
      <c r="D45" s="788">
        <v>422.5344845915829</v>
      </c>
      <c r="E45" s="788">
        <v>598.87895178773169</v>
      </c>
      <c r="F45" s="788">
        <v>0</v>
      </c>
      <c r="G45" s="788">
        <v>193.59793273141489</v>
      </c>
      <c r="H45" s="788">
        <v>249.96472446236021</v>
      </c>
      <c r="I45" s="788">
        <v>24.067279809478702</v>
      </c>
      <c r="J45" s="789">
        <v>84.286174495018798</v>
      </c>
      <c r="K45" s="790">
        <v>2647.4320173201845</v>
      </c>
      <c r="M45" s="787">
        <v>0</v>
      </c>
      <c r="N45" s="788">
        <v>694.05074904127434</v>
      </c>
      <c r="O45" s="788">
        <v>923.46370083129625</v>
      </c>
      <c r="P45" s="788">
        <v>15.611444275656252</v>
      </c>
      <c r="Q45" s="788">
        <v>250.88087943439982</v>
      </c>
      <c r="R45" s="788">
        <v>355.22462707151362</v>
      </c>
      <c r="S45" s="788">
        <v>31.168925879791594</v>
      </c>
      <c r="T45" s="789">
        <v>236.92130614330799</v>
      </c>
      <c r="U45" s="791">
        <v>3660.972526748305</v>
      </c>
      <c r="V45" s="787">
        <f t="shared" si="0"/>
        <v>1013.5405094281205</v>
      </c>
      <c r="W45" s="792">
        <f t="shared" si="1"/>
        <v>0.38283910702797141</v>
      </c>
      <c r="AB45" s="785" t="s">
        <v>358</v>
      </c>
      <c r="AC45" s="786" t="s">
        <v>423</v>
      </c>
      <c r="AD45" s="787">
        <v>0</v>
      </c>
      <c r="AE45" s="788">
        <v>422.5344845915829</v>
      </c>
      <c r="AF45" s="788">
        <v>598.87895178773169</v>
      </c>
      <c r="AG45" s="788">
        <v>0</v>
      </c>
      <c r="AH45" s="788">
        <v>193.59793273141489</v>
      </c>
      <c r="AI45" s="788">
        <v>249.96472446236021</v>
      </c>
      <c r="AJ45" s="788">
        <v>24.067279809478702</v>
      </c>
      <c r="AK45" s="789">
        <v>84.286174495018798</v>
      </c>
      <c r="AL45" s="790">
        <v>1573.3295478775872</v>
      </c>
      <c r="AN45" s="787">
        <v>0</v>
      </c>
      <c r="AO45" s="788">
        <v>694.05074904127434</v>
      </c>
      <c r="AP45" s="788">
        <v>923.46370083129625</v>
      </c>
      <c r="AQ45" s="788">
        <v>15.611444275656252</v>
      </c>
      <c r="AR45" s="788">
        <v>250.88087943439982</v>
      </c>
      <c r="AS45" s="788">
        <v>355.22462707151362</v>
      </c>
      <c r="AT45" s="788">
        <v>31.168925879791594</v>
      </c>
      <c r="AU45" s="789">
        <v>236.92130614330799</v>
      </c>
      <c r="AV45" s="791">
        <v>2507.3216326772394</v>
      </c>
      <c r="AW45" s="787">
        <f t="shared" si="2"/>
        <v>933.99208479965228</v>
      </c>
      <c r="AX45" s="792">
        <f t="shared" si="3"/>
        <v>0.59364046525383218</v>
      </c>
      <c r="BB45" s="710">
        <f t="shared" si="4"/>
        <v>-1074.1024694425973</v>
      </c>
      <c r="BC45" s="710">
        <f t="shared" si="5"/>
        <v>-1153.6508940710655</v>
      </c>
      <c r="BD45" s="710"/>
      <c r="BE45" s="17"/>
    </row>
    <row r="46" spans="1:57" ht="15" x14ac:dyDescent="0.25">
      <c r="A46" s="785" t="s">
        <v>356</v>
      </c>
      <c r="B46" s="786" t="s">
        <v>424</v>
      </c>
      <c r="C46" s="787">
        <v>0</v>
      </c>
      <c r="D46" s="788">
        <v>443.67007555000168</v>
      </c>
      <c r="E46" s="788">
        <v>353.65032679108077</v>
      </c>
      <c r="F46" s="788">
        <v>1.2847291919721671</v>
      </c>
      <c r="G46" s="788">
        <v>212.79714023024721</v>
      </c>
      <c r="H46" s="788">
        <v>165.53894859856709</v>
      </c>
      <c r="I46" s="788">
        <v>14.162505402063143</v>
      </c>
      <c r="J46" s="789">
        <v>80.715264785084244</v>
      </c>
      <c r="K46" s="790">
        <v>2170.584030198178</v>
      </c>
      <c r="M46" s="787">
        <v>0</v>
      </c>
      <c r="N46" s="788">
        <v>594.86668439579432</v>
      </c>
      <c r="O46" s="788">
        <v>502.14087859064472</v>
      </c>
      <c r="P46" s="788">
        <v>4.7884272263465055</v>
      </c>
      <c r="Q46" s="788">
        <v>265.76305719290065</v>
      </c>
      <c r="R46" s="788">
        <v>215.71883144796408</v>
      </c>
      <c r="S46" s="788">
        <v>28.15531848088208</v>
      </c>
      <c r="T46" s="789">
        <v>139.060170830385</v>
      </c>
      <c r="U46" s="791">
        <v>2707.0676927382156</v>
      </c>
      <c r="V46" s="787">
        <f t="shared" si="0"/>
        <v>536.48366254003759</v>
      </c>
      <c r="W46" s="792">
        <f t="shared" si="1"/>
        <v>0.24716097376384721</v>
      </c>
      <c r="AB46" s="785" t="s">
        <v>356</v>
      </c>
      <c r="AC46" s="786" t="s">
        <v>424</v>
      </c>
      <c r="AD46" s="787">
        <v>0</v>
      </c>
      <c r="AE46" s="788">
        <v>443.67007555000168</v>
      </c>
      <c r="AF46" s="788">
        <v>353.65032679108077</v>
      </c>
      <c r="AG46" s="788">
        <v>1.2847291919721671</v>
      </c>
      <c r="AH46" s="788">
        <v>212.79714023024721</v>
      </c>
      <c r="AI46" s="788">
        <v>165.53894859856709</v>
      </c>
      <c r="AJ46" s="788">
        <v>14.162505402063143</v>
      </c>
      <c r="AK46" s="789">
        <v>80.715264785084244</v>
      </c>
      <c r="AL46" s="790">
        <v>1271.818990549016</v>
      </c>
      <c r="AN46" s="787">
        <v>0</v>
      </c>
      <c r="AO46" s="788">
        <v>594.86668439579432</v>
      </c>
      <c r="AP46" s="788">
        <v>502.14087859064472</v>
      </c>
      <c r="AQ46" s="788">
        <v>4.7884272263465055</v>
      </c>
      <c r="AR46" s="788">
        <v>265.76305719290065</v>
      </c>
      <c r="AS46" s="788">
        <v>215.71883144796408</v>
      </c>
      <c r="AT46" s="788">
        <v>28.15531848088208</v>
      </c>
      <c r="AU46" s="789">
        <v>139.060170830385</v>
      </c>
      <c r="AV46" s="791">
        <v>1750.4933681649172</v>
      </c>
      <c r="AW46" s="787">
        <f t="shared" si="2"/>
        <v>478.67437761590122</v>
      </c>
      <c r="AX46" s="792">
        <f t="shared" si="3"/>
        <v>0.37636989317895631</v>
      </c>
      <c r="BB46" s="710">
        <f t="shared" si="4"/>
        <v>-898.76503964916196</v>
      </c>
      <c r="BC46" s="710">
        <f t="shared" si="5"/>
        <v>-956.57432457329833</v>
      </c>
      <c r="BD46" s="710"/>
      <c r="BE46" s="17"/>
    </row>
    <row r="47" spans="1:57" ht="15" x14ac:dyDescent="0.25">
      <c r="A47" s="785" t="s">
        <v>358</v>
      </c>
      <c r="B47" s="786" t="s">
        <v>424</v>
      </c>
      <c r="C47" s="787">
        <v>0</v>
      </c>
      <c r="D47" s="788">
        <v>450.68424621921798</v>
      </c>
      <c r="E47" s="788">
        <v>528.2438535993773</v>
      </c>
      <c r="F47" s="788">
        <v>9.5239593380378338</v>
      </c>
      <c r="G47" s="788">
        <v>145.75246790911635</v>
      </c>
      <c r="H47" s="788">
        <v>226.53590499539212</v>
      </c>
      <c r="I47" s="788">
        <v>12.158681248936432</v>
      </c>
      <c r="J47" s="789">
        <v>69.466790259786194</v>
      </c>
      <c r="K47" s="790">
        <v>2297.2361149947619</v>
      </c>
      <c r="M47" s="787">
        <v>0</v>
      </c>
      <c r="N47" s="788">
        <v>595.5110822730785</v>
      </c>
      <c r="O47" s="788">
        <v>762.54962266854</v>
      </c>
      <c r="P47" s="788">
        <v>15.136886696391123</v>
      </c>
      <c r="Q47" s="788">
        <v>191.77754975862578</v>
      </c>
      <c r="R47" s="788">
        <v>324.56223533119669</v>
      </c>
      <c r="S47" s="788">
        <v>24.118839401929478</v>
      </c>
      <c r="T47" s="789">
        <v>203.20764267831072</v>
      </c>
      <c r="U47" s="791">
        <v>3043.2760003503599</v>
      </c>
      <c r="V47" s="787">
        <f t="shared" si="0"/>
        <v>746.03988535559802</v>
      </c>
      <c r="W47" s="792">
        <f t="shared" si="1"/>
        <v>0.32475542260804963</v>
      </c>
      <c r="AB47" s="785" t="s">
        <v>358</v>
      </c>
      <c r="AC47" s="786" t="s">
        <v>424</v>
      </c>
      <c r="AD47" s="787">
        <v>0</v>
      </c>
      <c r="AE47" s="788">
        <v>450.68424621921798</v>
      </c>
      <c r="AF47" s="788">
        <v>528.2438535993773</v>
      </c>
      <c r="AG47" s="788">
        <v>9.5239593380378338</v>
      </c>
      <c r="AH47" s="788">
        <v>145.75246790911635</v>
      </c>
      <c r="AI47" s="788">
        <v>226.53590499539212</v>
      </c>
      <c r="AJ47" s="788">
        <v>12.158681248936432</v>
      </c>
      <c r="AK47" s="789">
        <v>69.466790259786194</v>
      </c>
      <c r="AL47" s="790">
        <v>1442.3659035698638</v>
      </c>
      <c r="AN47" s="787">
        <v>0</v>
      </c>
      <c r="AO47" s="788">
        <v>595.5110822730785</v>
      </c>
      <c r="AP47" s="788">
        <v>762.54962266854</v>
      </c>
      <c r="AQ47" s="788">
        <v>15.136886696391123</v>
      </c>
      <c r="AR47" s="788">
        <v>191.77754975862578</v>
      </c>
      <c r="AS47" s="788">
        <v>324.56223533119669</v>
      </c>
      <c r="AT47" s="788">
        <v>24.118839401929478</v>
      </c>
      <c r="AU47" s="789">
        <v>203.20764267831072</v>
      </c>
      <c r="AV47" s="791">
        <v>2116.8638588080726</v>
      </c>
      <c r="AW47" s="787">
        <f t="shared" si="2"/>
        <v>674.49795523820876</v>
      </c>
      <c r="AX47" s="792">
        <f t="shared" si="3"/>
        <v>0.46763304205182782</v>
      </c>
      <c r="BB47" s="710">
        <f t="shared" si="4"/>
        <v>-854.87021142489812</v>
      </c>
      <c r="BC47" s="710">
        <f t="shared" si="5"/>
        <v>-926.41214154228737</v>
      </c>
      <c r="BD47" s="710"/>
      <c r="BE47" s="17"/>
    </row>
    <row r="48" spans="1:57" ht="15" x14ac:dyDescent="0.25">
      <c r="A48" s="785" t="s">
        <v>356</v>
      </c>
      <c r="B48" s="786" t="s">
        <v>425</v>
      </c>
      <c r="C48" s="787">
        <v>0</v>
      </c>
      <c r="D48" s="788">
        <v>224.71261918849098</v>
      </c>
      <c r="E48" s="788">
        <v>202.44868672933777</v>
      </c>
      <c r="F48" s="788">
        <v>0</v>
      </c>
      <c r="G48" s="788">
        <v>117.21130688717328</v>
      </c>
      <c r="H48" s="788">
        <v>89.364628469902513</v>
      </c>
      <c r="I48" s="788">
        <v>8.1418554360982576</v>
      </c>
      <c r="J48" s="789">
        <v>37.598734798600852</v>
      </c>
      <c r="K48" s="790">
        <v>1514.6574617778867</v>
      </c>
      <c r="M48" s="787">
        <v>0</v>
      </c>
      <c r="N48" s="788">
        <v>303.33332431832548</v>
      </c>
      <c r="O48" s="788">
        <v>262.34729920549671</v>
      </c>
      <c r="P48" s="788">
        <v>0.13187079972781432</v>
      </c>
      <c r="Q48" s="788">
        <v>143.86612810820196</v>
      </c>
      <c r="R48" s="788">
        <v>108.48234272919964</v>
      </c>
      <c r="S48" s="788">
        <v>10.692522386353911</v>
      </c>
      <c r="T48" s="789">
        <v>50.443690243948311</v>
      </c>
      <c r="U48" s="791">
        <v>1756.1668350500847</v>
      </c>
      <c r="V48" s="787">
        <f t="shared" si="0"/>
        <v>241.50937327219799</v>
      </c>
      <c r="W48" s="792">
        <f t="shared" si="1"/>
        <v>0.15944817846057233</v>
      </c>
      <c r="AB48" s="785" t="s">
        <v>356</v>
      </c>
      <c r="AC48" s="786" t="s">
        <v>425</v>
      </c>
      <c r="AD48" s="787">
        <v>0</v>
      </c>
      <c r="AE48" s="788">
        <v>224.71261918849098</v>
      </c>
      <c r="AF48" s="788">
        <v>202.44868672933777</v>
      </c>
      <c r="AG48" s="788">
        <v>0</v>
      </c>
      <c r="AH48" s="788">
        <v>117.21130688717328</v>
      </c>
      <c r="AI48" s="788">
        <v>89.364628469902513</v>
      </c>
      <c r="AJ48" s="788">
        <v>8.1418554360982576</v>
      </c>
      <c r="AK48" s="789">
        <v>37.598734798600852</v>
      </c>
      <c r="AL48" s="790">
        <v>679.47783150960356</v>
      </c>
      <c r="AN48" s="787">
        <v>0</v>
      </c>
      <c r="AO48" s="788">
        <v>303.33332431832548</v>
      </c>
      <c r="AP48" s="788">
        <v>262.34729920549671</v>
      </c>
      <c r="AQ48" s="788">
        <v>0.13187079972781432</v>
      </c>
      <c r="AR48" s="788">
        <v>143.86612810820196</v>
      </c>
      <c r="AS48" s="788">
        <v>108.48234272919964</v>
      </c>
      <c r="AT48" s="788">
        <v>10.692522386353911</v>
      </c>
      <c r="AU48" s="789">
        <v>50.443690243948311</v>
      </c>
      <c r="AV48" s="791">
        <v>879.29717779125394</v>
      </c>
      <c r="AW48" s="787">
        <f t="shared" si="2"/>
        <v>199.81934628165038</v>
      </c>
      <c r="AX48" s="792">
        <f t="shared" si="3"/>
        <v>0.29407780065128758</v>
      </c>
      <c r="BB48" s="710">
        <f t="shared" si="4"/>
        <v>-835.17963026828318</v>
      </c>
      <c r="BC48" s="710">
        <f t="shared" si="5"/>
        <v>-876.86965725883078</v>
      </c>
      <c r="BD48" s="710"/>
      <c r="BE48" s="17"/>
    </row>
    <row r="49" spans="1:57" ht="15" x14ac:dyDescent="0.25">
      <c r="A49" s="785" t="s">
        <v>358</v>
      </c>
      <c r="B49" s="786" t="s">
        <v>425</v>
      </c>
      <c r="C49" s="787">
        <v>0</v>
      </c>
      <c r="D49" s="788">
        <v>285.53524020506234</v>
      </c>
      <c r="E49" s="788">
        <v>439.66865890528931</v>
      </c>
      <c r="F49" s="788">
        <v>3.6816630919757878</v>
      </c>
      <c r="G49" s="788">
        <v>107.18121383106048</v>
      </c>
      <c r="H49" s="788">
        <v>173.81335326627647</v>
      </c>
      <c r="I49" s="788">
        <v>8.9439173373440752</v>
      </c>
      <c r="J49" s="789">
        <v>41.921232011521376</v>
      </c>
      <c r="K49" s="790">
        <v>1847.8154664393462</v>
      </c>
      <c r="M49" s="787">
        <v>0</v>
      </c>
      <c r="N49" s="788">
        <v>406.39599389459448</v>
      </c>
      <c r="O49" s="788">
        <v>621.83690296725911</v>
      </c>
      <c r="P49" s="788">
        <v>6.3957398471013027</v>
      </c>
      <c r="Q49" s="788">
        <v>127.15879791339641</v>
      </c>
      <c r="R49" s="788">
        <v>241.80073819071444</v>
      </c>
      <c r="S49" s="788">
        <v>11.749829774001778</v>
      </c>
      <c r="T49" s="789">
        <v>58.350882318222524</v>
      </c>
      <c r="U49" s="791">
        <v>2353.8786946585778</v>
      </c>
      <c r="V49" s="787">
        <f t="shared" si="0"/>
        <v>506.06322821923163</v>
      </c>
      <c r="W49" s="792">
        <f t="shared" si="1"/>
        <v>0.27387108583650493</v>
      </c>
      <c r="AB49" s="785" t="s">
        <v>358</v>
      </c>
      <c r="AC49" s="786" t="s">
        <v>425</v>
      </c>
      <c r="AD49" s="787">
        <v>0</v>
      </c>
      <c r="AE49" s="788">
        <v>285.53524020506234</v>
      </c>
      <c r="AF49" s="788">
        <v>439.66865890528931</v>
      </c>
      <c r="AG49" s="788">
        <v>3.6816630919757878</v>
      </c>
      <c r="AH49" s="788">
        <v>107.18121383106048</v>
      </c>
      <c r="AI49" s="788">
        <v>173.81335326627647</v>
      </c>
      <c r="AJ49" s="788">
        <v>8.9439173373440752</v>
      </c>
      <c r="AK49" s="789">
        <v>41.921232011521376</v>
      </c>
      <c r="AL49" s="790">
        <v>1060.7452786485296</v>
      </c>
      <c r="AN49" s="787">
        <v>0</v>
      </c>
      <c r="AO49" s="788">
        <v>406.39599389459448</v>
      </c>
      <c r="AP49" s="788">
        <v>621.83690296725911</v>
      </c>
      <c r="AQ49" s="788">
        <v>6.3957398471013027</v>
      </c>
      <c r="AR49" s="788">
        <v>127.15879791339641</v>
      </c>
      <c r="AS49" s="788">
        <v>241.80073819071444</v>
      </c>
      <c r="AT49" s="788">
        <v>11.749829774001778</v>
      </c>
      <c r="AU49" s="789">
        <v>58.350882318222524</v>
      </c>
      <c r="AV49" s="791">
        <v>1473.68888490529</v>
      </c>
      <c r="AW49" s="787">
        <f t="shared" si="2"/>
        <v>412.9436062567604</v>
      </c>
      <c r="AX49" s="792">
        <f t="shared" si="3"/>
        <v>0.38929572873789459</v>
      </c>
      <c r="BB49" s="710">
        <f t="shared" si="4"/>
        <v>-787.07018779081659</v>
      </c>
      <c r="BC49" s="710">
        <f t="shared" si="5"/>
        <v>-880.18980975328782</v>
      </c>
      <c r="BD49" s="710"/>
      <c r="BE49" s="17"/>
    </row>
    <row r="50" spans="1:57" ht="15" x14ac:dyDescent="0.25">
      <c r="A50" s="785" t="s">
        <v>356</v>
      </c>
      <c r="B50" s="786" t="s">
        <v>426</v>
      </c>
      <c r="C50" s="787">
        <v>0</v>
      </c>
      <c r="D50" s="788">
        <v>79.674972483761579</v>
      </c>
      <c r="E50" s="788">
        <v>94.449337628794055</v>
      </c>
      <c r="F50" s="788">
        <v>0</v>
      </c>
      <c r="G50" s="788">
        <v>49.885880733123663</v>
      </c>
      <c r="H50" s="788">
        <v>48.854458242559069</v>
      </c>
      <c r="I50" s="788">
        <v>4.0991134157140499</v>
      </c>
      <c r="J50" s="789">
        <v>23.150356259420732</v>
      </c>
      <c r="K50" s="790">
        <v>945.30555162813994</v>
      </c>
      <c r="M50" s="787">
        <v>0</v>
      </c>
      <c r="N50" s="788">
        <v>87.458417706184918</v>
      </c>
      <c r="O50" s="788">
        <v>102.61475935642011</v>
      </c>
      <c r="P50" s="788">
        <v>1.0646184127123794E-2</v>
      </c>
      <c r="Q50" s="788">
        <v>50.654702646415871</v>
      </c>
      <c r="R50" s="788">
        <v>45.223131384391912</v>
      </c>
      <c r="S50" s="788">
        <v>4.4249876059219622</v>
      </c>
      <c r="T50" s="789">
        <v>25.587002353528923</v>
      </c>
      <c r="U50" s="791">
        <v>1095.2140205416738</v>
      </c>
      <c r="V50" s="787">
        <f t="shared" si="0"/>
        <v>149.90846891353385</v>
      </c>
      <c r="W50" s="792">
        <f t="shared" si="1"/>
        <v>0.158582025309531</v>
      </c>
      <c r="AB50" s="785" t="s">
        <v>356</v>
      </c>
      <c r="AC50" s="786" t="s">
        <v>426</v>
      </c>
      <c r="AD50" s="787">
        <v>0</v>
      </c>
      <c r="AE50" s="788">
        <v>79.674972483761579</v>
      </c>
      <c r="AF50" s="788">
        <v>94.449337628794055</v>
      </c>
      <c r="AG50" s="788">
        <v>0</v>
      </c>
      <c r="AH50" s="788">
        <v>49.885880733123663</v>
      </c>
      <c r="AI50" s="788">
        <v>48.854458242559069</v>
      </c>
      <c r="AJ50" s="788">
        <v>4.0991134157140499</v>
      </c>
      <c r="AK50" s="789">
        <v>23.150356259420732</v>
      </c>
      <c r="AL50" s="790">
        <v>300.11411876337314</v>
      </c>
      <c r="AN50" s="787">
        <v>0</v>
      </c>
      <c r="AO50" s="788">
        <v>87.458417706184918</v>
      </c>
      <c r="AP50" s="788">
        <v>102.61475935642011</v>
      </c>
      <c r="AQ50" s="788">
        <v>1.0646184127123794E-2</v>
      </c>
      <c r="AR50" s="788">
        <v>50.654702646415871</v>
      </c>
      <c r="AS50" s="788">
        <v>45.223131384391912</v>
      </c>
      <c r="AT50" s="788">
        <v>4.4249876059219622</v>
      </c>
      <c r="AU50" s="789">
        <v>25.587002353528923</v>
      </c>
      <c r="AV50" s="791">
        <v>315.97364723699081</v>
      </c>
      <c r="AW50" s="787">
        <f t="shared" si="2"/>
        <v>15.859528473617672</v>
      </c>
      <c r="AX50" s="792">
        <f t="shared" si="3"/>
        <v>5.2844992894593594E-2</v>
      </c>
      <c r="BB50" s="710">
        <f t="shared" si="4"/>
        <v>-645.19143286476674</v>
      </c>
      <c r="BC50" s="710">
        <f t="shared" si="5"/>
        <v>-779.24037330468298</v>
      </c>
      <c r="BD50" s="710"/>
      <c r="BE50" s="17"/>
    </row>
    <row r="51" spans="1:57" ht="15" x14ac:dyDescent="0.25">
      <c r="A51" s="785" t="s">
        <v>358</v>
      </c>
      <c r="B51" s="786" t="s">
        <v>426</v>
      </c>
      <c r="C51" s="787">
        <v>0</v>
      </c>
      <c r="D51" s="788">
        <v>146.2722940294</v>
      </c>
      <c r="E51" s="788">
        <v>204.13249449493267</v>
      </c>
      <c r="F51" s="788">
        <v>0</v>
      </c>
      <c r="G51" s="788">
        <v>57.605399438496107</v>
      </c>
      <c r="H51" s="788">
        <v>96.32297882430683</v>
      </c>
      <c r="I51" s="788">
        <v>5.2224319297153308</v>
      </c>
      <c r="J51" s="789">
        <v>29.742425525564528</v>
      </c>
      <c r="K51" s="790">
        <v>1101.841225990722</v>
      </c>
      <c r="M51" s="787">
        <v>0</v>
      </c>
      <c r="N51" s="788">
        <v>164.69388401371509</v>
      </c>
      <c r="O51" s="788">
        <v>257.79139026803637</v>
      </c>
      <c r="P51" s="788">
        <v>2.1296033155467822E-2</v>
      </c>
      <c r="Q51" s="788">
        <v>64.703946772886724</v>
      </c>
      <c r="R51" s="788">
        <v>119.62372280253989</v>
      </c>
      <c r="S51" s="788">
        <v>6.3384111427993055</v>
      </c>
      <c r="T51" s="789">
        <v>36.81041026445439</v>
      </c>
      <c r="U51" s="791">
        <v>1331.5705284789019</v>
      </c>
      <c r="V51" s="787">
        <f t="shared" si="0"/>
        <v>229.72930248817988</v>
      </c>
      <c r="W51" s="792">
        <f t="shared" si="1"/>
        <v>0.2084958314040378</v>
      </c>
      <c r="AB51" s="785" t="s">
        <v>358</v>
      </c>
      <c r="AC51" s="786" t="s">
        <v>426</v>
      </c>
      <c r="AD51" s="787">
        <v>0</v>
      </c>
      <c r="AE51" s="788">
        <v>146.2722940294</v>
      </c>
      <c r="AF51" s="788">
        <v>204.13249449493267</v>
      </c>
      <c r="AG51" s="788">
        <v>0</v>
      </c>
      <c r="AH51" s="788">
        <v>57.605399438496107</v>
      </c>
      <c r="AI51" s="788">
        <v>96.32297882430683</v>
      </c>
      <c r="AJ51" s="788">
        <v>5.2224319297153308</v>
      </c>
      <c r="AK51" s="789">
        <v>29.742425525564528</v>
      </c>
      <c r="AL51" s="790">
        <v>539.29802424241552</v>
      </c>
      <c r="AN51" s="787">
        <v>0</v>
      </c>
      <c r="AO51" s="788">
        <v>164.69388401371509</v>
      </c>
      <c r="AP51" s="788">
        <v>257.79139026803637</v>
      </c>
      <c r="AQ51" s="788">
        <v>2.1296033155467822E-2</v>
      </c>
      <c r="AR51" s="788">
        <v>64.703946772886724</v>
      </c>
      <c r="AS51" s="788">
        <v>119.62372280253989</v>
      </c>
      <c r="AT51" s="788">
        <v>6.3384111427993055</v>
      </c>
      <c r="AU51" s="789">
        <v>36.81041026445439</v>
      </c>
      <c r="AV51" s="791">
        <v>649.98306129758714</v>
      </c>
      <c r="AW51" s="787">
        <f t="shared" si="2"/>
        <v>110.68503705517162</v>
      </c>
      <c r="AX51" s="792">
        <f t="shared" si="3"/>
        <v>0.20523909244922151</v>
      </c>
      <c r="BB51" s="710">
        <f t="shared" si="4"/>
        <v>-562.5432017483065</v>
      </c>
      <c r="BC51" s="710">
        <f t="shared" si="5"/>
        <v>-681.58746718131476</v>
      </c>
      <c r="BD51" s="710"/>
      <c r="BE51" s="17"/>
    </row>
    <row r="52" spans="1:57" ht="15" x14ac:dyDescent="0.25">
      <c r="A52" s="785" t="s">
        <v>356</v>
      </c>
      <c r="B52" s="786" t="s">
        <v>427</v>
      </c>
      <c r="C52" s="787">
        <v>0</v>
      </c>
      <c r="D52" s="788">
        <v>69.766135037934731</v>
      </c>
      <c r="E52" s="788">
        <v>78.313639621661096</v>
      </c>
      <c r="F52" s="788">
        <v>0</v>
      </c>
      <c r="G52" s="788">
        <v>33.042169251971515</v>
      </c>
      <c r="H52" s="788">
        <v>28.864709987060007</v>
      </c>
      <c r="I52" s="788">
        <v>3.035151737236657</v>
      </c>
      <c r="J52" s="789">
        <v>18.921486803794558</v>
      </c>
      <c r="K52" s="790">
        <v>565.72830079404866</v>
      </c>
      <c r="M52" s="787">
        <v>0</v>
      </c>
      <c r="N52" s="788">
        <v>92.716567951120439</v>
      </c>
      <c r="O52" s="788">
        <v>95.925221399711305</v>
      </c>
      <c r="P52" s="788">
        <v>0</v>
      </c>
      <c r="Q52" s="788">
        <v>36.664484576898062</v>
      </c>
      <c r="R52" s="788">
        <v>31.977145938308237</v>
      </c>
      <c r="S52" s="788">
        <v>3.912953762746251</v>
      </c>
      <c r="T52" s="789">
        <v>25.120558409988853</v>
      </c>
      <c r="U52" s="791">
        <v>652.65774281260315</v>
      </c>
      <c r="V52" s="787">
        <f t="shared" si="0"/>
        <v>86.929442018554482</v>
      </c>
      <c r="W52" s="792">
        <f t="shared" si="1"/>
        <v>0.15365934830649533</v>
      </c>
      <c r="AB52" s="785" t="s">
        <v>356</v>
      </c>
      <c r="AC52" s="786" t="s">
        <v>427</v>
      </c>
      <c r="AD52" s="787">
        <v>0</v>
      </c>
      <c r="AE52" s="788">
        <v>69.766135037934731</v>
      </c>
      <c r="AF52" s="788">
        <v>78.313639621661096</v>
      </c>
      <c r="AG52" s="788">
        <v>0</v>
      </c>
      <c r="AH52" s="788">
        <v>33.042169251971515</v>
      </c>
      <c r="AI52" s="788">
        <v>28.864709987060007</v>
      </c>
      <c r="AJ52" s="788">
        <v>3.035151737236657</v>
      </c>
      <c r="AK52" s="789">
        <v>18.921486803794558</v>
      </c>
      <c r="AL52" s="790">
        <v>231.94329243965856</v>
      </c>
      <c r="AN52" s="787">
        <v>0</v>
      </c>
      <c r="AO52" s="788">
        <v>92.716567951120439</v>
      </c>
      <c r="AP52" s="788">
        <v>95.925221399711305</v>
      </c>
      <c r="AQ52" s="788">
        <v>0</v>
      </c>
      <c r="AR52" s="788">
        <v>36.664484576898062</v>
      </c>
      <c r="AS52" s="788">
        <v>31.977145938308237</v>
      </c>
      <c r="AT52" s="788">
        <v>3.912953762746251</v>
      </c>
      <c r="AU52" s="789">
        <v>25.120558409988853</v>
      </c>
      <c r="AV52" s="791">
        <v>286.31693203877319</v>
      </c>
      <c r="AW52" s="787">
        <f t="shared" si="2"/>
        <v>54.373639599114625</v>
      </c>
      <c r="AX52" s="792">
        <f t="shared" si="3"/>
        <v>0.23442643685529407</v>
      </c>
      <c r="BB52" s="710">
        <f t="shared" si="4"/>
        <v>-333.78500835439013</v>
      </c>
      <c r="BC52" s="710">
        <f t="shared" si="5"/>
        <v>-366.34081077382996</v>
      </c>
      <c r="BD52" s="710"/>
      <c r="BE52" s="17"/>
    </row>
    <row r="53" spans="1:57" ht="15" x14ac:dyDescent="0.25">
      <c r="A53" s="798" t="s">
        <v>358</v>
      </c>
      <c r="B53" s="799" t="s">
        <v>427</v>
      </c>
      <c r="C53" s="800">
        <v>0</v>
      </c>
      <c r="D53" s="801">
        <v>95.605233802429495</v>
      </c>
      <c r="E53" s="801">
        <v>138.06148481518508</v>
      </c>
      <c r="F53" s="801">
        <v>1.6358828245250883</v>
      </c>
      <c r="G53" s="801">
        <v>31.403796075944637</v>
      </c>
      <c r="H53" s="801">
        <v>50.238160098834719</v>
      </c>
      <c r="I53" s="801">
        <v>3.4969846974487604</v>
      </c>
      <c r="J53" s="802">
        <v>21.459992174394703</v>
      </c>
      <c r="K53" s="803">
        <v>668.24376876089707</v>
      </c>
      <c r="M53" s="800">
        <v>0</v>
      </c>
      <c r="N53" s="801">
        <v>94.698287645789307</v>
      </c>
      <c r="O53" s="801">
        <v>151.62506593070174</v>
      </c>
      <c r="P53" s="801">
        <v>1.4996355077639703</v>
      </c>
      <c r="Q53" s="801">
        <v>28.4353876130019</v>
      </c>
      <c r="R53" s="801">
        <v>53.067268367746074</v>
      </c>
      <c r="S53" s="801">
        <v>3.5629916133069051</v>
      </c>
      <c r="T53" s="802">
        <v>22.937428534873725</v>
      </c>
      <c r="U53" s="804">
        <v>820.8831914481483</v>
      </c>
      <c r="V53" s="800">
        <f t="shared" si="0"/>
        <v>152.63942268725123</v>
      </c>
      <c r="W53" s="805">
        <f t="shared" si="1"/>
        <v>0.22841877443958153</v>
      </c>
      <c r="AB53" s="798" t="s">
        <v>358</v>
      </c>
      <c r="AC53" s="799" t="s">
        <v>427</v>
      </c>
      <c r="AD53" s="800">
        <v>0</v>
      </c>
      <c r="AE53" s="801">
        <v>95.605233802429495</v>
      </c>
      <c r="AF53" s="801">
        <v>138.06148481518508</v>
      </c>
      <c r="AG53" s="801">
        <v>1.6358828245250883</v>
      </c>
      <c r="AH53" s="801">
        <v>31.403796075944637</v>
      </c>
      <c r="AI53" s="801">
        <v>50.238160098834719</v>
      </c>
      <c r="AJ53" s="801">
        <v>3.4969846974487604</v>
      </c>
      <c r="AK53" s="802">
        <v>21.459992174394703</v>
      </c>
      <c r="AL53" s="803">
        <v>341.90153448876248</v>
      </c>
      <c r="AN53" s="800">
        <v>0</v>
      </c>
      <c r="AO53" s="801">
        <v>94.698287645789307</v>
      </c>
      <c r="AP53" s="801">
        <v>151.62506593070174</v>
      </c>
      <c r="AQ53" s="801">
        <v>1.4996355077639703</v>
      </c>
      <c r="AR53" s="801">
        <v>28.4353876130019</v>
      </c>
      <c r="AS53" s="801">
        <v>53.067268367746074</v>
      </c>
      <c r="AT53" s="801">
        <v>3.5629916133069051</v>
      </c>
      <c r="AU53" s="802">
        <v>22.937428534873725</v>
      </c>
      <c r="AV53" s="804">
        <v>355.82606521318365</v>
      </c>
      <c r="AW53" s="800">
        <f t="shared" si="2"/>
        <v>13.924530724421174</v>
      </c>
      <c r="AX53" s="805">
        <f t="shared" si="3"/>
        <v>4.0726727785068896E-2</v>
      </c>
      <c r="BB53" s="710">
        <f t="shared" si="4"/>
        <v>-326.34223427213459</v>
      </c>
      <c r="BC53" s="710">
        <f t="shared" si="5"/>
        <v>-465.05712623496464</v>
      </c>
      <c r="BD53" s="710"/>
      <c r="BE53" s="17"/>
    </row>
    <row r="54" spans="1:57" ht="15.75" thickBot="1" x14ac:dyDescent="0.3">
      <c r="A54" s="806"/>
      <c r="B54" s="806"/>
      <c r="C54" s="807"/>
      <c r="D54" s="807"/>
      <c r="E54" s="807"/>
      <c r="F54" s="807"/>
      <c r="G54" s="807"/>
      <c r="H54" s="807"/>
      <c r="I54" s="807"/>
      <c r="J54" s="807"/>
      <c r="K54" s="808">
        <v>132561.85355675447</v>
      </c>
      <c r="M54" s="807"/>
      <c r="N54" s="807"/>
      <c r="O54" s="807"/>
      <c r="P54" s="807"/>
      <c r="Q54" s="807"/>
      <c r="R54" s="807"/>
      <c r="S54" s="807"/>
      <c r="T54" s="807"/>
      <c r="U54" s="809">
        <v>147802.84296884722</v>
      </c>
      <c r="V54" s="810">
        <f t="shared" si="0"/>
        <v>15240.989412092749</v>
      </c>
      <c r="W54" s="811">
        <f t="shared" si="1"/>
        <v>0.11497266372763516</v>
      </c>
      <c r="AB54" s="806"/>
      <c r="AC54" s="806"/>
      <c r="AD54" s="807"/>
      <c r="AE54" s="807"/>
      <c r="AF54" s="807"/>
      <c r="AG54" s="807"/>
      <c r="AH54" s="807"/>
      <c r="AI54" s="807"/>
      <c r="AJ54" s="807"/>
      <c r="AK54" s="807"/>
      <c r="AL54" s="808">
        <v>95763.745763142288</v>
      </c>
      <c r="AN54" s="807"/>
      <c r="AO54" s="807"/>
      <c r="AP54" s="807"/>
      <c r="AQ54" s="807"/>
      <c r="AR54" s="807"/>
      <c r="AS54" s="807"/>
      <c r="AT54" s="807"/>
      <c r="AU54" s="807"/>
      <c r="AV54" s="809">
        <v>118643.07940882926</v>
      </c>
      <c r="AW54" s="810">
        <f t="shared" si="2"/>
        <v>22879.333645686973</v>
      </c>
      <c r="AX54" s="811">
        <f t="shared" si="3"/>
        <v>0.23891435598473434</v>
      </c>
      <c r="BB54" s="710">
        <f t="shared" si="4"/>
        <v>-36798.107793612187</v>
      </c>
      <c r="BC54" s="710">
        <f t="shared" si="5"/>
        <v>-29159.763560017964</v>
      </c>
      <c r="BD54" s="710"/>
      <c r="BE54" s="17"/>
    </row>
    <row r="55" spans="1:57" x14ac:dyDescent="0.2">
      <c r="W55" s="812"/>
      <c r="AX55" s="812"/>
      <c r="BE55" s="17"/>
    </row>
    <row r="56" spans="1:57" x14ac:dyDescent="0.2">
      <c r="W56" s="812"/>
      <c r="AX56" s="812"/>
      <c r="BE56" s="17"/>
    </row>
    <row r="57" spans="1:57" ht="18.75" x14ac:dyDescent="0.3">
      <c r="A57" s="1022" t="s">
        <v>428</v>
      </c>
      <c r="B57" s="1022"/>
      <c r="C57" s="1022"/>
      <c r="D57" s="1022"/>
      <c r="E57" s="1022"/>
      <c r="F57" s="1022"/>
      <c r="G57" s="1022"/>
      <c r="H57" s="1022"/>
      <c r="I57" s="1022"/>
      <c r="J57" s="1022"/>
      <c r="K57" s="1022"/>
      <c r="L57" s="1022"/>
      <c r="M57" s="1022"/>
      <c r="N57" s="1022"/>
      <c r="O57" s="1022"/>
      <c r="P57" s="1022"/>
      <c r="Q57" s="1022"/>
      <c r="R57" s="1022"/>
      <c r="S57" s="1022"/>
      <c r="T57" s="1022"/>
      <c r="U57" s="1022"/>
      <c r="W57" s="812"/>
      <c r="AB57" s="1022" t="s">
        <v>428</v>
      </c>
      <c r="AC57" s="1022"/>
      <c r="AD57" s="1022"/>
      <c r="AE57" s="1022"/>
      <c r="AF57" s="1022"/>
      <c r="AG57" s="1022"/>
      <c r="AH57" s="1022"/>
      <c r="AI57" s="1022"/>
      <c r="AJ57" s="1022"/>
      <c r="AK57" s="1022"/>
      <c r="AL57" s="1022"/>
      <c r="AM57" s="1022"/>
      <c r="AN57" s="1022"/>
      <c r="AO57" s="1022"/>
      <c r="AP57" s="1022"/>
      <c r="AQ57" s="1022"/>
      <c r="AR57" s="1022"/>
      <c r="AS57" s="1022"/>
      <c r="AT57" s="1022"/>
      <c r="AU57" s="1022"/>
      <c r="AV57" s="1022"/>
      <c r="AX57" s="812"/>
      <c r="BE57" s="17"/>
    </row>
    <row r="58" spans="1:57" ht="18.75" x14ac:dyDescent="0.3">
      <c r="A58" s="1022" t="s">
        <v>388</v>
      </c>
      <c r="B58" s="1022"/>
      <c r="C58" s="1022"/>
      <c r="D58" s="1022"/>
      <c r="E58" s="1022"/>
      <c r="F58" s="1022"/>
      <c r="G58" s="1022"/>
      <c r="H58" s="1022"/>
      <c r="I58" s="1022"/>
      <c r="J58" s="1022"/>
      <c r="K58" s="1022"/>
      <c r="L58" s="1022"/>
      <c r="M58" s="1022"/>
      <c r="N58" s="1022"/>
      <c r="O58" s="1022"/>
      <c r="P58" s="1022"/>
      <c r="Q58" s="1022"/>
      <c r="R58" s="1022"/>
      <c r="S58" s="1022"/>
      <c r="T58" s="1022"/>
      <c r="U58" s="1022"/>
      <c r="W58" s="812"/>
      <c r="AB58" s="1022" t="s">
        <v>388</v>
      </c>
      <c r="AC58" s="1022"/>
      <c r="AD58" s="1022"/>
      <c r="AE58" s="1022"/>
      <c r="AF58" s="1022"/>
      <c r="AG58" s="1022"/>
      <c r="AH58" s="1022"/>
      <c r="AI58" s="1022"/>
      <c r="AJ58" s="1022"/>
      <c r="AK58" s="1022"/>
      <c r="AL58" s="1022"/>
      <c r="AM58" s="1022"/>
      <c r="AN58" s="1022"/>
      <c r="AO58" s="1022"/>
      <c r="AP58" s="1022"/>
      <c r="AQ58" s="1022"/>
      <c r="AR58" s="1022"/>
      <c r="AS58" s="1022"/>
      <c r="AT58" s="1022"/>
      <c r="AU58" s="1022"/>
      <c r="AV58" s="1022"/>
      <c r="AX58" s="812"/>
      <c r="BE58" s="17"/>
    </row>
    <row r="59" spans="1:57" ht="18.75" x14ac:dyDescent="0.3">
      <c r="C59" s="1022">
        <v>2027</v>
      </c>
      <c r="D59" s="1022"/>
      <c r="E59" s="1022"/>
      <c r="F59" s="1022"/>
      <c r="G59" s="1022"/>
      <c r="H59" s="1022"/>
      <c r="I59" s="1022"/>
      <c r="J59" s="1022"/>
      <c r="K59" s="1022"/>
      <c r="M59" s="1022">
        <v>2045</v>
      </c>
      <c r="N59" s="1022"/>
      <c r="O59" s="1022"/>
      <c r="P59" s="1022"/>
      <c r="Q59" s="1022"/>
      <c r="R59" s="1022"/>
      <c r="S59" s="1022"/>
      <c r="T59" s="1022"/>
      <c r="U59" s="1022"/>
      <c r="V59" s="1020" t="s">
        <v>389</v>
      </c>
      <c r="W59" s="1021"/>
      <c r="AD59" s="1022">
        <v>2027</v>
      </c>
      <c r="AE59" s="1022"/>
      <c r="AF59" s="1022"/>
      <c r="AG59" s="1022"/>
      <c r="AH59" s="1022"/>
      <c r="AI59" s="1022"/>
      <c r="AJ59" s="1022"/>
      <c r="AK59" s="1022"/>
      <c r="AL59" s="1022"/>
      <c r="AN59" s="1022">
        <v>2045</v>
      </c>
      <c r="AO59" s="1022"/>
      <c r="AP59" s="1022"/>
      <c r="AQ59" s="1022"/>
      <c r="AR59" s="1022"/>
      <c r="AS59" s="1022"/>
      <c r="AT59" s="1022"/>
      <c r="AU59" s="1022"/>
      <c r="AV59" s="1022"/>
      <c r="AW59" s="1020" t="s">
        <v>389</v>
      </c>
      <c r="AX59" s="1021"/>
      <c r="BE59" s="17"/>
    </row>
    <row r="60" spans="1:57" ht="31.5" customHeight="1" x14ac:dyDescent="0.25">
      <c r="A60" s="704" t="s">
        <v>354</v>
      </c>
      <c r="B60" s="704" t="s">
        <v>390</v>
      </c>
      <c r="C60" s="770" t="s">
        <v>391</v>
      </c>
      <c r="D60" s="771" t="s">
        <v>392</v>
      </c>
      <c r="E60" s="771" t="s">
        <v>393</v>
      </c>
      <c r="F60" s="771" t="s">
        <v>394</v>
      </c>
      <c r="G60" s="771" t="s">
        <v>395</v>
      </c>
      <c r="H60" s="771" t="s">
        <v>396</v>
      </c>
      <c r="I60" s="771" t="s">
        <v>397</v>
      </c>
      <c r="J60" s="771" t="s">
        <v>398</v>
      </c>
      <c r="K60" s="773" t="s">
        <v>399</v>
      </c>
      <c r="M60" s="770" t="s">
        <v>391</v>
      </c>
      <c r="N60" s="771" t="s">
        <v>392</v>
      </c>
      <c r="O60" s="771" t="s">
        <v>393</v>
      </c>
      <c r="P60" s="771" t="s">
        <v>394</v>
      </c>
      <c r="Q60" s="771" t="s">
        <v>395</v>
      </c>
      <c r="R60" s="771" t="s">
        <v>396</v>
      </c>
      <c r="S60" s="771" t="s">
        <v>397</v>
      </c>
      <c r="T60" s="771" t="s">
        <v>398</v>
      </c>
      <c r="U60" s="773" t="s">
        <v>400</v>
      </c>
      <c r="V60" s="775" t="s">
        <v>401</v>
      </c>
      <c r="W60" s="776" t="s">
        <v>402</v>
      </c>
      <c r="AB60" s="704" t="s">
        <v>354</v>
      </c>
      <c r="AC60" s="704" t="s">
        <v>390</v>
      </c>
      <c r="AD60" s="770" t="s">
        <v>391</v>
      </c>
      <c r="AE60" s="771" t="s">
        <v>392</v>
      </c>
      <c r="AF60" s="771" t="s">
        <v>393</v>
      </c>
      <c r="AG60" s="771" t="s">
        <v>394</v>
      </c>
      <c r="AH60" s="771" t="s">
        <v>395</v>
      </c>
      <c r="AI60" s="771" t="s">
        <v>396</v>
      </c>
      <c r="AJ60" s="771" t="s">
        <v>397</v>
      </c>
      <c r="AK60" s="771" t="s">
        <v>398</v>
      </c>
      <c r="AL60" s="773" t="s">
        <v>403</v>
      </c>
      <c r="AN60" s="770" t="s">
        <v>391</v>
      </c>
      <c r="AO60" s="771" t="s">
        <v>392</v>
      </c>
      <c r="AP60" s="771" t="s">
        <v>393</v>
      </c>
      <c r="AQ60" s="771" t="s">
        <v>394</v>
      </c>
      <c r="AR60" s="771" t="s">
        <v>395</v>
      </c>
      <c r="AS60" s="771" t="s">
        <v>396</v>
      </c>
      <c r="AT60" s="771" t="s">
        <v>397</v>
      </c>
      <c r="AU60" s="771" t="s">
        <v>398</v>
      </c>
      <c r="AV60" s="773" t="s">
        <v>404</v>
      </c>
      <c r="AW60" s="775" t="s">
        <v>401</v>
      </c>
      <c r="AX60" s="776" t="s">
        <v>402</v>
      </c>
      <c r="BE60" s="17"/>
    </row>
    <row r="61" spans="1:57" ht="15" x14ac:dyDescent="0.25">
      <c r="A61" s="704" t="s">
        <v>356</v>
      </c>
      <c r="B61" s="704" t="s">
        <v>408</v>
      </c>
      <c r="C61" s="779">
        <v>0</v>
      </c>
      <c r="D61" s="780">
        <v>81.990114149658339</v>
      </c>
      <c r="E61" s="780">
        <v>62.307163736752216</v>
      </c>
      <c r="F61" s="780">
        <v>1.4017780219589526</v>
      </c>
      <c r="G61" s="780">
        <v>14.510790392862358</v>
      </c>
      <c r="H61" s="780">
        <v>13.805426941229687</v>
      </c>
      <c r="I61" s="780">
        <v>1.8600022437980219</v>
      </c>
      <c r="J61" s="781">
        <v>14.172117150096106</v>
      </c>
      <c r="K61" s="782">
        <v>315.17984461372083</v>
      </c>
      <c r="M61" s="779">
        <v>0</v>
      </c>
      <c r="N61" s="780">
        <v>86.85946714449905</v>
      </c>
      <c r="O61" s="780">
        <v>70.363833724242596</v>
      </c>
      <c r="P61" s="780">
        <v>1.3867285729890795</v>
      </c>
      <c r="Q61" s="780">
        <v>14.728148636990396</v>
      </c>
      <c r="R61" s="780">
        <v>14.985513940235039</v>
      </c>
      <c r="S61" s="780">
        <v>2.2678545351498984</v>
      </c>
      <c r="T61" s="781">
        <v>15.75884158912077</v>
      </c>
      <c r="U61" s="782">
        <v>335.41173240995118</v>
      </c>
      <c r="V61" s="779">
        <f>U61-K61</f>
        <v>20.231887796230353</v>
      </c>
      <c r="W61" s="784">
        <f>V61/K61</f>
        <v>6.419156599631623E-2</v>
      </c>
      <c r="AB61" s="704" t="s">
        <v>356</v>
      </c>
      <c r="AC61" s="704" t="s">
        <v>408</v>
      </c>
      <c r="AD61" s="779">
        <v>0</v>
      </c>
      <c r="AE61" s="780">
        <v>81.990114149658339</v>
      </c>
      <c r="AF61" s="780">
        <v>62.307163736752216</v>
      </c>
      <c r="AG61" s="780">
        <v>1.4017780219589526</v>
      </c>
      <c r="AH61" s="780">
        <v>14.510790392862358</v>
      </c>
      <c r="AI61" s="780">
        <v>13.805426941229687</v>
      </c>
      <c r="AJ61" s="780">
        <v>1.8600022437980219</v>
      </c>
      <c r="AK61" s="781">
        <v>14.172117150096106</v>
      </c>
      <c r="AL61" s="782">
        <v>190.04739263635568</v>
      </c>
      <c r="AN61" s="779">
        <v>0</v>
      </c>
      <c r="AO61" s="780">
        <v>86.85946714449905</v>
      </c>
      <c r="AP61" s="780">
        <v>70.363833724242596</v>
      </c>
      <c r="AQ61" s="780">
        <v>1.3867285729890795</v>
      </c>
      <c r="AR61" s="780">
        <v>14.728148636990396</v>
      </c>
      <c r="AS61" s="780">
        <v>14.985513940235039</v>
      </c>
      <c r="AT61" s="780">
        <v>2.2678545351498984</v>
      </c>
      <c r="AU61" s="781">
        <v>15.75884158912077</v>
      </c>
      <c r="AV61" s="782">
        <v>206.35038814322687</v>
      </c>
      <c r="AW61" s="779">
        <f>AV61-AL61</f>
        <v>16.302995506871184</v>
      </c>
      <c r="AX61" s="784">
        <f>AW61/AL61</f>
        <v>8.5783842023373566E-2</v>
      </c>
      <c r="BB61" s="710">
        <f>AL61-K61</f>
        <v>-125.13245197736515</v>
      </c>
      <c r="BC61" s="710">
        <f>AV61-U61</f>
        <v>-129.06134426672432</v>
      </c>
      <c r="BE61" s="17"/>
    </row>
    <row r="62" spans="1:57" ht="15" x14ac:dyDescent="0.25">
      <c r="A62" s="704" t="s">
        <v>358</v>
      </c>
      <c r="B62" s="704" t="s">
        <v>408</v>
      </c>
      <c r="C62" s="787">
        <v>0</v>
      </c>
      <c r="D62" s="788">
        <v>116.45973602538155</v>
      </c>
      <c r="E62" s="788">
        <v>99.540047039169778</v>
      </c>
      <c r="F62" s="788">
        <v>1.9492508772567818</v>
      </c>
      <c r="G62" s="788">
        <v>17.498557182657841</v>
      </c>
      <c r="H62" s="788">
        <v>18.71626750325332</v>
      </c>
      <c r="I62" s="788">
        <v>3.2529420158658793</v>
      </c>
      <c r="J62" s="789">
        <v>24.583415488349587</v>
      </c>
      <c r="K62" s="790">
        <v>451.19001367828292</v>
      </c>
      <c r="M62" s="787">
        <v>0</v>
      </c>
      <c r="N62" s="788">
        <v>125.80084657263247</v>
      </c>
      <c r="O62" s="788">
        <v>117.35677807429784</v>
      </c>
      <c r="P62" s="788">
        <v>1.9897082355069522</v>
      </c>
      <c r="Q62" s="788">
        <v>18.62244580788099</v>
      </c>
      <c r="R62" s="788">
        <v>22.0956139863383</v>
      </c>
      <c r="S62" s="788">
        <v>3.9864497756991377</v>
      </c>
      <c r="T62" s="789">
        <v>27.99432505357461</v>
      </c>
      <c r="U62" s="790">
        <v>498.11057138049466</v>
      </c>
      <c r="V62" s="813">
        <f t="shared" ref="V62:V109" si="8">U62-K62</f>
        <v>46.920557702211738</v>
      </c>
      <c r="W62" s="814">
        <f t="shared" ref="W62:W109" si="9">V62/K62</f>
        <v>0.10399289939885067</v>
      </c>
      <c r="AB62" s="704" t="s">
        <v>358</v>
      </c>
      <c r="AC62" s="704" t="s">
        <v>408</v>
      </c>
      <c r="AD62" s="787">
        <v>0</v>
      </c>
      <c r="AE62" s="788">
        <v>116.45973602538155</v>
      </c>
      <c r="AF62" s="788">
        <v>99.540047039169778</v>
      </c>
      <c r="AG62" s="788">
        <v>1.9492508772567818</v>
      </c>
      <c r="AH62" s="788">
        <v>17.498557182657841</v>
      </c>
      <c r="AI62" s="788">
        <v>18.71626750325332</v>
      </c>
      <c r="AJ62" s="788">
        <v>3.2529420158658793</v>
      </c>
      <c r="AK62" s="789">
        <v>24.583415488349587</v>
      </c>
      <c r="AL62" s="790">
        <v>282.00021613193474</v>
      </c>
      <c r="AN62" s="787">
        <v>0</v>
      </c>
      <c r="AO62" s="788">
        <v>125.80084657263247</v>
      </c>
      <c r="AP62" s="788">
        <v>117.35677807429784</v>
      </c>
      <c r="AQ62" s="788">
        <v>1.9897082355069522</v>
      </c>
      <c r="AR62" s="788">
        <v>18.62244580788099</v>
      </c>
      <c r="AS62" s="788">
        <v>22.0956139863383</v>
      </c>
      <c r="AT62" s="788">
        <v>3.9864497756991377</v>
      </c>
      <c r="AU62" s="789">
        <v>27.99432505357461</v>
      </c>
      <c r="AV62" s="790">
        <v>317.84616750593028</v>
      </c>
      <c r="AW62" s="813">
        <f t="shared" ref="AW62:AW109" si="10">AV62-AL62</f>
        <v>35.845951373995547</v>
      </c>
      <c r="AX62" s="814">
        <f t="shared" ref="AX62:AX109" si="11">AW62/AL62</f>
        <v>0.12711320532188847</v>
      </c>
      <c r="BB62" s="710">
        <f t="shared" ref="BB62:BB109" si="12">AL62-K62</f>
        <v>-169.18979754634819</v>
      </c>
      <c r="BC62" s="710">
        <f t="shared" ref="BC62:BC109" si="13">AV62-U62</f>
        <v>-180.26440387456438</v>
      </c>
      <c r="BE62" s="17"/>
    </row>
    <row r="63" spans="1:57" ht="15" x14ac:dyDescent="0.25">
      <c r="A63" s="704" t="s">
        <v>356</v>
      </c>
      <c r="B63" s="704" t="s">
        <v>409</v>
      </c>
      <c r="C63" s="787">
        <v>0</v>
      </c>
      <c r="D63" s="788">
        <v>62.101993656702916</v>
      </c>
      <c r="E63" s="788">
        <v>45.775778712193201</v>
      </c>
      <c r="F63" s="788">
        <v>1.0037092170901327</v>
      </c>
      <c r="G63" s="788">
        <v>10.454127927697051</v>
      </c>
      <c r="H63" s="788">
        <v>9.8682086756563603</v>
      </c>
      <c r="I63" s="788">
        <v>1.2707484075455981</v>
      </c>
      <c r="J63" s="789">
        <v>11.851564995854028</v>
      </c>
      <c r="K63" s="790">
        <v>235.00791517543939</v>
      </c>
      <c r="M63" s="787">
        <v>0</v>
      </c>
      <c r="N63" s="788">
        <v>66.75589188219719</v>
      </c>
      <c r="O63" s="788">
        <v>51.815562701854283</v>
      </c>
      <c r="P63" s="788">
        <v>1.008911282254523</v>
      </c>
      <c r="Q63" s="788">
        <v>10.799375382402809</v>
      </c>
      <c r="R63" s="788">
        <v>10.831842815359071</v>
      </c>
      <c r="S63" s="788">
        <v>1.5502662214820067</v>
      </c>
      <c r="T63" s="789">
        <v>13.171979220276748</v>
      </c>
      <c r="U63" s="790">
        <v>254.34785412080925</v>
      </c>
      <c r="V63" s="787">
        <f t="shared" si="8"/>
        <v>19.339938945369852</v>
      </c>
      <c r="W63" s="792">
        <f t="shared" si="9"/>
        <v>8.2294840711778131E-2</v>
      </c>
      <c r="AB63" s="704" t="s">
        <v>356</v>
      </c>
      <c r="AC63" s="704" t="s">
        <v>409</v>
      </c>
      <c r="AD63" s="787">
        <v>0</v>
      </c>
      <c r="AE63" s="788">
        <v>62.101993656702916</v>
      </c>
      <c r="AF63" s="788">
        <v>45.775778712193201</v>
      </c>
      <c r="AG63" s="788">
        <v>1.0037092170901327</v>
      </c>
      <c r="AH63" s="788">
        <v>10.454127927697051</v>
      </c>
      <c r="AI63" s="788">
        <v>9.8682086756563603</v>
      </c>
      <c r="AJ63" s="788">
        <v>1.2707484075455981</v>
      </c>
      <c r="AK63" s="789">
        <v>11.851564995854028</v>
      </c>
      <c r="AL63" s="790">
        <v>142.32613159273927</v>
      </c>
      <c r="AN63" s="787">
        <v>0</v>
      </c>
      <c r="AO63" s="788">
        <v>66.75589188219719</v>
      </c>
      <c r="AP63" s="788">
        <v>51.815562701854283</v>
      </c>
      <c r="AQ63" s="788">
        <v>1.008911282254523</v>
      </c>
      <c r="AR63" s="788">
        <v>10.799375382402809</v>
      </c>
      <c r="AS63" s="788">
        <v>10.831842815359071</v>
      </c>
      <c r="AT63" s="788">
        <v>1.5502662214820067</v>
      </c>
      <c r="AU63" s="789">
        <v>13.171979220276748</v>
      </c>
      <c r="AV63" s="790">
        <v>155.93382950582662</v>
      </c>
      <c r="AW63" s="787">
        <f t="shared" si="10"/>
        <v>13.60769791308735</v>
      </c>
      <c r="AX63" s="792">
        <f t="shared" si="11"/>
        <v>9.5609272596723499E-2</v>
      </c>
      <c r="BB63" s="710">
        <f t="shared" si="12"/>
        <v>-92.68178358270012</v>
      </c>
      <c r="BC63" s="710">
        <f t="shared" si="13"/>
        <v>-98.414024614982623</v>
      </c>
      <c r="BE63" s="17"/>
    </row>
    <row r="64" spans="1:57" ht="15" x14ac:dyDescent="0.25">
      <c r="A64" s="704" t="s">
        <v>358</v>
      </c>
      <c r="B64" s="704" t="s">
        <v>409</v>
      </c>
      <c r="C64" s="787">
        <v>0</v>
      </c>
      <c r="D64" s="788">
        <v>82.700693179760009</v>
      </c>
      <c r="E64" s="788">
        <v>73.23992361132882</v>
      </c>
      <c r="F64" s="788">
        <v>1.5644438614878675</v>
      </c>
      <c r="G64" s="788">
        <v>13.406744956665948</v>
      </c>
      <c r="H64" s="788">
        <v>14.380811012383495</v>
      </c>
      <c r="I64" s="788">
        <v>2.4600661444838692</v>
      </c>
      <c r="J64" s="789">
        <v>22.662458274473639</v>
      </c>
      <c r="K64" s="790">
        <v>344.64860042920941</v>
      </c>
      <c r="M64" s="787">
        <v>0</v>
      </c>
      <c r="N64" s="788">
        <v>92.769405973839696</v>
      </c>
      <c r="O64" s="788">
        <v>90.997113125927285</v>
      </c>
      <c r="P64" s="788">
        <v>1.6299974939932671</v>
      </c>
      <c r="Q64" s="788">
        <v>14.606045905887592</v>
      </c>
      <c r="R64" s="788">
        <v>17.424459766369161</v>
      </c>
      <c r="S64" s="788">
        <v>3.0179051599167139</v>
      </c>
      <c r="T64" s="789">
        <v>25.206849168127764</v>
      </c>
      <c r="U64" s="790">
        <v>396.74696770418586</v>
      </c>
      <c r="V64" s="787">
        <f t="shared" si="8"/>
        <v>52.098367274976454</v>
      </c>
      <c r="W64" s="792">
        <f t="shared" si="9"/>
        <v>0.15116372795390887</v>
      </c>
      <c r="AB64" s="704" t="s">
        <v>358</v>
      </c>
      <c r="AC64" s="704" t="s">
        <v>409</v>
      </c>
      <c r="AD64" s="787">
        <v>0</v>
      </c>
      <c r="AE64" s="788">
        <v>82.700693179760009</v>
      </c>
      <c r="AF64" s="788">
        <v>73.23992361132882</v>
      </c>
      <c r="AG64" s="788">
        <v>1.5644438614878675</v>
      </c>
      <c r="AH64" s="788">
        <v>13.406744956665948</v>
      </c>
      <c r="AI64" s="788">
        <v>14.380811012383495</v>
      </c>
      <c r="AJ64" s="788">
        <v>2.4600661444838692</v>
      </c>
      <c r="AK64" s="789">
        <v>22.662458274473639</v>
      </c>
      <c r="AL64" s="790">
        <v>210.41514104058365</v>
      </c>
      <c r="AN64" s="787">
        <v>0</v>
      </c>
      <c r="AO64" s="788">
        <v>92.769405973839696</v>
      </c>
      <c r="AP64" s="788">
        <v>90.997113125927285</v>
      </c>
      <c r="AQ64" s="788">
        <v>1.6299974939932671</v>
      </c>
      <c r="AR64" s="788">
        <v>14.606045905887592</v>
      </c>
      <c r="AS64" s="788">
        <v>17.424459766369161</v>
      </c>
      <c r="AT64" s="788">
        <v>3.0179051599167139</v>
      </c>
      <c r="AU64" s="789">
        <v>25.206849168127764</v>
      </c>
      <c r="AV64" s="790">
        <v>245.65177659406149</v>
      </c>
      <c r="AW64" s="787">
        <f t="shared" si="10"/>
        <v>35.236635553477839</v>
      </c>
      <c r="AX64" s="792">
        <f t="shared" si="11"/>
        <v>0.16746245246049857</v>
      </c>
      <c r="BB64" s="710">
        <f t="shared" si="12"/>
        <v>-134.23345938862576</v>
      </c>
      <c r="BC64" s="710">
        <f t="shared" si="13"/>
        <v>-151.09519111012438</v>
      </c>
      <c r="BE64" s="17"/>
    </row>
    <row r="65" spans="1:57" ht="15" x14ac:dyDescent="0.25">
      <c r="A65" s="704" t="s">
        <v>356</v>
      </c>
      <c r="B65" s="704" t="s">
        <v>410</v>
      </c>
      <c r="C65" s="787">
        <v>0</v>
      </c>
      <c r="D65" s="788">
        <v>66.472135481850856</v>
      </c>
      <c r="E65" s="788">
        <v>46.034660207836325</v>
      </c>
      <c r="F65" s="788">
        <v>2.0992721202049167</v>
      </c>
      <c r="G65" s="788">
        <v>17.986478402778005</v>
      </c>
      <c r="H65" s="788">
        <v>17.344248143947041</v>
      </c>
      <c r="I65" s="788">
        <v>2.3503667342765668</v>
      </c>
      <c r="J65" s="789">
        <v>15.076550200977101</v>
      </c>
      <c r="K65" s="790">
        <v>277.59677079816061</v>
      </c>
      <c r="M65" s="787">
        <v>0</v>
      </c>
      <c r="N65" s="788">
        <v>70.984659563472889</v>
      </c>
      <c r="O65" s="788">
        <v>50.671121593849612</v>
      </c>
      <c r="P65" s="788">
        <v>2.1949763263974389</v>
      </c>
      <c r="Q65" s="788">
        <v>19.035078441619255</v>
      </c>
      <c r="R65" s="788">
        <v>19.51545208873161</v>
      </c>
      <c r="S65" s="788">
        <v>2.8654422901401286</v>
      </c>
      <c r="T65" s="789">
        <v>16.699155461988134</v>
      </c>
      <c r="U65" s="790">
        <v>296.49172155690712</v>
      </c>
      <c r="V65" s="787">
        <f t="shared" si="8"/>
        <v>18.894950758746518</v>
      </c>
      <c r="W65" s="792">
        <f t="shared" si="9"/>
        <v>6.80661763622782E-2</v>
      </c>
      <c r="AB65" s="704" t="s">
        <v>356</v>
      </c>
      <c r="AC65" s="704" t="s">
        <v>410</v>
      </c>
      <c r="AD65" s="787">
        <v>0</v>
      </c>
      <c r="AE65" s="788">
        <v>66.472135481850856</v>
      </c>
      <c r="AF65" s="788">
        <v>46.034660207836325</v>
      </c>
      <c r="AG65" s="788">
        <v>2.0992721202049167</v>
      </c>
      <c r="AH65" s="788">
        <v>17.986478402778005</v>
      </c>
      <c r="AI65" s="788">
        <v>17.344248143947041</v>
      </c>
      <c r="AJ65" s="788">
        <v>2.3503667342765668</v>
      </c>
      <c r="AK65" s="789">
        <v>15.076550200977101</v>
      </c>
      <c r="AL65" s="790">
        <v>167.36371129187083</v>
      </c>
      <c r="AN65" s="787">
        <v>0</v>
      </c>
      <c r="AO65" s="788">
        <v>70.984659563472889</v>
      </c>
      <c r="AP65" s="788">
        <v>50.671121593849612</v>
      </c>
      <c r="AQ65" s="788">
        <v>2.1949763263974389</v>
      </c>
      <c r="AR65" s="788">
        <v>19.035078441619255</v>
      </c>
      <c r="AS65" s="788">
        <v>19.51545208873161</v>
      </c>
      <c r="AT65" s="788">
        <v>2.8654422901401286</v>
      </c>
      <c r="AU65" s="789">
        <v>16.699155461988134</v>
      </c>
      <c r="AV65" s="790">
        <v>181.96588576619908</v>
      </c>
      <c r="AW65" s="787">
        <f t="shared" si="10"/>
        <v>14.602174474328251</v>
      </c>
      <c r="AX65" s="792">
        <f t="shared" si="11"/>
        <v>8.7248151714699143E-2</v>
      </c>
      <c r="BB65" s="710">
        <f t="shared" si="12"/>
        <v>-110.23305950628978</v>
      </c>
      <c r="BC65" s="710">
        <f t="shared" si="13"/>
        <v>-114.52583579070804</v>
      </c>
      <c r="BE65" s="17"/>
    </row>
    <row r="66" spans="1:57" ht="15" x14ac:dyDescent="0.25">
      <c r="A66" s="704" t="s">
        <v>358</v>
      </c>
      <c r="B66" s="704" t="s">
        <v>410</v>
      </c>
      <c r="C66" s="787">
        <v>0</v>
      </c>
      <c r="D66" s="788">
        <v>52.761124445974112</v>
      </c>
      <c r="E66" s="788">
        <v>50.83911888265785</v>
      </c>
      <c r="F66" s="788">
        <v>2.6034428644479668</v>
      </c>
      <c r="G66" s="788">
        <v>18.433461696349053</v>
      </c>
      <c r="H66" s="788">
        <v>19.420538353404357</v>
      </c>
      <c r="I66" s="788">
        <v>3.3279040733044969</v>
      </c>
      <c r="J66" s="789">
        <v>20.946540485994504</v>
      </c>
      <c r="K66" s="790">
        <v>276.51644504177546</v>
      </c>
      <c r="M66" s="787">
        <v>0</v>
      </c>
      <c r="N66" s="788">
        <v>59.987092308885842</v>
      </c>
      <c r="O66" s="788">
        <v>65.398711938648262</v>
      </c>
      <c r="P66" s="788">
        <v>2.7893164691256436</v>
      </c>
      <c r="Q66" s="788">
        <v>20.365518689249505</v>
      </c>
      <c r="R66" s="788">
        <v>23.799865461508585</v>
      </c>
      <c r="S66" s="788">
        <v>4.0953379625669282</v>
      </c>
      <c r="T66" s="789">
        <v>23.233330865032187</v>
      </c>
      <c r="U66" s="790">
        <v>321.73307639456931</v>
      </c>
      <c r="V66" s="787">
        <f t="shared" si="8"/>
        <v>45.216631352793854</v>
      </c>
      <c r="W66" s="792">
        <f t="shared" si="9"/>
        <v>0.16352239500968063</v>
      </c>
      <c r="AB66" s="704" t="s">
        <v>358</v>
      </c>
      <c r="AC66" s="704" t="s">
        <v>410</v>
      </c>
      <c r="AD66" s="787">
        <v>0</v>
      </c>
      <c r="AE66" s="788">
        <v>52.761124445974112</v>
      </c>
      <c r="AF66" s="788">
        <v>50.83911888265785</v>
      </c>
      <c r="AG66" s="788">
        <v>2.6034428644479668</v>
      </c>
      <c r="AH66" s="788">
        <v>18.433461696349053</v>
      </c>
      <c r="AI66" s="788">
        <v>19.420538353404357</v>
      </c>
      <c r="AJ66" s="788">
        <v>3.3279040733044969</v>
      </c>
      <c r="AK66" s="789">
        <v>20.946540485994504</v>
      </c>
      <c r="AL66" s="790">
        <v>168.33213080213233</v>
      </c>
      <c r="AN66" s="787">
        <v>0</v>
      </c>
      <c r="AO66" s="788">
        <v>59.987092308885842</v>
      </c>
      <c r="AP66" s="788">
        <v>65.398711938648262</v>
      </c>
      <c r="AQ66" s="788">
        <v>2.7893164691256436</v>
      </c>
      <c r="AR66" s="788">
        <v>20.365518689249505</v>
      </c>
      <c r="AS66" s="788">
        <v>23.799865461508585</v>
      </c>
      <c r="AT66" s="788">
        <v>4.0953379625669282</v>
      </c>
      <c r="AU66" s="789">
        <v>23.233330865032187</v>
      </c>
      <c r="AV66" s="790">
        <v>199.66917369501698</v>
      </c>
      <c r="AW66" s="787">
        <f t="shared" si="10"/>
        <v>31.337042892884654</v>
      </c>
      <c r="AX66" s="792">
        <f t="shared" si="11"/>
        <v>0.18616198074341547</v>
      </c>
      <c r="BB66" s="710">
        <f t="shared" si="12"/>
        <v>-108.18431423964313</v>
      </c>
      <c r="BC66" s="710">
        <f t="shared" si="13"/>
        <v>-122.06390269955233</v>
      </c>
      <c r="BE66" s="17"/>
    </row>
    <row r="67" spans="1:57" ht="15" x14ac:dyDescent="0.25">
      <c r="A67" s="704" t="s">
        <v>356</v>
      </c>
      <c r="B67" s="704" t="s">
        <v>411</v>
      </c>
      <c r="C67" s="787">
        <v>0</v>
      </c>
      <c r="D67" s="788">
        <v>115.36909726622191</v>
      </c>
      <c r="E67" s="788">
        <v>97.776643000426915</v>
      </c>
      <c r="F67" s="788">
        <v>2.8386989251975585</v>
      </c>
      <c r="G67" s="788">
        <v>22.770652925969816</v>
      </c>
      <c r="H67" s="788">
        <v>22.878336140104381</v>
      </c>
      <c r="I67" s="788">
        <v>5.4884216962541927</v>
      </c>
      <c r="J67" s="789">
        <v>37.584017151450759</v>
      </c>
      <c r="K67" s="790">
        <v>428.5757332130176</v>
      </c>
      <c r="M67" s="787">
        <v>0</v>
      </c>
      <c r="N67" s="788">
        <v>147.07378172626252</v>
      </c>
      <c r="O67" s="788">
        <v>139.55399450744466</v>
      </c>
      <c r="P67" s="788">
        <v>3.2677264574388842</v>
      </c>
      <c r="Q67" s="788">
        <v>27.483293834953638</v>
      </c>
      <c r="R67" s="788">
        <v>30.506147783621568</v>
      </c>
      <c r="S67" s="788">
        <v>6.7237723797398354</v>
      </c>
      <c r="T67" s="789">
        <v>41.536874826539481</v>
      </c>
      <c r="U67" s="790">
        <v>548.25256403807896</v>
      </c>
      <c r="V67" s="787">
        <f t="shared" si="8"/>
        <v>119.67683082506136</v>
      </c>
      <c r="W67" s="792">
        <f t="shared" si="9"/>
        <v>0.27924313382805943</v>
      </c>
      <c r="AB67" s="704" t="s">
        <v>356</v>
      </c>
      <c r="AC67" s="704" t="s">
        <v>411</v>
      </c>
      <c r="AD67" s="787">
        <v>0</v>
      </c>
      <c r="AE67" s="788">
        <v>115.36909726622191</v>
      </c>
      <c r="AF67" s="788">
        <v>97.776643000426915</v>
      </c>
      <c r="AG67" s="788">
        <v>2.8386989251975585</v>
      </c>
      <c r="AH67" s="788">
        <v>22.770652925969816</v>
      </c>
      <c r="AI67" s="788">
        <v>22.878336140104381</v>
      </c>
      <c r="AJ67" s="788">
        <v>5.4884216962541927</v>
      </c>
      <c r="AK67" s="789">
        <v>37.584017151450759</v>
      </c>
      <c r="AL67" s="790">
        <v>304.70586710562554</v>
      </c>
      <c r="AN67" s="787">
        <v>0</v>
      </c>
      <c r="AO67" s="788">
        <v>147.07378172626252</v>
      </c>
      <c r="AP67" s="788">
        <v>139.55399450744466</v>
      </c>
      <c r="AQ67" s="788">
        <v>3.2677264574388842</v>
      </c>
      <c r="AR67" s="788">
        <v>27.483293834953638</v>
      </c>
      <c r="AS67" s="788">
        <v>30.506147783621568</v>
      </c>
      <c r="AT67" s="788">
        <v>6.7237723797398354</v>
      </c>
      <c r="AU67" s="789">
        <v>41.536874826539481</v>
      </c>
      <c r="AV67" s="790">
        <v>396.14559151600059</v>
      </c>
      <c r="AW67" s="787">
        <f t="shared" si="10"/>
        <v>91.43972441037505</v>
      </c>
      <c r="AX67" s="792">
        <f t="shared" si="11"/>
        <v>0.3000917746643772</v>
      </c>
      <c r="BB67" s="710">
        <f t="shared" si="12"/>
        <v>-123.86986610739206</v>
      </c>
      <c r="BC67" s="710">
        <f t="shared" si="13"/>
        <v>-152.10697252207837</v>
      </c>
      <c r="BE67" s="17"/>
    </row>
    <row r="68" spans="1:57" ht="15" x14ac:dyDescent="0.25">
      <c r="A68" s="704" t="s">
        <v>358</v>
      </c>
      <c r="B68" s="704" t="s">
        <v>411</v>
      </c>
      <c r="C68" s="787">
        <v>0</v>
      </c>
      <c r="D68" s="788">
        <v>87.299691271991719</v>
      </c>
      <c r="E68" s="788">
        <v>69.787849086219609</v>
      </c>
      <c r="F68" s="788">
        <v>1.7107865518309888</v>
      </c>
      <c r="G68" s="788">
        <v>14.832592277651797</v>
      </c>
      <c r="H68" s="788">
        <v>12.997029320775301</v>
      </c>
      <c r="I68" s="788">
        <v>3.0246214598147589</v>
      </c>
      <c r="J68" s="789">
        <v>20.366527285032465</v>
      </c>
      <c r="K68" s="790">
        <v>334.56424510928639</v>
      </c>
      <c r="M68" s="787">
        <v>0</v>
      </c>
      <c r="N68" s="788">
        <v>109.34793593499485</v>
      </c>
      <c r="O68" s="788">
        <v>91.600234205527045</v>
      </c>
      <c r="P68" s="788">
        <v>1.9829638228986752</v>
      </c>
      <c r="Q68" s="788">
        <v>18.001781199352955</v>
      </c>
      <c r="R68" s="788">
        <v>16.55717172417317</v>
      </c>
      <c r="S68" s="788">
        <v>3.7143640266729308</v>
      </c>
      <c r="T68" s="789">
        <v>23.131680536934674</v>
      </c>
      <c r="U68" s="790">
        <v>408.95602296354224</v>
      </c>
      <c r="V68" s="787">
        <f t="shared" si="8"/>
        <v>74.391777854255849</v>
      </c>
      <c r="W68" s="792">
        <f t="shared" si="9"/>
        <v>0.2223542382120228</v>
      </c>
      <c r="AB68" s="704" t="s">
        <v>358</v>
      </c>
      <c r="AC68" s="704" t="s">
        <v>411</v>
      </c>
      <c r="AD68" s="787">
        <v>0</v>
      </c>
      <c r="AE68" s="788">
        <v>87.299691271991719</v>
      </c>
      <c r="AF68" s="788">
        <v>69.787849086219609</v>
      </c>
      <c r="AG68" s="788">
        <v>1.7107865518309888</v>
      </c>
      <c r="AH68" s="788">
        <v>14.832592277651797</v>
      </c>
      <c r="AI68" s="788">
        <v>12.997029320775301</v>
      </c>
      <c r="AJ68" s="788">
        <v>3.0246214598147589</v>
      </c>
      <c r="AK68" s="789">
        <v>20.366527285032465</v>
      </c>
      <c r="AL68" s="790">
        <v>210.01909725331666</v>
      </c>
      <c r="AN68" s="787">
        <v>0</v>
      </c>
      <c r="AO68" s="788">
        <v>109.34793593499485</v>
      </c>
      <c r="AP68" s="788">
        <v>91.600234205527045</v>
      </c>
      <c r="AQ68" s="788">
        <v>1.9829638228986752</v>
      </c>
      <c r="AR68" s="788">
        <v>18.001781199352955</v>
      </c>
      <c r="AS68" s="788">
        <v>16.55717172417317</v>
      </c>
      <c r="AT68" s="788">
        <v>3.7143640266729308</v>
      </c>
      <c r="AU68" s="789">
        <v>23.131680536934674</v>
      </c>
      <c r="AV68" s="790">
        <v>264.33613145055432</v>
      </c>
      <c r="AW68" s="787">
        <f t="shared" si="10"/>
        <v>54.31703419723766</v>
      </c>
      <c r="AX68" s="792">
        <f t="shared" si="11"/>
        <v>0.25862902425355455</v>
      </c>
      <c r="BB68" s="710">
        <f t="shared" si="12"/>
        <v>-124.54514785596973</v>
      </c>
      <c r="BC68" s="710">
        <f t="shared" si="13"/>
        <v>-144.61989151298792</v>
      </c>
      <c r="BE68" s="17"/>
    </row>
    <row r="69" spans="1:57" ht="15" x14ac:dyDescent="0.25">
      <c r="A69" s="704" t="s">
        <v>356</v>
      </c>
      <c r="B69" s="704" t="s">
        <v>412</v>
      </c>
      <c r="C69" s="787">
        <v>0</v>
      </c>
      <c r="D69" s="788">
        <v>211.57550549313797</v>
      </c>
      <c r="E69" s="788">
        <v>196.95220434085635</v>
      </c>
      <c r="F69" s="788">
        <v>3.4062056499133742</v>
      </c>
      <c r="G69" s="788">
        <v>30.10123783948664</v>
      </c>
      <c r="H69" s="788">
        <v>35.0288079563284</v>
      </c>
      <c r="I69" s="788">
        <v>8.6200997438753486</v>
      </c>
      <c r="J69" s="789">
        <v>37.193068667043455</v>
      </c>
      <c r="K69" s="790">
        <v>780.10160816156451</v>
      </c>
      <c r="M69" s="787">
        <v>0</v>
      </c>
      <c r="N69" s="788">
        <v>337.79812473082188</v>
      </c>
      <c r="O69" s="788">
        <v>371.73216566368654</v>
      </c>
      <c r="P69" s="788">
        <v>5.0864852677317929</v>
      </c>
      <c r="Q69" s="788">
        <v>48.732649648274439</v>
      </c>
      <c r="R69" s="788">
        <v>64.260290750937415</v>
      </c>
      <c r="S69" s="788">
        <v>13.145449069932186</v>
      </c>
      <c r="T69" s="789">
        <v>50.292249863245658</v>
      </c>
      <c r="U69" s="790">
        <v>1274.1681669430702</v>
      </c>
      <c r="V69" s="787">
        <f t="shared" si="8"/>
        <v>494.06655878150571</v>
      </c>
      <c r="W69" s="792">
        <f t="shared" si="9"/>
        <v>0.63333616238255597</v>
      </c>
      <c r="AB69" s="704" t="s">
        <v>356</v>
      </c>
      <c r="AC69" s="704" t="s">
        <v>412</v>
      </c>
      <c r="AD69" s="787">
        <v>0</v>
      </c>
      <c r="AE69" s="788">
        <v>211.57550549313797</v>
      </c>
      <c r="AF69" s="788">
        <v>196.95220434085635</v>
      </c>
      <c r="AG69" s="788">
        <v>3.4062056499133742</v>
      </c>
      <c r="AH69" s="788">
        <v>30.10123783948664</v>
      </c>
      <c r="AI69" s="788">
        <v>35.0288079563284</v>
      </c>
      <c r="AJ69" s="788">
        <v>8.6200997438753486</v>
      </c>
      <c r="AK69" s="789">
        <v>37.193068667043455</v>
      </c>
      <c r="AL69" s="790">
        <v>522.8771296906416</v>
      </c>
      <c r="AN69" s="787">
        <v>0</v>
      </c>
      <c r="AO69" s="788">
        <v>337.79812473082188</v>
      </c>
      <c r="AP69" s="788">
        <v>371.73216566368654</v>
      </c>
      <c r="AQ69" s="788">
        <v>5.0864852677317929</v>
      </c>
      <c r="AR69" s="788">
        <v>48.732649648274439</v>
      </c>
      <c r="AS69" s="788">
        <v>64.260290750937415</v>
      </c>
      <c r="AT69" s="788">
        <v>13.145449069932186</v>
      </c>
      <c r="AU69" s="789">
        <v>50.292249863245658</v>
      </c>
      <c r="AV69" s="790">
        <v>891.04741499462989</v>
      </c>
      <c r="AW69" s="787">
        <f t="shared" si="10"/>
        <v>368.17028530398829</v>
      </c>
      <c r="AX69" s="792">
        <f t="shared" si="11"/>
        <v>0.7041239029173354</v>
      </c>
      <c r="BB69" s="710">
        <f t="shared" si="12"/>
        <v>-257.22447847092292</v>
      </c>
      <c r="BC69" s="710">
        <f t="shared" si="13"/>
        <v>-383.12075194844033</v>
      </c>
      <c r="BE69" s="17"/>
    </row>
    <row r="70" spans="1:57" ht="15" x14ac:dyDescent="0.25">
      <c r="A70" s="704" t="s">
        <v>358</v>
      </c>
      <c r="B70" s="704" t="s">
        <v>412</v>
      </c>
      <c r="C70" s="787">
        <v>0</v>
      </c>
      <c r="D70" s="788">
        <v>300.30386780329718</v>
      </c>
      <c r="E70" s="788">
        <v>224.06252010554428</v>
      </c>
      <c r="F70" s="788">
        <v>3.6277331931193788</v>
      </c>
      <c r="G70" s="788">
        <v>40.009008819731392</v>
      </c>
      <c r="H70" s="788">
        <v>34.66552842787879</v>
      </c>
      <c r="I70" s="788">
        <v>8.0009905802340224</v>
      </c>
      <c r="J70" s="789">
        <v>30.740370577808964</v>
      </c>
      <c r="K70" s="790">
        <v>969.09322061060095</v>
      </c>
      <c r="M70" s="787">
        <v>0</v>
      </c>
      <c r="N70" s="788">
        <v>468.23713514504254</v>
      </c>
      <c r="O70" s="788">
        <v>358.80527832694202</v>
      </c>
      <c r="P70" s="788">
        <v>5.3224753672653229</v>
      </c>
      <c r="Q70" s="788">
        <v>62.964038531327049</v>
      </c>
      <c r="R70" s="788">
        <v>55.352680637255652</v>
      </c>
      <c r="S70" s="788">
        <v>10.433963532812214</v>
      </c>
      <c r="T70" s="789">
        <v>40.311638524435701</v>
      </c>
      <c r="U70" s="790">
        <v>1447.4707067417769</v>
      </c>
      <c r="V70" s="787">
        <f t="shared" si="8"/>
        <v>478.37748613117594</v>
      </c>
      <c r="W70" s="792">
        <f t="shared" si="9"/>
        <v>0.49363412719961292</v>
      </c>
      <c r="AB70" s="704" t="s">
        <v>358</v>
      </c>
      <c r="AC70" s="704" t="s">
        <v>412</v>
      </c>
      <c r="AD70" s="787">
        <v>0</v>
      </c>
      <c r="AE70" s="788">
        <v>300.30386780329718</v>
      </c>
      <c r="AF70" s="788">
        <v>224.06252010554428</v>
      </c>
      <c r="AG70" s="788">
        <v>3.6277331931193788</v>
      </c>
      <c r="AH70" s="788">
        <v>40.009008819731392</v>
      </c>
      <c r="AI70" s="788">
        <v>34.66552842787879</v>
      </c>
      <c r="AJ70" s="788">
        <v>8.0009905802340224</v>
      </c>
      <c r="AK70" s="789">
        <v>30.740370577808964</v>
      </c>
      <c r="AL70" s="790">
        <v>641.41001950761415</v>
      </c>
      <c r="AN70" s="787">
        <v>0</v>
      </c>
      <c r="AO70" s="788">
        <v>468.23713514504254</v>
      </c>
      <c r="AP70" s="788">
        <v>358.80527832694202</v>
      </c>
      <c r="AQ70" s="788">
        <v>5.3224753672653229</v>
      </c>
      <c r="AR70" s="788">
        <v>62.964038531327049</v>
      </c>
      <c r="AS70" s="788">
        <v>55.352680637255652</v>
      </c>
      <c r="AT70" s="788">
        <v>10.433963532812214</v>
      </c>
      <c r="AU70" s="789">
        <v>40.311638524435701</v>
      </c>
      <c r="AV70" s="790">
        <v>1001.4272100650803</v>
      </c>
      <c r="AW70" s="787">
        <f t="shared" si="10"/>
        <v>360.01719055746617</v>
      </c>
      <c r="AX70" s="792">
        <f t="shared" si="11"/>
        <v>0.56129025055429838</v>
      </c>
      <c r="BB70" s="710">
        <f t="shared" si="12"/>
        <v>-327.6832011029868</v>
      </c>
      <c r="BC70" s="710">
        <f t="shared" si="13"/>
        <v>-446.04349667669658</v>
      </c>
      <c r="BE70" s="17"/>
    </row>
    <row r="71" spans="1:57" ht="15" x14ac:dyDescent="0.25">
      <c r="A71" s="704" t="s">
        <v>356</v>
      </c>
      <c r="B71" s="704" t="s">
        <v>413</v>
      </c>
      <c r="C71" s="787">
        <v>0</v>
      </c>
      <c r="D71" s="788">
        <v>423.57045201315424</v>
      </c>
      <c r="E71" s="788">
        <v>439.90084645712585</v>
      </c>
      <c r="F71" s="788">
        <v>6.2275455411461724</v>
      </c>
      <c r="G71" s="788">
        <v>69.683717600708377</v>
      </c>
      <c r="H71" s="788">
        <v>80.702204385158367</v>
      </c>
      <c r="I71" s="788">
        <v>13.913469885849961</v>
      </c>
      <c r="J71" s="789">
        <v>78.515418141200954</v>
      </c>
      <c r="K71" s="790">
        <v>1942.9543179698667</v>
      </c>
      <c r="M71" s="787">
        <v>0</v>
      </c>
      <c r="N71" s="788">
        <v>628.13034718016354</v>
      </c>
      <c r="O71" s="788">
        <v>729.97560743356996</v>
      </c>
      <c r="P71" s="788">
        <v>8.2800343663961549</v>
      </c>
      <c r="Q71" s="788">
        <v>100.98803331495681</v>
      </c>
      <c r="R71" s="788">
        <v>128.89002090112044</v>
      </c>
      <c r="S71" s="788">
        <v>28.191004009343132</v>
      </c>
      <c r="T71" s="789">
        <v>171.44664909524224</v>
      </c>
      <c r="U71" s="790">
        <v>2762.8823083142092</v>
      </c>
      <c r="V71" s="787">
        <f t="shared" si="8"/>
        <v>819.92799034434256</v>
      </c>
      <c r="W71" s="792">
        <f t="shared" si="9"/>
        <v>0.42200065269731102</v>
      </c>
      <c r="AB71" s="704" t="s">
        <v>356</v>
      </c>
      <c r="AC71" s="704" t="s">
        <v>413</v>
      </c>
      <c r="AD71" s="787">
        <v>0</v>
      </c>
      <c r="AE71" s="788">
        <v>423.57045201315424</v>
      </c>
      <c r="AF71" s="788">
        <v>439.90084645712585</v>
      </c>
      <c r="AG71" s="788">
        <v>6.2275455411461724</v>
      </c>
      <c r="AH71" s="788">
        <v>69.683717600708377</v>
      </c>
      <c r="AI71" s="788">
        <v>80.702204385158367</v>
      </c>
      <c r="AJ71" s="788">
        <v>13.913469885849961</v>
      </c>
      <c r="AK71" s="789">
        <v>78.515418141200954</v>
      </c>
      <c r="AL71" s="790">
        <v>1112.5136540243439</v>
      </c>
      <c r="AN71" s="787">
        <v>0</v>
      </c>
      <c r="AO71" s="788">
        <v>628.13034718016354</v>
      </c>
      <c r="AP71" s="788">
        <v>729.97560743356996</v>
      </c>
      <c r="AQ71" s="788">
        <v>8.2800343663961549</v>
      </c>
      <c r="AR71" s="788">
        <v>100.98803331495681</v>
      </c>
      <c r="AS71" s="788">
        <v>128.89002090112044</v>
      </c>
      <c r="AT71" s="788">
        <v>28.191004009343132</v>
      </c>
      <c r="AU71" s="789">
        <v>171.44664909524224</v>
      </c>
      <c r="AV71" s="790">
        <v>1795.9016963007921</v>
      </c>
      <c r="AW71" s="787">
        <f t="shared" si="10"/>
        <v>683.38804227644823</v>
      </c>
      <c r="AX71" s="792">
        <f t="shared" si="11"/>
        <v>0.61427384716079581</v>
      </c>
      <c r="BB71" s="710">
        <f t="shared" si="12"/>
        <v>-830.44066394552283</v>
      </c>
      <c r="BC71" s="710">
        <f t="shared" si="13"/>
        <v>-966.98061201341716</v>
      </c>
      <c r="BE71" s="17"/>
    </row>
    <row r="72" spans="1:57" ht="15" x14ac:dyDescent="0.25">
      <c r="A72" s="704" t="s">
        <v>358</v>
      </c>
      <c r="B72" s="704" t="s">
        <v>413</v>
      </c>
      <c r="C72" s="787">
        <v>0</v>
      </c>
      <c r="D72" s="788">
        <v>716.57155121188146</v>
      </c>
      <c r="E72" s="788">
        <v>543.78903425715714</v>
      </c>
      <c r="F72" s="788">
        <v>7.1733963049725427</v>
      </c>
      <c r="G72" s="788">
        <v>105.52172668047569</v>
      </c>
      <c r="H72" s="788">
        <v>89.592786695257985</v>
      </c>
      <c r="I72" s="788">
        <v>13.587775431298949</v>
      </c>
      <c r="J72" s="789">
        <v>74.36096477314419</v>
      </c>
      <c r="K72" s="790">
        <v>2455.9744330636458</v>
      </c>
      <c r="M72" s="787">
        <v>0</v>
      </c>
      <c r="N72" s="788">
        <v>937.54667640178445</v>
      </c>
      <c r="O72" s="788">
        <v>730.26683884822592</v>
      </c>
      <c r="P72" s="788">
        <v>8.8141957998855336</v>
      </c>
      <c r="Q72" s="788">
        <v>141.5076105307117</v>
      </c>
      <c r="R72" s="788">
        <v>121.17645245537872</v>
      </c>
      <c r="S72" s="788">
        <v>26.021004636313538</v>
      </c>
      <c r="T72" s="789">
        <v>103.79287703892363</v>
      </c>
      <c r="U72" s="790">
        <v>2846.5344684542729</v>
      </c>
      <c r="V72" s="787">
        <f t="shared" si="8"/>
        <v>390.56003539062704</v>
      </c>
      <c r="W72" s="792">
        <f t="shared" si="9"/>
        <v>0.15902447115600971</v>
      </c>
      <c r="AB72" s="704" t="s">
        <v>358</v>
      </c>
      <c r="AC72" s="704" t="s">
        <v>413</v>
      </c>
      <c r="AD72" s="787">
        <v>0</v>
      </c>
      <c r="AE72" s="788">
        <v>716.57155121188146</v>
      </c>
      <c r="AF72" s="788">
        <v>543.78903425715714</v>
      </c>
      <c r="AG72" s="788">
        <v>7.1733963049725427</v>
      </c>
      <c r="AH72" s="788">
        <v>105.52172668047569</v>
      </c>
      <c r="AI72" s="788">
        <v>89.592786695257985</v>
      </c>
      <c r="AJ72" s="788">
        <v>13.587775431298949</v>
      </c>
      <c r="AK72" s="789">
        <v>74.36096477314419</v>
      </c>
      <c r="AL72" s="790">
        <v>1550.5972353541879</v>
      </c>
      <c r="AN72" s="787">
        <v>0</v>
      </c>
      <c r="AO72" s="788">
        <v>937.54667640178445</v>
      </c>
      <c r="AP72" s="788">
        <v>730.26683884822592</v>
      </c>
      <c r="AQ72" s="788">
        <v>8.8141957998855336</v>
      </c>
      <c r="AR72" s="788">
        <v>141.5076105307117</v>
      </c>
      <c r="AS72" s="788">
        <v>121.17645245537872</v>
      </c>
      <c r="AT72" s="788">
        <v>26.021004636313538</v>
      </c>
      <c r="AU72" s="789">
        <v>103.79287703892363</v>
      </c>
      <c r="AV72" s="790">
        <v>2069.1256557112233</v>
      </c>
      <c r="AW72" s="787">
        <f t="shared" si="10"/>
        <v>518.52842035703543</v>
      </c>
      <c r="AX72" s="792">
        <f t="shared" si="11"/>
        <v>0.33440561387212392</v>
      </c>
      <c r="BB72" s="710">
        <f t="shared" si="12"/>
        <v>-905.37719770945796</v>
      </c>
      <c r="BC72" s="710">
        <f t="shared" si="13"/>
        <v>-777.40881274304957</v>
      </c>
      <c r="BE72" s="17"/>
    </row>
    <row r="73" spans="1:57" ht="15" x14ac:dyDescent="0.25">
      <c r="A73" s="704" t="s">
        <v>356</v>
      </c>
      <c r="B73" s="704" t="s">
        <v>414</v>
      </c>
      <c r="C73" s="787">
        <v>0</v>
      </c>
      <c r="D73" s="788">
        <v>445.33493063183528</v>
      </c>
      <c r="E73" s="788">
        <v>654.91527925735056</v>
      </c>
      <c r="F73" s="788">
        <v>0</v>
      </c>
      <c r="G73" s="788">
        <v>125.24720988898108</v>
      </c>
      <c r="H73" s="788">
        <v>156.00440414824783</v>
      </c>
      <c r="I73" s="788">
        <v>37.150602517740047</v>
      </c>
      <c r="J73" s="789">
        <v>122.64280100248587</v>
      </c>
      <c r="K73" s="790">
        <v>2982.727774567873</v>
      </c>
      <c r="M73" s="787">
        <v>0</v>
      </c>
      <c r="N73" s="788">
        <v>494.26040329529292</v>
      </c>
      <c r="O73" s="788">
        <v>903.69089430941267</v>
      </c>
      <c r="P73" s="788">
        <v>0</v>
      </c>
      <c r="Q73" s="788">
        <v>133.26192515185295</v>
      </c>
      <c r="R73" s="788">
        <v>191.67740982545737</v>
      </c>
      <c r="S73" s="788">
        <v>48.277259088660955</v>
      </c>
      <c r="T73" s="789">
        <v>330.64904646023285</v>
      </c>
      <c r="U73" s="790">
        <v>3176.5126138531368</v>
      </c>
      <c r="V73" s="787">
        <f t="shared" si="8"/>
        <v>193.78483928526384</v>
      </c>
      <c r="W73" s="792">
        <f t="shared" si="9"/>
        <v>6.4968999496891305E-2</v>
      </c>
      <c r="AB73" s="704" t="s">
        <v>356</v>
      </c>
      <c r="AC73" s="704" t="s">
        <v>414</v>
      </c>
      <c r="AD73" s="787">
        <v>0</v>
      </c>
      <c r="AE73" s="788">
        <v>445.33493063183528</v>
      </c>
      <c r="AF73" s="788">
        <v>654.91527925735056</v>
      </c>
      <c r="AG73" s="788">
        <v>0</v>
      </c>
      <c r="AH73" s="788">
        <v>125.24720988898108</v>
      </c>
      <c r="AI73" s="788">
        <v>156.00440414824783</v>
      </c>
      <c r="AJ73" s="788">
        <v>37.150602517740047</v>
      </c>
      <c r="AK73" s="789">
        <v>122.64280100248587</v>
      </c>
      <c r="AL73" s="790">
        <v>1541.2952274466409</v>
      </c>
      <c r="AN73" s="787">
        <v>0</v>
      </c>
      <c r="AO73" s="788">
        <v>494.26040329529292</v>
      </c>
      <c r="AP73" s="788">
        <v>903.69089430941267</v>
      </c>
      <c r="AQ73" s="788">
        <v>0</v>
      </c>
      <c r="AR73" s="788">
        <v>133.26192515185295</v>
      </c>
      <c r="AS73" s="788">
        <v>191.67740982545737</v>
      </c>
      <c r="AT73" s="788">
        <v>48.277259088660955</v>
      </c>
      <c r="AU73" s="789">
        <v>330.64904646023285</v>
      </c>
      <c r="AV73" s="790">
        <v>2101.8169381309094</v>
      </c>
      <c r="AW73" s="787">
        <f t="shared" si="10"/>
        <v>560.52171068426856</v>
      </c>
      <c r="AX73" s="792">
        <f t="shared" si="11"/>
        <v>0.36366927030121726</v>
      </c>
      <c r="BB73" s="710">
        <f t="shared" si="12"/>
        <v>-1441.4325471212321</v>
      </c>
      <c r="BC73" s="710">
        <f t="shared" si="13"/>
        <v>-1074.6956757222274</v>
      </c>
      <c r="BE73" s="17"/>
    </row>
    <row r="74" spans="1:57" ht="15" x14ac:dyDescent="0.25">
      <c r="A74" s="704" t="s">
        <v>358</v>
      </c>
      <c r="B74" s="704" t="s">
        <v>414</v>
      </c>
      <c r="C74" s="787">
        <v>0</v>
      </c>
      <c r="D74" s="788">
        <v>622.59924166942415</v>
      </c>
      <c r="E74" s="788">
        <v>819.22591046680566</v>
      </c>
      <c r="F74" s="788">
        <v>0</v>
      </c>
      <c r="G74" s="788">
        <v>194.14002015333355</v>
      </c>
      <c r="H74" s="788">
        <v>151.64862008621762</v>
      </c>
      <c r="I74" s="788">
        <v>34.604013978664177</v>
      </c>
      <c r="J74" s="789">
        <v>137.43141145614209</v>
      </c>
      <c r="K74" s="790">
        <v>2859.1973189601376</v>
      </c>
      <c r="M74" s="787">
        <v>0</v>
      </c>
      <c r="N74" s="788">
        <v>657.95992279642405</v>
      </c>
      <c r="O74" s="788">
        <v>830.51775794606999</v>
      </c>
      <c r="P74" s="788">
        <v>0</v>
      </c>
      <c r="Q74" s="788">
        <v>201.34566583195675</v>
      </c>
      <c r="R74" s="788">
        <v>161.07930864817774</v>
      </c>
      <c r="S74" s="788">
        <v>43.310852773599215</v>
      </c>
      <c r="T74" s="789">
        <v>308.20336170712437</v>
      </c>
      <c r="U74" s="790">
        <v>2844.5310104840928</v>
      </c>
      <c r="V74" s="787">
        <f t="shared" si="8"/>
        <v>-14.666308476044833</v>
      </c>
      <c r="W74" s="792">
        <f t="shared" si="9"/>
        <v>-5.1295195259132469E-3</v>
      </c>
      <c r="AB74" s="704" t="s">
        <v>358</v>
      </c>
      <c r="AC74" s="704" t="s">
        <v>414</v>
      </c>
      <c r="AD74" s="787">
        <v>0</v>
      </c>
      <c r="AE74" s="788">
        <v>622.59924166942415</v>
      </c>
      <c r="AF74" s="788">
        <v>819.22591046680566</v>
      </c>
      <c r="AG74" s="788">
        <v>0</v>
      </c>
      <c r="AH74" s="788">
        <v>194.14002015333355</v>
      </c>
      <c r="AI74" s="788">
        <v>151.64862008621762</v>
      </c>
      <c r="AJ74" s="788">
        <v>34.604013978664177</v>
      </c>
      <c r="AK74" s="789">
        <v>137.43141145614209</v>
      </c>
      <c r="AL74" s="790">
        <v>1959.6492178105873</v>
      </c>
      <c r="AN74" s="787">
        <v>0</v>
      </c>
      <c r="AO74" s="788">
        <v>657.95992279642405</v>
      </c>
      <c r="AP74" s="788">
        <v>830.51775794606999</v>
      </c>
      <c r="AQ74" s="788">
        <v>0</v>
      </c>
      <c r="AR74" s="788">
        <v>201.34566583195675</v>
      </c>
      <c r="AS74" s="788">
        <v>161.07930864817774</v>
      </c>
      <c r="AT74" s="788">
        <v>43.310852773599215</v>
      </c>
      <c r="AU74" s="789">
        <v>308.20336170712437</v>
      </c>
      <c r="AV74" s="790">
        <v>2202.4168697033524</v>
      </c>
      <c r="AW74" s="787">
        <f t="shared" si="10"/>
        <v>242.76765189276512</v>
      </c>
      <c r="AX74" s="792">
        <f t="shared" si="11"/>
        <v>0.12388321832618422</v>
      </c>
      <c r="BB74" s="710">
        <f t="shared" si="12"/>
        <v>-899.54810114955035</v>
      </c>
      <c r="BC74" s="710">
        <f t="shared" si="13"/>
        <v>-642.1141407807404</v>
      </c>
      <c r="BE74" s="17"/>
    </row>
    <row r="75" spans="1:57" ht="15" x14ac:dyDescent="0.25">
      <c r="A75" s="815" t="s">
        <v>356</v>
      </c>
      <c r="B75" s="815" t="s">
        <v>357</v>
      </c>
      <c r="C75" s="793">
        <v>0</v>
      </c>
      <c r="D75" s="794">
        <v>776.17657787141832</v>
      </c>
      <c r="E75" s="794">
        <v>1298.8179398428651</v>
      </c>
      <c r="F75" s="794">
        <v>5.8321344074533297</v>
      </c>
      <c r="G75" s="794">
        <v>221.06301284272638</v>
      </c>
      <c r="H75" s="794">
        <v>258.27690965324985</v>
      </c>
      <c r="I75" s="794">
        <v>77.318474298681181</v>
      </c>
      <c r="J75" s="795">
        <v>211.57160363659779</v>
      </c>
      <c r="K75" s="796">
        <v>3917.6495851634945</v>
      </c>
      <c r="M75" s="793">
        <v>0</v>
      </c>
      <c r="N75" s="794">
        <v>707.40701823679171</v>
      </c>
      <c r="O75" s="794">
        <v>1427.7112820695784</v>
      </c>
      <c r="P75" s="794">
        <v>8.8157720130831265</v>
      </c>
      <c r="Q75" s="794">
        <v>194.85162696659424</v>
      </c>
      <c r="R75" s="794">
        <v>264.40651176027535</v>
      </c>
      <c r="S75" s="794">
        <v>85.06381503845239</v>
      </c>
      <c r="T75" s="795">
        <v>501.85150544680528</v>
      </c>
      <c r="U75" s="796">
        <v>3650.1073958292113</v>
      </c>
      <c r="V75" s="787">
        <f t="shared" si="8"/>
        <v>-267.54218933428319</v>
      </c>
      <c r="W75" s="792">
        <f t="shared" si="9"/>
        <v>-6.8291505791505835E-2</v>
      </c>
      <c r="AB75" s="815" t="s">
        <v>356</v>
      </c>
      <c r="AC75" s="815" t="s">
        <v>357</v>
      </c>
      <c r="AD75" s="793">
        <v>0</v>
      </c>
      <c r="AE75" s="794">
        <v>776.17657787141832</v>
      </c>
      <c r="AF75" s="794">
        <v>1298.8179398428651</v>
      </c>
      <c r="AG75" s="794">
        <v>5.8321344074533297</v>
      </c>
      <c r="AH75" s="794">
        <v>221.06301284272638</v>
      </c>
      <c r="AI75" s="794">
        <v>258.27690965324985</v>
      </c>
      <c r="AJ75" s="794">
        <v>77.318474298681181</v>
      </c>
      <c r="AK75" s="795">
        <v>211.57160363659779</v>
      </c>
      <c r="AL75" s="796">
        <v>2849.0566525529925</v>
      </c>
      <c r="AN75" s="793">
        <v>0</v>
      </c>
      <c r="AO75" s="794">
        <v>707.40701823679171</v>
      </c>
      <c r="AP75" s="794">
        <v>1427.7112820695784</v>
      </c>
      <c r="AQ75" s="794">
        <v>8.8157720130831265</v>
      </c>
      <c r="AR75" s="794">
        <v>194.85162696659424</v>
      </c>
      <c r="AS75" s="794">
        <v>264.40651176027535</v>
      </c>
      <c r="AT75" s="794">
        <v>85.06381503845239</v>
      </c>
      <c r="AU75" s="795">
        <v>501.85150544680528</v>
      </c>
      <c r="AV75" s="796">
        <v>3190.1075315315807</v>
      </c>
      <c r="AW75" s="787">
        <f t="shared" si="10"/>
        <v>341.05087897858812</v>
      </c>
      <c r="AX75" s="792">
        <f t="shared" si="11"/>
        <v>0.11970659785686538</v>
      </c>
      <c r="BB75" s="796">
        <f t="shared" si="12"/>
        <v>-1068.592932610502</v>
      </c>
      <c r="BC75" s="796">
        <f t="shared" si="13"/>
        <v>-459.99986429763067</v>
      </c>
      <c r="BE75" s="17">
        <f>IF(BC75&gt;0, 1, 0)</f>
        <v>0</v>
      </c>
    </row>
    <row r="76" spans="1:57" ht="15" x14ac:dyDescent="0.25">
      <c r="A76" s="815" t="s">
        <v>358</v>
      </c>
      <c r="B76" s="815" t="s">
        <v>357</v>
      </c>
      <c r="C76" s="793">
        <v>0</v>
      </c>
      <c r="D76" s="794">
        <v>655.53004302995464</v>
      </c>
      <c r="E76" s="794">
        <v>912.27605247943995</v>
      </c>
      <c r="F76" s="794">
        <v>8.0542076534527429E-4</v>
      </c>
      <c r="G76" s="794">
        <v>236.11594608439529</v>
      </c>
      <c r="H76" s="794">
        <v>180.73385222845766</v>
      </c>
      <c r="I76" s="794">
        <v>56.986095391597701</v>
      </c>
      <c r="J76" s="795">
        <v>307.31039078001288</v>
      </c>
      <c r="K76" s="796">
        <v>3055.1377633194379</v>
      </c>
      <c r="M76" s="793">
        <v>0</v>
      </c>
      <c r="N76" s="794">
        <v>765.11668522318257</v>
      </c>
      <c r="O76" s="794">
        <v>1010.0976092437498</v>
      </c>
      <c r="P76" s="794">
        <v>4.8503020101868656E-5</v>
      </c>
      <c r="Q76" s="794">
        <v>247.04372769196343</v>
      </c>
      <c r="R76" s="794">
        <v>193.5513931922971</v>
      </c>
      <c r="S76" s="794">
        <v>76.619900976406967</v>
      </c>
      <c r="T76" s="795">
        <v>461.0035935462555</v>
      </c>
      <c r="U76" s="796">
        <v>3509.3416126672532</v>
      </c>
      <c r="V76" s="787">
        <f t="shared" si="8"/>
        <v>454.20384934781532</v>
      </c>
      <c r="W76" s="792">
        <f t="shared" si="9"/>
        <v>0.14866886030511378</v>
      </c>
      <c r="AB76" s="815" t="s">
        <v>358</v>
      </c>
      <c r="AC76" s="815" t="s">
        <v>357</v>
      </c>
      <c r="AD76" s="793">
        <v>0</v>
      </c>
      <c r="AE76" s="794">
        <v>655.53004302995464</v>
      </c>
      <c r="AF76" s="794">
        <v>912.27605247943995</v>
      </c>
      <c r="AG76" s="794">
        <v>8.0542076534527429E-4</v>
      </c>
      <c r="AH76" s="794">
        <v>236.11594608439529</v>
      </c>
      <c r="AI76" s="794">
        <v>180.73385222845766</v>
      </c>
      <c r="AJ76" s="794">
        <v>56.986095391597701</v>
      </c>
      <c r="AK76" s="795">
        <v>307.31039078001288</v>
      </c>
      <c r="AL76" s="796">
        <v>2348.9531854146235</v>
      </c>
      <c r="AN76" s="793">
        <v>0</v>
      </c>
      <c r="AO76" s="794">
        <v>765.11668522318257</v>
      </c>
      <c r="AP76" s="794">
        <v>1010.0976092437498</v>
      </c>
      <c r="AQ76" s="794">
        <v>4.8503020101868656E-5</v>
      </c>
      <c r="AR76" s="794">
        <v>247.04372769196343</v>
      </c>
      <c r="AS76" s="794">
        <v>193.5513931922971</v>
      </c>
      <c r="AT76" s="794">
        <v>76.619900976406967</v>
      </c>
      <c r="AU76" s="795">
        <v>461.0035935462555</v>
      </c>
      <c r="AV76" s="796">
        <v>2753.4329583768754</v>
      </c>
      <c r="AW76" s="787">
        <f t="shared" si="10"/>
        <v>404.4797729622519</v>
      </c>
      <c r="AX76" s="792">
        <f t="shared" si="11"/>
        <v>0.17219575744369528</v>
      </c>
      <c r="BB76" s="796">
        <f t="shared" si="12"/>
        <v>-706.18457790481443</v>
      </c>
      <c r="BC76" s="796">
        <f t="shared" si="13"/>
        <v>-755.90865429037785</v>
      </c>
      <c r="BE76" s="17">
        <f t="shared" ref="BE76:BE78" si="14">IF(BC76&gt;0, 1, 0)</f>
        <v>0</v>
      </c>
    </row>
    <row r="77" spans="1:57" ht="15" x14ac:dyDescent="0.25">
      <c r="A77" s="815" t="s">
        <v>356</v>
      </c>
      <c r="B77" s="815" t="s">
        <v>359</v>
      </c>
      <c r="C77" s="793">
        <v>0</v>
      </c>
      <c r="D77" s="794">
        <v>608.37545340296742</v>
      </c>
      <c r="E77" s="794">
        <v>1297.9863613082991</v>
      </c>
      <c r="F77" s="794">
        <v>8.174097908524208E-5</v>
      </c>
      <c r="G77" s="794">
        <v>331.97358239889849</v>
      </c>
      <c r="H77" s="794">
        <v>374.78482131700855</v>
      </c>
      <c r="I77" s="794">
        <v>166.91359951539533</v>
      </c>
      <c r="J77" s="795">
        <v>326.51536051034748</v>
      </c>
      <c r="K77" s="796">
        <v>3757.5492601938959</v>
      </c>
      <c r="M77" s="793">
        <v>0</v>
      </c>
      <c r="N77" s="794">
        <v>622.98352679853463</v>
      </c>
      <c r="O77" s="794">
        <v>1362.0096141122353</v>
      </c>
      <c r="P77" s="794">
        <v>4.9484340021359655E-4</v>
      </c>
      <c r="Q77" s="794">
        <v>284.00662268789932</v>
      </c>
      <c r="R77" s="794">
        <v>367.14788203149715</v>
      </c>
      <c r="S77" s="794">
        <v>169.09516834492058</v>
      </c>
      <c r="T77" s="795">
        <v>709.48025654698972</v>
      </c>
      <c r="U77" s="796">
        <v>3488.722991712325</v>
      </c>
      <c r="V77" s="787">
        <f t="shared" si="8"/>
        <v>-268.82626848157088</v>
      </c>
      <c r="W77" s="792">
        <f t="shared" si="9"/>
        <v>-7.1542979177789678E-2</v>
      </c>
      <c r="AB77" s="815" t="s">
        <v>356</v>
      </c>
      <c r="AC77" s="815" t="s">
        <v>359</v>
      </c>
      <c r="AD77" s="793">
        <v>0</v>
      </c>
      <c r="AE77" s="794">
        <v>608.37545340296742</v>
      </c>
      <c r="AF77" s="794">
        <v>1297.9863613082991</v>
      </c>
      <c r="AG77" s="794">
        <v>8.174097908524208E-5</v>
      </c>
      <c r="AH77" s="794">
        <v>331.97358239889849</v>
      </c>
      <c r="AI77" s="794">
        <v>374.78482131700855</v>
      </c>
      <c r="AJ77" s="794">
        <v>166.91359951539533</v>
      </c>
      <c r="AK77" s="795">
        <v>326.51536051034748</v>
      </c>
      <c r="AL77" s="796">
        <v>3106.5492601938954</v>
      </c>
      <c r="AN77" s="793">
        <v>0</v>
      </c>
      <c r="AO77" s="794">
        <v>622.98352679853463</v>
      </c>
      <c r="AP77" s="794">
        <v>1362.0096141122353</v>
      </c>
      <c r="AQ77" s="794">
        <v>4.9484340021359655E-4</v>
      </c>
      <c r="AR77" s="794">
        <v>284.00662268789932</v>
      </c>
      <c r="AS77" s="794">
        <v>367.14788203149715</v>
      </c>
      <c r="AT77" s="794">
        <v>169.09516834492058</v>
      </c>
      <c r="AU77" s="795">
        <v>709.48025654698972</v>
      </c>
      <c r="AV77" s="796">
        <v>3514.723565365477</v>
      </c>
      <c r="AW77" s="787">
        <f t="shared" si="10"/>
        <v>408.17430517158164</v>
      </c>
      <c r="AX77" s="792">
        <f t="shared" si="11"/>
        <v>0.13139154443863718</v>
      </c>
      <c r="BB77" s="796">
        <f t="shared" si="12"/>
        <v>-651.00000000000045</v>
      </c>
      <c r="BC77" s="796">
        <f t="shared" si="13"/>
        <v>26.00057365315206</v>
      </c>
      <c r="BE77" s="17">
        <f t="shared" si="14"/>
        <v>1</v>
      </c>
    </row>
    <row r="78" spans="1:57" ht="15" x14ac:dyDescent="0.25">
      <c r="A78" s="815" t="s">
        <v>358</v>
      </c>
      <c r="B78" s="815" t="s">
        <v>359</v>
      </c>
      <c r="C78" s="793">
        <v>0</v>
      </c>
      <c r="D78" s="794">
        <v>549.33150970713916</v>
      </c>
      <c r="E78" s="794">
        <v>946.18716866522448</v>
      </c>
      <c r="F78" s="794">
        <v>0</v>
      </c>
      <c r="G78" s="794">
        <v>318.03189230247756</v>
      </c>
      <c r="H78" s="794">
        <v>267.90313977864872</v>
      </c>
      <c r="I78" s="794">
        <v>111.42245495789689</v>
      </c>
      <c r="J78" s="795">
        <v>223.5306893108617</v>
      </c>
      <c r="K78" s="796">
        <v>3013.8781168768651</v>
      </c>
      <c r="M78" s="793">
        <v>0</v>
      </c>
      <c r="N78" s="794">
        <v>643.84430865974764</v>
      </c>
      <c r="O78" s="794">
        <v>1107.1825943251165</v>
      </c>
      <c r="P78" s="794">
        <v>0</v>
      </c>
      <c r="Q78" s="794">
        <v>348.26692418996322</v>
      </c>
      <c r="R78" s="794">
        <v>303.05811369077333</v>
      </c>
      <c r="S78" s="794">
        <v>141.78638625164643</v>
      </c>
      <c r="T78" s="795">
        <v>588.8423830885547</v>
      </c>
      <c r="U78" s="796">
        <v>3426.9808414364106</v>
      </c>
      <c r="V78" s="787">
        <f t="shared" si="8"/>
        <v>413.10272455954555</v>
      </c>
      <c r="W78" s="792">
        <f t="shared" si="9"/>
        <v>0.13706683168316833</v>
      </c>
      <c r="AB78" s="815" t="s">
        <v>358</v>
      </c>
      <c r="AC78" s="815" t="s">
        <v>359</v>
      </c>
      <c r="AD78" s="793">
        <v>0</v>
      </c>
      <c r="AE78" s="794">
        <v>549.33150970713916</v>
      </c>
      <c r="AF78" s="794">
        <v>946.18716866522448</v>
      </c>
      <c r="AG78" s="794">
        <v>0</v>
      </c>
      <c r="AH78" s="794">
        <v>318.03189230247756</v>
      </c>
      <c r="AI78" s="794">
        <v>267.90313977864872</v>
      </c>
      <c r="AJ78" s="794">
        <v>111.42245495789689</v>
      </c>
      <c r="AK78" s="795">
        <v>223.5306893108617</v>
      </c>
      <c r="AL78" s="796">
        <v>2366.4068547222487</v>
      </c>
      <c r="AN78" s="793">
        <v>0</v>
      </c>
      <c r="AO78" s="794">
        <v>643.84430865974764</v>
      </c>
      <c r="AP78" s="794">
        <v>1107.1825943251165</v>
      </c>
      <c r="AQ78" s="794">
        <v>0</v>
      </c>
      <c r="AR78" s="794">
        <v>348.26692418996322</v>
      </c>
      <c r="AS78" s="794">
        <v>303.05811369077333</v>
      </c>
      <c r="AT78" s="794">
        <v>141.78638625164643</v>
      </c>
      <c r="AU78" s="795">
        <v>588.8423830885547</v>
      </c>
      <c r="AV78" s="796">
        <v>3132.9807102058012</v>
      </c>
      <c r="AW78" s="787">
        <f t="shared" si="10"/>
        <v>766.57385548355251</v>
      </c>
      <c r="AX78" s="792">
        <f t="shared" si="11"/>
        <v>0.3239400080141871</v>
      </c>
      <c r="BB78" s="796">
        <f t="shared" si="12"/>
        <v>-647.4712621546164</v>
      </c>
      <c r="BC78" s="796">
        <f t="shared" si="13"/>
        <v>-294.00013123060944</v>
      </c>
      <c r="BE78" s="17">
        <f t="shared" si="14"/>
        <v>0</v>
      </c>
    </row>
    <row r="79" spans="1:57" ht="15" x14ac:dyDescent="0.25">
      <c r="A79" s="704" t="s">
        <v>356</v>
      </c>
      <c r="B79" s="704" t="s">
        <v>415</v>
      </c>
      <c r="C79" s="787">
        <v>0</v>
      </c>
      <c r="D79" s="788">
        <v>861.91533274263998</v>
      </c>
      <c r="E79" s="788">
        <v>778.11576667130532</v>
      </c>
      <c r="F79" s="788">
        <v>26.122433974930516</v>
      </c>
      <c r="G79" s="788">
        <v>231.68404879321835</v>
      </c>
      <c r="H79" s="788">
        <v>240.07970034663936</v>
      </c>
      <c r="I79" s="788">
        <v>113.95423033034325</v>
      </c>
      <c r="J79" s="789">
        <v>242.06431260104605</v>
      </c>
      <c r="K79" s="790">
        <v>3379.9206730477526</v>
      </c>
      <c r="M79" s="787">
        <v>0</v>
      </c>
      <c r="N79" s="788">
        <v>859.92625938589993</v>
      </c>
      <c r="O79" s="788">
        <v>1014.4885849523076</v>
      </c>
      <c r="P79" s="788">
        <v>25.856427114545561</v>
      </c>
      <c r="Q79" s="788">
        <v>262.63748061617969</v>
      </c>
      <c r="R79" s="788">
        <v>302.64059006100149</v>
      </c>
      <c r="S79" s="788">
        <v>145.45948998228053</v>
      </c>
      <c r="T79" s="789">
        <v>660.93607099543556</v>
      </c>
      <c r="U79" s="790">
        <v>3687.4692400949484</v>
      </c>
      <c r="V79" s="787">
        <f t="shared" si="8"/>
        <v>307.54856704719577</v>
      </c>
      <c r="W79" s="792">
        <f t="shared" si="9"/>
        <v>9.099283586731996E-2</v>
      </c>
      <c r="AB79" s="704" t="s">
        <v>356</v>
      </c>
      <c r="AC79" s="704" t="s">
        <v>415</v>
      </c>
      <c r="AD79" s="787">
        <v>0</v>
      </c>
      <c r="AE79" s="788">
        <v>861.91533274263998</v>
      </c>
      <c r="AF79" s="788">
        <v>778.11576667130532</v>
      </c>
      <c r="AG79" s="788">
        <v>26.122433974930516</v>
      </c>
      <c r="AH79" s="788">
        <v>231.68404879321835</v>
      </c>
      <c r="AI79" s="788">
        <v>240.07970034663936</v>
      </c>
      <c r="AJ79" s="788">
        <v>113.95423033034325</v>
      </c>
      <c r="AK79" s="789">
        <v>242.06431260104605</v>
      </c>
      <c r="AL79" s="790">
        <v>2493.9358254601229</v>
      </c>
      <c r="AN79" s="787">
        <v>0</v>
      </c>
      <c r="AO79" s="788">
        <v>859.92625938589993</v>
      </c>
      <c r="AP79" s="788">
        <v>1014.4885849523076</v>
      </c>
      <c r="AQ79" s="788">
        <v>25.856427114545561</v>
      </c>
      <c r="AR79" s="788">
        <v>262.63748061617969</v>
      </c>
      <c r="AS79" s="788">
        <v>302.64059006100149</v>
      </c>
      <c r="AT79" s="788">
        <v>145.45948998228053</v>
      </c>
      <c r="AU79" s="789">
        <v>660.93607099543556</v>
      </c>
      <c r="AV79" s="790">
        <v>3271.9449031076501</v>
      </c>
      <c r="AW79" s="787">
        <f t="shared" si="10"/>
        <v>778.00907764752719</v>
      </c>
      <c r="AX79" s="792">
        <f t="shared" si="11"/>
        <v>0.31196034384885868</v>
      </c>
      <c r="BB79" s="710">
        <f t="shared" si="12"/>
        <v>-885.9848475876297</v>
      </c>
      <c r="BC79" s="710">
        <f t="shared" si="13"/>
        <v>-415.52433698729828</v>
      </c>
      <c r="BE79" s="17"/>
    </row>
    <row r="80" spans="1:57" ht="15" x14ac:dyDescent="0.25">
      <c r="A80" s="704" t="s">
        <v>358</v>
      </c>
      <c r="B80" s="704" t="s">
        <v>415</v>
      </c>
      <c r="C80" s="787">
        <v>0</v>
      </c>
      <c r="D80" s="788">
        <v>956.46467277215106</v>
      </c>
      <c r="E80" s="788">
        <v>797.83978156393812</v>
      </c>
      <c r="F80" s="788">
        <v>25.704485875262716</v>
      </c>
      <c r="G80" s="788">
        <v>296.79761763288218</v>
      </c>
      <c r="H80" s="788">
        <v>246.06506426737971</v>
      </c>
      <c r="I80" s="788">
        <v>109.0356763665437</v>
      </c>
      <c r="J80" s="789">
        <v>235.80708419699258</v>
      </c>
      <c r="K80" s="790">
        <v>3732.3120247599863</v>
      </c>
      <c r="M80" s="787">
        <v>0</v>
      </c>
      <c r="N80" s="788">
        <v>1047.4197233562413</v>
      </c>
      <c r="O80" s="788">
        <v>923.83697962766303</v>
      </c>
      <c r="P80" s="788">
        <v>24.010842107141546</v>
      </c>
      <c r="Q80" s="788">
        <v>329.80847878121847</v>
      </c>
      <c r="R80" s="788">
        <v>291.69395664075012</v>
      </c>
      <c r="S80" s="788">
        <v>133.48824639135378</v>
      </c>
      <c r="T80" s="789">
        <v>604.81100965539656</v>
      </c>
      <c r="U80" s="790">
        <v>4031.9686572249898</v>
      </c>
      <c r="V80" s="787">
        <f t="shared" si="8"/>
        <v>299.65663246500344</v>
      </c>
      <c r="W80" s="792">
        <f t="shared" si="9"/>
        <v>8.0287133143503303E-2</v>
      </c>
      <c r="AB80" s="704" t="s">
        <v>358</v>
      </c>
      <c r="AC80" s="704" t="s">
        <v>415</v>
      </c>
      <c r="AD80" s="787">
        <v>0</v>
      </c>
      <c r="AE80" s="788">
        <v>956.46467277215106</v>
      </c>
      <c r="AF80" s="788">
        <v>797.83978156393812</v>
      </c>
      <c r="AG80" s="788">
        <v>25.704485875262716</v>
      </c>
      <c r="AH80" s="788">
        <v>296.79761763288218</v>
      </c>
      <c r="AI80" s="788">
        <v>246.06506426737971</v>
      </c>
      <c r="AJ80" s="788">
        <v>109.0356763665437</v>
      </c>
      <c r="AK80" s="789">
        <v>235.80708419699258</v>
      </c>
      <c r="AL80" s="790">
        <v>2667.7143826751499</v>
      </c>
      <c r="AN80" s="787">
        <v>0</v>
      </c>
      <c r="AO80" s="788">
        <v>1047.4197233562413</v>
      </c>
      <c r="AP80" s="788">
        <v>923.83697962766303</v>
      </c>
      <c r="AQ80" s="788">
        <v>24.010842107141546</v>
      </c>
      <c r="AR80" s="788">
        <v>329.80847878121847</v>
      </c>
      <c r="AS80" s="788">
        <v>291.69395664075012</v>
      </c>
      <c r="AT80" s="788">
        <v>133.48824639135378</v>
      </c>
      <c r="AU80" s="789">
        <v>604.81100965539656</v>
      </c>
      <c r="AV80" s="790">
        <v>3355.0692365597642</v>
      </c>
      <c r="AW80" s="787">
        <f t="shared" si="10"/>
        <v>687.35485388461439</v>
      </c>
      <c r="AX80" s="792">
        <f t="shared" si="11"/>
        <v>0.25765683850883009</v>
      </c>
      <c r="BB80" s="710">
        <f t="shared" si="12"/>
        <v>-1064.5976420848365</v>
      </c>
      <c r="BC80" s="710">
        <f t="shared" si="13"/>
        <v>-676.89942066522553</v>
      </c>
      <c r="BE80" s="17"/>
    </row>
    <row r="81" spans="1:57" ht="15" x14ac:dyDescent="0.25">
      <c r="A81" s="704" t="s">
        <v>356</v>
      </c>
      <c r="B81" s="704" t="s">
        <v>416</v>
      </c>
      <c r="C81" s="787">
        <v>0</v>
      </c>
      <c r="D81" s="788">
        <v>900.00972873456874</v>
      </c>
      <c r="E81" s="788">
        <v>719.78961615444041</v>
      </c>
      <c r="F81" s="788">
        <v>26.42722651977865</v>
      </c>
      <c r="G81" s="788">
        <v>225.73080599140883</v>
      </c>
      <c r="H81" s="788">
        <v>212.19753447048899</v>
      </c>
      <c r="I81" s="788">
        <v>112.83938234882119</v>
      </c>
      <c r="J81" s="789">
        <v>263.52483099930771</v>
      </c>
      <c r="K81" s="790">
        <v>3245.0669766589481</v>
      </c>
      <c r="M81" s="787">
        <v>0</v>
      </c>
      <c r="N81" s="788">
        <v>979.1444724707352</v>
      </c>
      <c r="O81" s="788">
        <v>879.81738704666327</v>
      </c>
      <c r="P81" s="788">
        <v>24.563483990923235</v>
      </c>
      <c r="Q81" s="788">
        <v>250.40426243247373</v>
      </c>
      <c r="R81" s="788">
        <v>258.37295788704012</v>
      </c>
      <c r="S81" s="788">
        <v>143.55965600250752</v>
      </c>
      <c r="T81" s="789">
        <v>706.38041230385977</v>
      </c>
      <c r="U81" s="790">
        <v>3523.8787172879156</v>
      </c>
      <c r="V81" s="787">
        <f t="shared" si="8"/>
        <v>278.81174062896753</v>
      </c>
      <c r="W81" s="792">
        <f t="shared" si="9"/>
        <v>8.5918639779825487E-2</v>
      </c>
      <c r="AB81" s="704" t="s">
        <v>356</v>
      </c>
      <c r="AC81" s="704" t="s">
        <v>416</v>
      </c>
      <c r="AD81" s="787">
        <v>0</v>
      </c>
      <c r="AE81" s="788">
        <v>900.00972873456874</v>
      </c>
      <c r="AF81" s="788">
        <v>719.78961615444041</v>
      </c>
      <c r="AG81" s="788">
        <v>26.42722651977865</v>
      </c>
      <c r="AH81" s="788">
        <v>225.73080599140883</v>
      </c>
      <c r="AI81" s="788">
        <v>212.19753447048899</v>
      </c>
      <c r="AJ81" s="788">
        <v>112.83938234882119</v>
      </c>
      <c r="AK81" s="789">
        <v>263.52483099930771</v>
      </c>
      <c r="AL81" s="790">
        <v>2460.5191252188147</v>
      </c>
      <c r="AN81" s="787">
        <v>0</v>
      </c>
      <c r="AO81" s="788">
        <v>979.1444724707352</v>
      </c>
      <c r="AP81" s="788">
        <v>879.81738704666327</v>
      </c>
      <c r="AQ81" s="788">
        <v>24.563483990923235</v>
      </c>
      <c r="AR81" s="788">
        <v>250.40426243247373</v>
      </c>
      <c r="AS81" s="788">
        <v>258.37295788704012</v>
      </c>
      <c r="AT81" s="788">
        <v>143.55965600250752</v>
      </c>
      <c r="AU81" s="789">
        <v>706.38041230385977</v>
      </c>
      <c r="AV81" s="790">
        <v>3242.2426321342027</v>
      </c>
      <c r="AW81" s="787">
        <f t="shared" si="10"/>
        <v>781.72350691538804</v>
      </c>
      <c r="AX81" s="792">
        <f t="shared" si="11"/>
        <v>0.31770673875411115</v>
      </c>
      <c r="BB81" s="710">
        <f t="shared" si="12"/>
        <v>-784.5478514401334</v>
      </c>
      <c r="BC81" s="710">
        <f t="shared" si="13"/>
        <v>-281.63608515371288</v>
      </c>
      <c r="BE81" s="17"/>
    </row>
    <row r="82" spans="1:57" ht="15" x14ac:dyDescent="0.25">
      <c r="A82" s="704" t="s">
        <v>358</v>
      </c>
      <c r="B82" s="704" t="s">
        <v>416</v>
      </c>
      <c r="C82" s="787">
        <v>0</v>
      </c>
      <c r="D82" s="788">
        <v>992.62082290981925</v>
      </c>
      <c r="E82" s="788">
        <v>754.45663055307148</v>
      </c>
      <c r="F82" s="788">
        <v>29.910809714447264</v>
      </c>
      <c r="G82" s="788">
        <v>269.30441527100351</v>
      </c>
      <c r="H82" s="788">
        <v>230.32307411716161</v>
      </c>
      <c r="I82" s="788">
        <v>117.91237613477145</v>
      </c>
      <c r="J82" s="789">
        <v>283.72954863163841</v>
      </c>
      <c r="K82" s="790">
        <v>3530.8109991061069</v>
      </c>
      <c r="M82" s="787">
        <v>0</v>
      </c>
      <c r="N82" s="788">
        <v>1036.5574168725839</v>
      </c>
      <c r="O82" s="788">
        <v>863.75877258996104</v>
      </c>
      <c r="P82" s="788">
        <v>28.190114012886568</v>
      </c>
      <c r="Q82" s="788">
        <v>295.69485867284709</v>
      </c>
      <c r="R82" s="788">
        <v>273.70306714381297</v>
      </c>
      <c r="S82" s="788">
        <v>146.08846100751106</v>
      </c>
      <c r="T82" s="789">
        <v>713.32756210510183</v>
      </c>
      <c r="U82" s="790">
        <v>3899.2563426637216</v>
      </c>
      <c r="V82" s="787">
        <f t="shared" si="8"/>
        <v>368.44534355761471</v>
      </c>
      <c r="W82" s="792">
        <f t="shared" si="9"/>
        <v>0.10435147722460754</v>
      </c>
      <c r="AB82" s="704" t="s">
        <v>358</v>
      </c>
      <c r="AC82" s="704" t="s">
        <v>416</v>
      </c>
      <c r="AD82" s="787">
        <v>0</v>
      </c>
      <c r="AE82" s="788">
        <v>992.62082290981925</v>
      </c>
      <c r="AF82" s="788">
        <v>754.45663055307148</v>
      </c>
      <c r="AG82" s="788">
        <v>29.910809714447264</v>
      </c>
      <c r="AH82" s="788">
        <v>269.30441527100351</v>
      </c>
      <c r="AI82" s="788">
        <v>230.32307411716161</v>
      </c>
      <c r="AJ82" s="788">
        <v>117.91237613477145</v>
      </c>
      <c r="AK82" s="789">
        <v>283.72954863163841</v>
      </c>
      <c r="AL82" s="790">
        <v>2678.2576773319129</v>
      </c>
      <c r="AN82" s="787">
        <v>0</v>
      </c>
      <c r="AO82" s="788">
        <v>1036.5574168725839</v>
      </c>
      <c r="AP82" s="788">
        <v>863.75877258996104</v>
      </c>
      <c r="AQ82" s="788">
        <v>28.190114012886568</v>
      </c>
      <c r="AR82" s="788">
        <v>295.69485867284709</v>
      </c>
      <c r="AS82" s="788">
        <v>273.70306714381297</v>
      </c>
      <c r="AT82" s="788">
        <v>146.08846100751106</v>
      </c>
      <c r="AU82" s="789">
        <v>713.32756210510183</v>
      </c>
      <c r="AV82" s="790">
        <v>3357.3202524047047</v>
      </c>
      <c r="AW82" s="787">
        <f t="shared" si="10"/>
        <v>679.06257507279179</v>
      </c>
      <c r="AX82" s="792">
        <f t="shared" si="11"/>
        <v>0.25354639354540209</v>
      </c>
      <c r="BB82" s="710">
        <f t="shared" si="12"/>
        <v>-852.55332177419405</v>
      </c>
      <c r="BC82" s="710">
        <f t="shared" si="13"/>
        <v>-541.93609025901696</v>
      </c>
      <c r="BE82" s="17"/>
    </row>
    <row r="83" spans="1:57" ht="15" x14ac:dyDescent="0.25">
      <c r="A83" s="704" t="s">
        <v>356</v>
      </c>
      <c r="B83" s="704" t="s">
        <v>417</v>
      </c>
      <c r="C83" s="787">
        <v>0</v>
      </c>
      <c r="D83" s="788">
        <v>919.58649311692659</v>
      </c>
      <c r="E83" s="788">
        <v>701.94732357854866</v>
      </c>
      <c r="F83" s="788">
        <v>28.064249432748479</v>
      </c>
      <c r="G83" s="788">
        <v>240.71431844437754</v>
      </c>
      <c r="H83" s="788">
        <v>219.47726107927681</v>
      </c>
      <c r="I83" s="788">
        <v>110.26873382795038</v>
      </c>
      <c r="J83" s="789">
        <v>252.27827571095335</v>
      </c>
      <c r="K83" s="790">
        <v>3257.0330136281764</v>
      </c>
      <c r="M83" s="787">
        <v>0</v>
      </c>
      <c r="N83" s="788">
        <v>1012.2155210873773</v>
      </c>
      <c r="O83" s="788">
        <v>860.89968761083821</v>
      </c>
      <c r="P83" s="788">
        <v>27.198280216308351</v>
      </c>
      <c r="Q83" s="788">
        <v>273.96719687249424</v>
      </c>
      <c r="R83" s="788">
        <v>273.72431675400253</v>
      </c>
      <c r="S83" s="788">
        <v>140.19540372078256</v>
      </c>
      <c r="T83" s="789">
        <v>639.35876651620435</v>
      </c>
      <c r="U83" s="790">
        <v>3548.6607628847128</v>
      </c>
      <c r="V83" s="787">
        <f t="shared" si="8"/>
        <v>291.62774925653639</v>
      </c>
      <c r="W83" s="792">
        <f t="shared" si="9"/>
        <v>8.9537854862477201E-2</v>
      </c>
      <c r="AB83" s="704" t="s">
        <v>356</v>
      </c>
      <c r="AC83" s="704" t="s">
        <v>417</v>
      </c>
      <c r="AD83" s="787">
        <v>0</v>
      </c>
      <c r="AE83" s="788">
        <v>919.58649311692659</v>
      </c>
      <c r="AF83" s="788">
        <v>701.94732357854866</v>
      </c>
      <c r="AG83" s="788">
        <v>28.064249432748479</v>
      </c>
      <c r="AH83" s="788">
        <v>240.71431844437754</v>
      </c>
      <c r="AI83" s="788">
        <v>219.47726107927681</v>
      </c>
      <c r="AJ83" s="788">
        <v>110.26873382795038</v>
      </c>
      <c r="AK83" s="789">
        <v>252.27827571095335</v>
      </c>
      <c r="AL83" s="790">
        <v>2472.336655190782</v>
      </c>
      <c r="AN83" s="787">
        <v>0</v>
      </c>
      <c r="AO83" s="788">
        <v>1012.2155210873773</v>
      </c>
      <c r="AP83" s="788">
        <v>860.89968761083821</v>
      </c>
      <c r="AQ83" s="788">
        <v>27.198280216308351</v>
      </c>
      <c r="AR83" s="788">
        <v>273.96719687249424</v>
      </c>
      <c r="AS83" s="788">
        <v>273.72431675400253</v>
      </c>
      <c r="AT83" s="788">
        <v>140.19540372078256</v>
      </c>
      <c r="AU83" s="789">
        <v>639.35876651620435</v>
      </c>
      <c r="AV83" s="790">
        <v>3227.5591727780079</v>
      </c>
      <c r="AW83" s="787">
        <f t="shared" si="10"/>
        <v>755.22251758722587</v>
      </c>
      <c r="AX83" s="792">
        <f t="shared" si="11"/>
        <v>0.30546912614089278</v>
      </c>
      <c r="BB83" s="710">
        <f t="shared" si="12"/>
        <v>-784.69635843739434</v>
      </c>
      <c r="BC83" s="710">
        <f t="shared" si="13"/>
        <v>-321.10159010670486</v>
      </c>
      <c r="BE83" s="17"/>
    </row>
    <row r="84" spans="1:57" ht="15" x14ac:dyDescent="0.25">
      <c r="A84" s="704" t="s">
        <v>358</v>
      </c>
      <c r="B84" s="704" t="s">
        <v>417</v>
      </c>
      <c r="C84" s="787">
        <v>0</v>
      </c>
      <c r="D84" s="788">
        <v>931.13836428624415</v>
      </c>
      <c r="E84" s="788">
        <v>722.78255537582322</v>
      </c>
      <c r="F84" s="788">
        <v>31.035352207174089</v>
      </c>
      <c r="G84" s="788">
        <v>269.31870080461437</v>
      </c>
      <c r="H84" s="788">
        <v>235.5799968819864</v>
      </c>
      <c r="I84" s="788">
        <v>115.16160686229847</v>
      </c>
      <c r="J84" s="789">
        <v>270.35169033312263</v>
      </c>
      <c r="K84" s="790">
        <v>3673.7889406652175</v>
      </c>
      <c r="M84" s="787">
        <v>0</v>
      </c>
      <c r="N84" s="788">
        <v>1037.8861710570295</v>
      </c>
      <c r="O84" s="788">
        <v>855.94848410141003</v>
      </c>
      <c r="P84" s="788">
        <v>31.010325505898784</v>
      </c>
      <c r="Q84" s="788">
        <v>306.12230540318149</v>
      </c>
      <c r="R84" s="788">
        <v>289.2539404019775</v>
      </c>
      <c r="S84" s="788">
        <v>144.12049829195297</v>
      </c>
      <c r="T84" s="789">
        <v>665.79821926336604</v>
      </c>
      <c r="U84" s="790">
        <v>4085.303209100849</v>
      </c>
      <c r="V84" s="787">
        <f t="shared" si="8"/>
        <v>411.51426843563149</v>
      </c>
      <c r="W84" s="792">
        <f t="shared" si="9"/>
        <v>0.11201358463480977</v>
      </c>
      <c r="AB84" s="704" t="s">
        <v>358</v>
      </c>
      <c r="AC84" s="704" t="s">
        <v>417</v>
      </c>
      <c r="AD84" s="787">
        <v>0</v>
      </c>
      <c r="AE84" s="788">
        <v>931.13836428624415</v>
      </c>
      <c r="AF84" s="788">
        <v>722.78255537582322</v>
      </c>
      <c r="AG84" s="788">
        <v>31.035352207174089</v>
      </c>
      <c r="AH84" s="788">
        <v>269.31870080461437</v>
      </c>
      <c r="AI84" s="788">
        <v>235.5799968819864</v>
      </c>
      <c r="AJ84" s="788">
        <v>115.16160686229847</v>
      </c>
      <c r="AK84" s="789">
        <v>270.35169033312263</v>
      </c>
      <c r="AL84" s="790">
        <v>2575.368266751263</v>
      </c>
      <c r="AN84" s="787">
        <v>0</v>
      </c>
      <c r="AO84" s="788">
        <v>1037.8861710570295</v>
      </c>
      <c r="AP84" s="788">
        <v>855.94848410141003</v>
      </c>
      <c r="AQ84" s="788">
        <v>31.010325505898784</v>
      </c>
      <c r="AR84" s="788">
        <v>306.12230540318149</v>
      </c>
      <c r="AS84" s="788">
        <v>289.2539404019775</v>
      </c>
      <c r="AT84" s="788">
        <v>144.12049829195297</v>
      </c>
      <c r="AU84" s="789">
        <v>665.79821926336604</v>
      </c>
      <c r="AV84" s="790">
        <v>3330.1399440248169</v>
      </c>
      <c r="AW84" s="787">
        <f t="shared" si="10"/>
        <v>754.77167727355391</v>
      </c>
      <c r="AX84" s="792">
        <f t="shared" si="11"/>
        <v>0.29307330024131734</v>
      </c>
      <c r="BB84" s="710">
        <f t="shared" si="12"/>
        <v>-1098.4206739139545</v>
      </c>
      <c r="BC84" s="710">
        <f t="shared" si="13"/>
        <v>-755.16326507603208</v>
      </c>
      <c r="BE84" s="17"/>
    </row>
    <row r="85" spans="1:57" ht="15" x14ac:dyDescent="0.25">
      <c r="A85" s="704" t="s">
        <v>356</v>
      </c>
      <c r="B85" s="704" t="s">
        <v>418</v>
      </c>
      <c r="C85" s="787">
        <v>0</v>
      </c>
      <c r="D85" s="788">
        <v>859.53444797670272</v>
      </c>
      <c r="E85" s="788">
        <v>669.91201319040294</v>
      </c>
      <c r="F85" s="788">
        <v>26.253964149593649</v>
      </c>
      <c r="G85" s="788">
        <v>226.31300724204067</v>
      </c>
      <c r="H85" s="788">
        <v>201.91866621786116</v>
      </c>
      <c r="I85" s="788">
        <v>101.24133024293118</v>
      </c>
      <c r="J85" s="789">
        <v>224.43900057802585</v>
      </c>
      <c r="K85" s="790">
        <v>3016.9146193542565</v>
      </c>
      <c r="M85" s="787">
        <v>0</v>
      </c>
      <c r="N85" s="788">
        <v>971.90387834371938</v>
      </c>
      <c r="O85" s="788">
        <v>814.22061656644223</v>
      </c>
      <c r="P85" s="788">
        <v>25.413505366207243</v>
      </c>
      <c r="Q85" s="788">
        <v>254.29239946409248</v>
      </c>
      <c r="R85" s="788">
        <v>242.33884366245505</v>
      </c>
      <c r="S85" s="788">
        <v>130.57836869151259</v>
      </c>
      <c r="T85" s="789">
        <v>578.75746034175165</v>
      </c>
      <c r="U85" s="790">
        <v>3225.7817013630265</v>
      </c>
      <c r="V85" s="787">
        <f t="shared" si="8"/>
        <v>208.86708200877001</v>
      </c>
      <c r="W85" s="792">
        <f t="shared" si="9"/>
        <v>6.9232016268818419E-2</v>
      </c>
      <c r="AB85" s="704" t="s">
        <v>356</v>
      </c>
      <c r="AC85" s="704" t="s">
        <v>418</v>
      </c>
      <c r="AD85" s="787">
        <v>0</v>
      </c>
      <c r="AE85" s="788">
        <v>859.53444797670272</v>
      </c>
      <c r="AF85" s="788">
        <v>669.91201319040294</v>
      </c>
      <c r="AG85" s="788">
        <v>26.253964149593649</v>
      </c>
      <c r="AH85" s="788">
        <v>226.31300724204067</v>
      </c>
      <c r="AI85" s="788">
        <v>201.91866621786116</v>
      </c>
      <c r="AJ85" s="788">
        <v>101.24133024293118</v>
      </c>
      <c r="AK85" s="789">
        <v>224.43900057802585</v>
      </c>
      <c r="AL85" s="790">
        <v>2309.6124295975583</v>
      </c>
      <c r="AN85" s="787">
        <v>0</v>
      </c>
      <c r="AO85" s="788">
        <v>971.90387834371938</v>
      </c>
      <c r="AP85" s="788">
        <v>814.22061656644223</v>
      </c>
      <c r="AQ85" s="788">
        <v>25.413505366207243</v>
      </c>
      <c r="AR85" s="788">
        <v>254.29239946409248</v>
      </c>
      <c r="AS85" s="788">
        <v>242.33884366245505</v>
      </c>
      <c r="AT85" s="788">
        <v>130.57836869151259</v>
      </c>
      <c r="AU85" s="789">
        <v>578.75746034175165</v>
      </c>
      <c r="AV85" s="790">
        <v>3017.5050724361804</v>
      </c>
      <c r="AW85" s="787">
        <f t="shared" si="10"/>
        <v>707.89264283862212</v>
      </c>
      <c r="AX85" s="792">
        <f t="shared" si="11"/>
        <v>0.30649845565732858</v>
      </c>
      <c r="BB85" s="710">
        <f t="shared" si="12"/>
        <v>-707.30218975669823</v>
      </c>
      <c r="BC85" s="710">
        <f t="shared" si="13"/>
        <v>-208.27662892684612</v>
      </c>
      <c r="BE85" s="17"/>
    </row>
    <row r="86" spans="1:57" ht="15" x14ac:dyDescent="0.25">
      <c r="A86" s="704" t="s">
        <v>358</v>
      </c>
      <c r="B86" s="704" t="s">
        <v>418</v>
      </c>
      <c r="C86" s="787">
        <v>0</v>
      </c>
      <c r="D86" s="788">
        <v>974.71487213048147</v>
      </c>
      <c r="E86" s="788">
        <v>743.86297553941154</v>
      </c>
      <c r="F86" s="788">
        <v>28.977027320428661</v>
      </c>
      <c r="G86" s="788">
        <v>240.79606669275569</v>
      </c>
      <c r="H86" s="788">
        <v>218.40052173784434</v>
      </c>
      <c r="I86" s="788">
        <v>104.41595699957078</v>
      </c>
      <c r="J86" s="789">
        <v>236.49731856154116</v>
      </c>
      <c r="K86" s="790">
        <v>3198.8016084645506</v>
      </c>
      <c r="M86" s="787">
        <v>0</v>
      </c>
      <c r="N86" s="788">
        <v>1074.3965035989772</v>
      </c>
      <c r="O86" s="788">
        <v>912.28896455400923</v>
      </c>
      <c r="P86" s="788">
        <v>26.213827457264237</v>
      </c>
      <c r="Q86" s="788">
        <v>272.11655294470296</v>
      </c>
      <c r="R86" s="788">
        <v>262.18322751481043</v>
      </c>
      <c r="S86" s="788">
        <v>128.95030844980892</v>
      </c>
      <c r="T86" s="789">
        <v>580.48828921542224</v>
      </c>
      <c r="U86" s="790">
        <v>3556.6897696878409</v>
      </c>
      <c r="V86" s="787">
        <f t="shared" si="8"/>
        <v>357.88816122329035</v>
      </c>
      <c r="W86" s="792">
        <f t="shared" si="9"/>
        <v>0.11188194987656</v>
      </c>
      <c r="AB86" s="704" t="s">
        <v>358</v>
      </c>
      <c r="AC86" s="704" t="s">
        <v>418</v>
      </c>
      <c r="AD86" s="787">
        <v>0</v>
      </c>
      <c r="AE86" s="788">
        <v>974.71487213048147</v>
      </c>
      <c r="AF86" s="788">
        <v>743.86297553941154</v>
      </c>
      <c r="AG86" s="788">
        <v>28.977027320428661</v>
      </c>
      <c r="AH86" s="788">
        <v>240.79606669275569</v>
      </c>
      <c r="AI86" s="788">
        <v>218.40052173784434</v>
      </c>
      <c r="AJ86" s="788">
        <v>104.41595699957078</v>
      </c>
      <c r="AK86" s="789">
        <v>236.49731856154116</v>
      </c>
      <c r="AL86" s="790">
        <v>2547.6647389820337</v>
      </c>
      <c r="AN86" s="787">
        <v>0</v>
      </c>
      <c r="AO86" s="788">
        <v>1074.3965035989772</v>
      </c>
      <c r="AP86" s="788">
        <v>912.28896455400923</v>
      </c>
      <c r="AQ86" s="788">
        <v>26.213827457264237</v>
      </c>
      <c r="AR86" s="788">
        <v>272.11655294470296</v>
      </c>
      <c r="AS86" s="788">
        <v>262.18322751481043</v>
      </c>
      <c r="AT86" s="788">
        <v>128.95030844980892</v>
      </c>
      <c r="AU86" s="789">
        <v>580.48828921542224</v>
      </c>
      <c r="AV86" s="790">
        <v>3256.6376737349951</v>
      </c>
      <c r="AW86" s="787">
        <f t="shared" si="10"/>
        <v>708.97293475296146</v>
      </c>
      <c r="AX86" s="792">
        <f t="shared" si="11"/>
        <v>0.27828345068521249</v>
      </c>
      <c r="BB86" s="710">
        <f t="shared" si="12"/>
        <v>-651.13686948251689</v>
      </c>
      <c r="BC86" s="710">
        <f t="shared" si="13"/>
        <v>-300.05209595284578</v>
      </c>
      <c r="BE86" s="17"/>
    </row>
    <row r="87" spans="1:57" ht="15" x14ac:dyDescent="0.25">
      <c r="A87" s="704" t="s">
        <v>356</v>
      </c>
      <c r="B87" s="704" t="s">
        <v>419</v>
      </c>
      <c r="C87" s="787">
        <v>0</v>
      </c>
      <c r="D87" s="788">
        <v>763.33699175408265</v>
      </c>
      <c r="E87" s="788">
        <v>611.38514195297489</v>
      </c>
      <c r="F87" s="788">
        <v>0</v>
      </c>
      <c r="G87" s="788">
        <v>219.25545850946213</v>
      </c>
      <c r="H87" s="788">
        <v>203.33346333075738</v>
      </c>
      <c r="I87" s="788">
        <v>99.908583545306968</v>
      </c>
      <c r="J87" s="789">
        <v>223.71508926291227</v>
      </c>
      <c r="K87" s="790">
        <v>3158.4905812790757</v>
      </c>
      <c r="M87" s="787">
        <v>0</v>
      </c>
      <c r="N87" s="788">
        <v>836.51603407009532</v>
      </c>
      <c r="O87" s="788">
        <v>760.56785638620715</v>
      </c>
      <c r="P87" s="788">
        <v>12.964895639598389</v>
      </c>
      <c r="Q87" s="788">
        <v>258.2900825845112</v>
      </c>
      <c r="R87" s="788">
        <v>261.99642993596319</v>
      </c>
      <c r="S87" s="788">
        <v>123.60018447189525</v>
      </c>
      <c r="T87" s="789">
        <v>548.93113348212171</v>
      </c>
      <c r="U87" s="790">
        <v>3353.83566368027</v>
      </c>
      <c r="V87" s="787">
        <f t="shared" si="8"/>
        <v>195.3450824011943</v>
      </c>
      <c r="W87" s="792">
        <f t="shared" si="9"/>
        <v>6.1847606435503924E-2</v>
      </c>
      <c r="AB87" s="704" t="s">
        <v>356</v>
      </c>
      <c r="AC87" s="704" t="s">
        <v>419</v>
      </c>
      <c r="AD87" s="787">
        <v>0</v>
      </c>
      <c r="AE87" s="788">
        <v>763.33699175408265</v>
      </c>
      <c r="AF87" s="788">
        <v>611.38514195297489</v>
      </c>
      <c r="AG87" s="788">
        <v>0</v>
      </c>
      <c r="AH87" s="788">
        <v>219.25545850946213</v>
      </c>
      <c r="AI87" s="788">
        <v>203.33346333075738</v>
      </c>
      <c r="AJ87" s="788">
        <v>99.908583545306968</v>
      </c>
      <c r="AK87" s="789">
        <v>223.71508926291227</v>
      </c>
      <c r="AL87" s="790">
        <v>2120.9347283554966</v>
      </c>
      <c r="AN87" s="787">
        <v>0</v>
      </c>
      <c r="AO87" s="788">
        <v>836.51603407009532</v>
      </c>
      <c r="AP87" s="788">
        <v>760.56785638620715</v>
      </c>
      <c r="AQ87" s="788">
        <v>12.964895639598389</v>
      </c>
      <c r="AR87" s="788">
        <v>258.2900825845112</v>
      </c>
      <c r="AS87" s="788">
        <v>261.99642993596319</v>
      </c>
      <c r="AT87" s="788">
        <v>123.60018447189525</v>
      </c>
      <c r="AU87" s="789">
        <v>548.93113348212171</v>
      </c>
      <c r="AV87" s="790">
        <v>2802.8666165703921</v>
      </c>
      <c r="AW87" s="787">
        <f t="shared" si="10"/>
        <v>681.93188821489548</v>
      </c>
      <c r="AX87" s="792">
        <f t="shared" si="11"/>
        <v>0.32152422189043184</v>
      </c>
      <c r="BB87" s="710">
        <f t="shared" si="12"/>
        <v>-1037.5558529235791</v>
      </c>
      <c r="BC87" s="710">
        <f t="shared" si="13"/>
        <v>-550.96904710987792</v>
      </c>
      <c r="BE87" s="17"/>
    </row>
    <row r="88" spans="1:57" ht="15" x14ac:dyDescent="0.25">
      <c r="A88" s="704" t="s">
        <v>358</v>
      </c>
      <c r="B88" s="704" t="s">
        <v>419</v>
      </c>
      <c r="C88" s="787">
        <v>0</v>
      </c>
      <c r="D88" s="788">
        <v>858.50721224013296</v>
      </c>
      <c r="E88" s="788">
        <v>783.93268240758471</v>
      </c>
      <c r="F88" s="788">
        <v>0</v>
      </c>
      <c r="G88" s="788">
        <v>274.56869908581825</v>
      </c>
      <c r="H88" s="788">
        <v>245.3801559480726</v>
      </c>
      <c r="I88" s="788">
        <v>115.36412623192228</v>
      </c>
      <c r="J88" s="789">
        <v>261.11049433980287</v>
      </c>
      <c r="K88" s="790">
        <v>3692.3806349523161</v>
      </c>
      <c r="M88" s="787">
        <v>0</v>
      </c>
      <c r="N88" s="788">
        <v>958.05121755067421</v>
      </c>
      <c r="O88" s="788">
        <v>909.14418774344313</v>
      </c>
      <c r="P88" s="788">
        <v>0</v>
      </c>
      <c r="Q88" s="788">
        <v>297.99912994010248</v>
      </c>
      <c r="R88" s="788">
        <v>289.65801455747186</v>
      </c>
      <c r="S88" s="788">
        <v>133.13818830438493</v>
      </c>
      <c r="T88" s="789">
        <v>592.81326040120962</v>
      </c>
      <c r="U88" s="790">
        <v>4048.5149830011787</v>
      </c>
      <c r="V88" s="787">
        <f t="shared" si="8"/>
        <v>356.13434804886265</v>
      </c>
      <c r="W88" s="792">
        <f t="shared" si="9"/>
        <v>9.6451147175259141E-2</v>
      </c>
      <c r="AB88" s="704" t="s">
        <v>358</v>
      </c>
      <c r="AC88" s="704" t="s">
        <v>419</v>
      </c>
      <c r="AD88" s="787">
        <v>0</v>
      </c>
      <c r="AE88" s="788">
        <v>858.50721224013296</v>
      </c>
      <c r="AF88" s="788">
        <v>783.93268240758471</v>
      </c>
      <c r="AG88" s="788">
        <v>0</v>
      </c>
      <c r="AH88" s="788">
        <v>274.56869908581825</v>
      </c>
      <c r="AI88" s="788">
        <v>245.3801559480726</v>
      </c>
      <c r="AJ88" s="788">
        <v>115.36412623192228</v>
      </c>
      <c r="AK88" s="789">
        <v>261.11049433980287</v>
      </c>
      <c r="AL88" s="790">
        <v>2538.8633702533339</v>
      </c>
      <c r="AN88" s="787">
        <v>0</v>
      </c>
      <c r="AO88" s="788">
        <v>958.05121755067421</v>
      </c>
      <c r="AP88" s="788">
        <v>909.14418774344313</v>
      </c>
      <c r="AQ88" s="788">
        <v>0</v>
      </c>
      <c r="AR88" s="788">
        <v>297.99912994010248</v>
      </c>
      <c r="AS88" s="788">
        <v>289.65801455747186</v>
      </c>
      <c r="AT88" s="788">
        <v>133.13818830438493</v>
      </c>
      <c r="AU88" s="789">
        <v>592.81326040120962</v>
      </c>
      <c r="AV88" s="790">
        <v>3180.8039984972866</v>
      </c>
      <c r="AW88" s="787">
        <f t="shared" si="10"/>
        <v>641.94062824395269</v>
      </c>
      <c r="AX88" s="792">
        <f t="shared" si="11"/>
        <v>0.2528456772291367</v>
      </c>
      <c r="BB88" s="710">
        <f t="shared" si="12"/>
        <v>-1153.5172646989822</v>
      </c>
      <c r="BC88" s="710">
        <f t="shared" si="13"/>
        <v>-867.71098450389218</v>
      </c>
      <c r="BE88" s="17"/>
    </row>
    <row r="89" spans="1:57" ht="15" x14ac:dyDescent="0.25">
      <c r="A89" s="704" t="s">
        <v>356</v>
      </c>
      <c r="B89" s="704" t="s">
        <v>420</v>
      </c>
      <c r="C89" s="787">
        <v>0</v>
      </c>
      <c r="D89" s="788">
        <v>796.37784958752979</v>
      </c>
      <c r="E89" s="788">
        <v>636.92791619711454</v>
      </c>
      <c r="F89" s="788">
        <v>9.0812700184848598</v>
      </c>
      <c r="G89" s="788">
        <v>210.63354877715003</v>
      </c>
      <c r="H89" s="788">
        <v>198.60854711159263</v>
      </c>
      <c r="I89" s="788">
        <v>96.826549635560951</v>
      </c>
      <c r="J89" s="789">
        <v>215.19061263978091</v>
      </c>
      <c r="K89" s="790">
        <v>2872.9460055003187</v>
      </c>
      <c r="M89" s="787">
        <v>0</v>
      </c>
      <c r="N89" s="788">
        <v>885.60675791134713</v>
      </c>
      <c r="O89" s="788">
        <v>811.31641713230636</v>
      </c>
      <c r="P89" s="788">
        <v>15.336574300094409</v>
      </c>
      <c r="Q89" s="788">
        <v>258.39740676930489</v>
      </c>
      <c r="R89" s="788">
        <v>247.14526676714155</v>
      </c>
      <c r="S89" s="788">
        <v>114.89989438900344</v>
      </c>
      <c r="T89" s="789">
        <v>498.57079361786265</v>
      </c>
      <c r="U89" s="790">
        <v>3081.2514020894673</v>
      </c>
      <c r="V89" s="787">
        <f t="shared" si="8"/>
        <v>208.30539658914859</v>
      </c>
      <c r="W89" s="792">
        <f t="shared" si="9"/>
        <v>7.2505851551105838E-2</v>
      </c>
      <c r="AB89" s="704" t="s">
        <v>356</v>
      </c>
      <c r="AC89" s="704" t="s">
        <v>420</v>
      </c>
      <c r="AD89" s="787">
        <v>0</v>
      </c>
      <c r="AE89" s="788">
        <v>796.37784958752979</v>
      </c>
      <c r="AF89" s="788">
        <v>636.92791619711454</v>
      </c>
      <c r="AG89" s="788">
        <v>9.0812700184848598</v>
      </c>
      <c r="AH89" s="788">
        <v>210.63354877715003</v>
      </c>
      <c r="AI89" s="788">
        <v>198.60854711159263</v>
      </c>
      <c r="AJ89" s="788">
        <v>96.826549635560951</v>
      </c>
      <c r="AK89" s="789">
        <v>215.19061263978091</v>
      </c>
      <c r="AL89" s="790">
        <v>2163.6462939672138</v>
      </c>
      <c r="AN89" s="787">
        <v>0</v>
      </c>
      <c r="AO89" s="788">
        <v>885.60675791134713</v>
      </c>
      <c r="AP89" s="788">
        <v>811.31641713230636</v>
      </c>
      <c r="AQ89" s="788">
        <v>15.336574300094409</v>
      </c>
      <c r="AR89" s="788">
        <v>258.39740676930489</v>
      </c>
      <c r="AS89" s="788">
        <v>247.14526676714155</v>
      </c>
      <c r="AT89" s="788">
        <v>114.89989438900344</v>
      </c>
      <c r="AU89" s="789">
        <v>498.57079361786265</v>
      </c>
      <c r="AV89" s="790">
        <v>2831.2731108870603</v>
      </c>
      <c r="AW89" s="787">
        <f t="shared" si="10"/>
        <v>667.62681691984653</v>
      </c>
      <c r="AX89" s="792">
        <f t="shared" si="11"/>
        <v>0.30856560001574973</v>
      </c>
      <c r="BB89" s="710">
        <f t="shared" si="12"/>
        <v>-709.29971153310498</v>
      </c>
      <c r="BC89" s="710">
        <f t="shared" si="13"/>
        <v>-249.97829120240704</v>
      </c>
      <c r="BE89" s="17"/>
    </row>
    <row r="90" spans="1:57" ht="15" x14ac:dyDescent="0.25">
      <c r="A90" s="704" t="s">
        <v>358</v>
      </c>
      <c r="B90" s="704" t="s">
        <v>420</v>
      </c>
      <c r="C90" s="787">
        <v>0</v>
      </c>
      <c r="D90" s="788">
        <v>881.23192583609864</v>
      </c>
      <c r="E90" s="788">
        <v>818.04748545332313</v>
      </c>
      <c r="F90" s="788">
        <v>0</v>
      </c>
      <c r="G90" s="788">
        <v>264.98440650024537</v>
      </c>
      <c r="H90" s="788">
        <v>242.09659784880111</v>
      </c>
      <c r="I90" s="788">
        <v>100.59248552768595</v>
      </c>
      <c r="J90" s="789">
        <v>224.90275840953564</v>
      </c>
      <c r="K90" s="790">
        <v>3892.5704038668619</v>
      </c>
      <c r="M90" s="787">
        <v>0</v>
      </c>
      <c r="N90" s="788">
        <v>1039.2831138198014</v>
      </c>
      <c r="O90" s="788">
        <v>1002.1459096115642</v>
      </c>
      <c r="P90" s="788">
        <v>3.6850577516581477E-4</v>
      </c>
      <c r="Q90" s="788">
        <v>291.74877806543526</v>
      </c>
      <c r="R90" s="788">
        <v>294.44104958479119</v>
      </c>
      <c r="S90" s="788">
        <v>123.72556316785352</v>
      </c>
      <c r="T90" s="789">
        <v>531.00141075358636</v>
      </c>
      <c r="U90" s="790">
        <v>4219.526756092454</v>
      </c>
      <c r="V90" s="787">
        <f t="shared" si="8"/>
        <v>326.95635222559213</v>
      </c>
      <c r="W90" s="792">
        <f t="shared" si="9"/>
        <v>8.3994974606187003E-2</v>
      </c>
      <c r="AB90" s="704" t="s">
        <v>358</v>
      </c>
      <c r="AC90" s="704" t="s">
        <v>420</v>
      </c>
      <c r="AD90" s="787">
        <v>0</v>
      </c>
      <c r="AE90" s="788">
        <v>881.23192583609864</v>
      </c>
      <c r="AF90" s="788">
        <v>818.04748545332313</v>
      </c>
      <c r="AG90" s="788">
        <v>0</v>
      </c>
      <c r="AH90" s="788">
        <v>264.98440650024537</v>
      </c>
      <c r="AI90" s="788">
        <v>242.09659784880111</v>
      </c>
      <c r="AJ90" s="788">
        <v>100.59248552768595</v>
      </c>
      <c r="AK90" s="789">
        <v>224.90275840953564</v>
      </c>
      <c r="AL90" s="790">
        <v>2531.8556595756895</v>
      </c>
      <c r="AN90" s="787">
        <v>0</v>
      </c>
      <c r="AO90" s="788">
        <v>1039.2831138198014</v>
      </c>
      <c r="AP90" s="788">
        <v>1002.1459096115642</v>
      </c>
      <c r="AQ90" s="788">
        <v>3.6850577516581477E-4</v>
      </c>
      <c r="AR90" s="788">
        <v>291.74877806543526</v>
      </c>
      <c r="AS90" s="788">
        <v>294.44104958479119</v>
      </c>
      <c r="AT90" s="788">
        <v>123.72556316785352</v>
      </c>
      <c r="AU90" s="789">
        <v>531.00141075358636</v>
      </c>
      <c r="AV90" s="790">
        <v>3282.3461935088071</v>
      </c>
      <c r="AW90" s="787">
        <f t="shared" si="10"/>
        <v>750.4905339331176</v>
      </c>
      <c r="AX90" s="792">
        <f t="shared" si="11"/>
        <v>0.29641916240157679</v>
      </c>
      <c r="BB90" s="710">
        <f t="shared" si="12"/>
        <v>-1360.7147442911723</v>
      </c>
      <c r="BC90" s="710">
        <f t="shared" si="13"/>
        <v>-937.18056258364686</v>
      </c>
      <c r="BE90" s="17"/>
    </row>
    <row r="91" spans="1:57" ht="15" x14ac:dyDescent="0.25">
      <c r="A91" s="704" t="s">
        <v>356</v>
      </c>
      <c r="B91" s="704" t="s">
        <v>421</v>
      </c>
      <c r="C91" s="787">
        <v>0</v>
      </c>
      <c r="D91" s="788">
        <v>571.12351081055442</v>
      </c>
      <c r="E91" s="788">
        <v>812.08610660310467</v>
      </c>
      <c r="F91" s="788">
        <v>4.0520384666753273</v>
      </c>
      <c r="G91" s="788">
        <v>279.05894076434413</v>
      </c>
      <c r="H91" s="788">
        <v>248.61046421467117</v>
      </c>
      <c r="I91" s="788">
        <v>87.928970996150383</v>
      </c>
      <c r="J91" s="789">
        <v>358.88367714686615</v>
      </c>
      <c r="K91" s="790">
        <v>3545.5112520003054</v>
      </c>
      <c r="M91" s="787">
        <v>0</v>
      </c>
      <c r="N91" s="788">
        <v>687.47833692672396</v>
      </c>
      <c r="O91" s="788">
        <v>948.05941459563712</v>
      </c>
      <c r="P91" s="788">
        <v>12.223233239633746</v>
      </c>
      <c r="Q91" s="788">
        <v>305.25692741828453</v>
      </c>
      <c r="R91" s="788">
        <v>280.45085292387131</v>
      </c>
      <c r="S91" s="788">
        <v>107.32556882756678</v>
      </c>
      <c r="T91" s="789">
        <v>468.20022107777032</v>
      </c>
      <c r="U91" s="790">
        <v>3554.9470045637304</v>
      </c>
      <c r="V91" s="787">
        <f t="shared" si="8"/>
        <v>9.4357525634250123</v>
      </c>
      <c r="W91" s="792">
        <f t="shared" si="9"/>
        <v>2.6613235420143012E-3</v>
      </c>
      <c r="AB91" s="704" t="s">
        <v>356</v>
      </c>
      <c r="AC91" s="704" t="s">
        <v>421</v>
      </c>
      <c r="AD91" s="787">
        <v>0</v>
      </c>
      <c r="AE91" s="788">
        <v>571.12351081055442</v>
      </c>
      <c r="AF91" s="788">
        <v>812.08610660310467</v>
      </c>
      <c r="AG91" s="788">
        <v>4.0520384666753273</v>
      </c>
      <c r="AH91" s="788">
        <v>279.05894076434413</v>
      </c>
      <c r="AI91" s="788">
        <v>248.61046421467117</v>
      </c>
      <c r="AJ91" s="788">
        <v>87.928970996150383</v>
      </c>
      <c r="AK91" s="789">
        <v>358.88367714686615</v>
      </c>
      <c r="AL91" s="790">
        <v>2361.7437090023659</v>
      </c>
      <c r="AN91" s="787">
        <v>0</v>
      </c>
      <c r="AO91" s="788">
        <v>687.47833692672396</v>
      </c>
      <c r="AP91" s="788">
        <v>948.05941459563712</v>
      </c>
      <c r="AQ91" s="788">
        <v>12.223233239633746</v>
      </c>
      <c r="AR91" s="788">
        <v>305.25692741828453</v>
      </c>
      <c r="AS91" s="788">
        <v>280.45085292387131</v>
      </c>
      <c r="AT91" s="788">
        <v>107.32556882756678</v>
      </c>
      <c r="AU91" s="789">
        <v>468.20022107777032</v>
      </c>
      <c r="AV91" s="790">
        <v>2808.9945550094881</v>
      </c>
      <c r="AW91" s="787">
        <f t="shared" si="10"/>
        <v>447.25084600712216</v>
      </c>
      <c r="AX91" s="792">
        <f t="shared" si="11"/>
        <v>0.18937315014424122</v>
      </c>
      <c r="BB91" s="710">
        <f t="shared" si="12"/>
        <v>-1183.7675429979395</v>
      </c>
      <c r="BC91" s="710">
        <f t="shared" si="13"/>
        <v>-745.95244955424232</v>
      </c>
      <c r="BE91" s="17"/>
    </row>
    <row r="92" spans="1:57" ht="15" x14ac:dyDescent="0.25">
      <c r="A92" s="704" t="s">
        <v>358</v>
      </c>
      <c r="B92" s="704" t="s">
        <v>421</v>
      </c>
      <c r="C92" s="787">
        <v>0</v>
      </c>
      <c r="D92" s="788">
        <v>535.14334959160374</v>
      </c>
      <c r="E92" s="788">
        <v>986.2447755224814</v>
      </c>
      <c r="F92" s="788">
        <v>0</v>
      </c>
      <c r="G92" s="788">
        <v>325.41577666372956</v>
      </c>
      <c r="H92" s="788">
        <v>313.33870181937266</v>
      </c>
      <c r="I92" s="788">
        <v>107.45366869899709</v>
      </c>
      <c r="J92" s="789">
        <v>268.30677887988804</v>
      </c>
      <c r="K92" s="790">
        <v>3623.4446928119314</v>
      </c>
      <c r="M92" s="787">
        <v>0</v>
      </c>
      <c r="N92" s="788">
        <v>658.81793538809279</v>
      </c>
      <c r="O92" s="788">
        <v>1241.5087618837129</v>
      </c>
      <c r="P92" s="788">
        <v>0</v>
      </c>
      <c r="Q92" s="788">
        <v>338.83467585564381</v>
      </c>
      <c r="R92" s="788">
        <v>356.98299857518896</v>
      </c>
      <c r="S92" s="788">
        <v>133.71564133142181</v>
      </c>
      <c r="T92" s="789">
        <v>568.10034718329928</v>
      </c>
      <c r="U92" s="790">
        <v>3677.2821385414991</v>
      </c>
      <c r="V92" s="787">
        <f t="shared" si="8"/>
        <v>53.837445729567662</v>
      </c>
      <c r="W92" s="792">
        <f t="shared" si="9"/>
        <v>1.4858084031575972E-2</v>
      </c>
      <c r="AB92" s="704" t="s">
        <v>358</v>
      </c>
      <c r="AC92" s="704" t="s">
        <v>421</v>
      </c>
      <c r="AD92" s="787">
        <v>0</v>
      </c>
      <c r="AE92" s="788">
        <v>535.14334959160374</v>
      </c>
      <c r="AF92" s="788">
        <v>986.2447755224814</v>
      </c>
      <c r="AG92" s="788">
        <v>0</v>
      </c>
      <c r="AH92" s="788">
        <v>325.41577666372956</v>
      </c>
      <c r="AI92" s="788">
        <v>313.33870181937266</v>
      </c>
      <c r="AJ92" s="788">
        <v>107.45366869899709</v>
      </c>
      <c r="AK92" s="789">
        <v>268.30677887988804</v>
      </c>
      <c r="AL92" s="790">
        <v>2535.9030511760725</v>
      </c>
      <c r="AN92" s="787">
        <v>0</v>
      </c>
      <c r="AO92" s="788">
        <v>658.81793538809279</v>
      </c>
      <c r="AP92" s="788">
        <v>1241.5087618837129</v>
      </c>
      <c r="AQ92" s="788">
        <v>0</v>
      </c>
      <c r="AR92" s="788">
        <v>338.83467585564381</v>
      </c>
      <c r="AS92" s="788">
        <v>356.98299857518896</v>
      </c>
      <c r="AT92" s="788">
        <v>133.71564133142181</v>
      </c>
      <c r="AU92" s="789">
        <v>568.10034718329928</v>
      </c>
      <c r="AV92" s="790">
        <v>3297.9603602173593</v>
      </c>
      <c r="AW92" s="787">
        <f t="shared" si="10"/>
        <v>762.05730904128677</v>
      </c>
      <c r="AX92" s="792">
        <f t="shared" si="11"/>
        <v>0.30050727242426262</v>
      </c>
      <c r="BB92" s="710">
        <f t="shared" si="12"/>
        <v>-1087.5416416358589</v>
      </c>
      <c r="BC92" s="710">
        <f t="shared" si="13"/>
        <v>-379.32177832413981</v>
      </c>
      <c r="BE92" s="17"/>
    </row>
    <row r="93" spans="1:57" ht="15" x14ac:dyDescent="0.25">
      <c r="A93" s="815" t="s">
        <v>356</v>
      </c>
      <c r="B93" s="815" t="s">
        <v>360</v>
      </c>
      <c r="C93" s="793">
        <v>0</v>
      </c>
      <c r="D93" s="794">
        <v>721.82183004453577</v>
      </c>
      <c r="E93" s="794">
        <v>1034.7205716030635</v>
      </c>
      <c r="F93" s="794">
        <v>14.085459486691814</v>
      </c>
      <c r="G93" s="794">
        <v>368.91470397841471</v>
      </c>
      <c r="H93" s="794">
        <v>321.7909281926581</v>
      </c>
      <c r="I93" s="794">
        <v>105.17383340299777</v>
      </c>
      <c r="J93" s="795">
        <v>311.89835293226218</v>
      </c>
      <c r="K93" s="796">
        <v>2466.4056796406244</v>
      </c>
      <c r="M93" s="793">
        <v>0</v>
      </c>
      <c r="N93" s="794">
        <v>859.20810647497069</v>
      </c>
      <c r="O93" s="794">
        <v>1285.5749903296748</v>
      </c>
      <c r="P93" s="794">
        <v>18.060325133227174</v>
      </c>
      <c r="Q93" s="794">
        <v>422.5987629741781</v>
      </c>
      <c r="R93" s="794">
        <v>389.71225840595821</v>
      </c>
      <c r="S93" s="794">
        <v>102.64620218070471</v>
      </c>
      <c r="T93" s="795">
        <v>473.38654071882661</v>
      </c>
      <c r="U93" s="796">
        <v>2406.1873841610904</v>
      </c>
      <c r="V93" s="787">
        <f t="shared" si="8"/>
        <v>-60.218295479533936</v>
      </c>
      <c r="W93" s="792">
        <f t="shared" si="9"/>
        <v>-2.4415405777166485E-2</v>
      </c>
      <c r="AB93" s="815" t="s">
        <v>356</v>
      </c>
      <c r="AC93" s="815" t="s">
        <v>360</v>
      </c>
      <c r="AD93" s="793">
        <v>0</v>
      </c>
      <c r="AE93" s="794">
        <v>721.82183004453577</v>
      </c>
      <c r="AF93" s="794">
        <v>1034.7205716030635</v>
      </c>
      <c r="AG93" s="794">
        <v>14.085459486691814</v>
      </c>
      <c r="AH93" s="794">
        <v>368.91470397841471</v>
      </c>
      <c r="AI93" s="794">
        <v>321.7909281926581</v>
      </c>
      <c r="AJ93" s="794">
        <v>105.17383340299777</v>
      </c>
      <c r="AK93" s="795">
        <v>311.89835293226218</v>
      </c>
      <c r="AL93" s="796">
        <v>2878.4056796406239</v>
      </c>
      <c r="AN93" s="793">
        <v>0</v>
      </c>
      <c r="AO93" s="794">
        <v>859.20810647497069</v>
      </c>
      <c r="AP93" s="794">
        <v>1285.5749903296748</v>
      </c>
      <c r="AQ93" s="794">
        <v>18.060325133227174</v>
      </c>
      <c r="AR93" s="794">
        <v>422.5987629741781</v>
      </c>
      <c r="AS93" s="794">
        <v>389.71225840595821</v>
      </c>
      <c r="AT93" s="794">
        <v>102.64620218070471</v>
      </c>
      <c r="AU93" s="795">
        <v>473.38654071882661</v>
      </c>
      <c r="AV93" s="796">
        <v>3551.1871862175403</v>
      </c>
      <c r="AW93" s="787">
        <f t="shared" si="10"/>
        <v>672.7815065769164</v>
      </c>
      <c r="AX93" s="792">
        <f t="shared" si="11"/>
        <v>0.2337340811045491</v>
      </c>
      <c r="BB93" s="796">
        <f t="shared" si="12"/>
        <v>411.99999999999955</v>
      </c>
      <c r="BC93" s="796">
        <f t="shared" si="13"/>
        <v>1144.9998020564499</v>
      </c>
      <c r="BE93" s="17">
        <f>IF(BC93&gt;0, 1, 0)</f>
        <v>1</v>
      </c>
    </row>
    <row r="94" spans="1:57" ht="15" x14ac:dyDescent="0.25">
      <c r="A94" s="815" t="s">
        <v>358</v>
      </c>
      <c r="B94" s="815" t="s">
        <v>360</v>
      </c>
      <c r="C94" s="793">
        <v>0</v>
      </c>
      <c r="D94" s="794">
        <v>465.46309146041841</v>
      </c>
      <c r="E94" s="794">
        <v>1048.7281126096336</v>
      </c>
      <c r="F94" s="794">
        <v>0</v>
      </c>
      <c r="G94" s="794">
        <v>366.98386118815466</v>
      </c>
      <c r="H94" s="794">
        <v>353.39171928939123</v>
      </c>
      <c r="I94" s="794">
        <v>84.174619288876897</v>
      </c>
      <c r="J94" s="795">
        <v>255.41415710241347</v>
      </c>
      <c r="K94" s="796">
        <v>3685.6331658422355</v>
      </c>
      <c r="M94" s="793">
        <v>0</v>
      </c>
      <c r="N94" s="794">
        <v>574.88625388710238</v>
      </c>
      <c r="O94" s="794">
        <v>1333.8047539160689</v>
      </c>
      <c r="P94" s="794">
        <v>0</v>
      </c>
      <c r="Q94" s="794">
        <v>390.07852381143596</v>
      </c>
      <c r="R94" s="794">
        <v>412.27227376662103</v>
      </c>
      <c r="S94" s="794">
        <v>110.76881936511164</v>
      </c>
      <c r="T94" s="795">
        <v>513.27939255754632</v>
      </c>
      <c r="U94" s="796">
        <v>4093.0900987494174</v>
      </c>
      <c r="V94" s="787">
        <f t="shared" si="8"/>
        <v>407.45693290718191</v>
      </c>
      <c r="W94" s="792">
        <f t="shared" si="9"/>
        <v>0.1105527638190955</v>
      </c>
      <c r="AB94" s="815" t="s">
        <v>358</v>
      </c>
      <c r="AC94" s="815" t="s">
        <v>360</v>
      </c>
      <c r="AD94" s="793">
        <v>0</v>
      </c>
      <c r="AE94" s="794">
        <v>465.46309146041841</v>
      </c>
      <c r="AF94" s="794">
        <v>1048.7281126096336</v>
      </c>
      <c r="AG94" s="794">
        <v>0</v>
      </c>
      <c r="AH94" s="794">
        <v>366.98386118815466</v>
      </c>
      <c r="AI94" s="794">
        <v>353.39171928939123</v>
      </c>
      <c r="AJ94" s="794">
        <v>84.174619288876897</v>
      </c>
      <c r="AK94" s="795">
        <v>255.41415710241347</v>
      </c>
      <c r="AL94" s="796">
        <v>2574.1555609388879</v>
      </c>
      <c r="AN94" s="793">
        <v>0</v>
      </c>
      <c r="AO94" s="794">
        <v>574.88625388710238</v>
      </c>
      <c r="AP94" s="794">
        <v>1333.8047539160689</v>
      </c>
      <c r="AQ94" s="794">
        <v>0</v>
      </c>
      <c r="AR94" s="794">
        <v>390.07852381143596</v>
      </c>
      <c r="AS94" s="794">
        <v>412.27227376662103</v>
      </c>
      <c r="AT94" s="794">
        <v>110.76881936511164</v>
      </c>
      <c r="AU94" s="795">
        <v>513.27939255754632</v>
      </c>
      <c r="AV94" s="796">
        <v>3335.0900173038863</v>
      </c>
      <c r="AW94" s="787">
        <f t="shared" si="10"/>
        <v>760.93445636499837</v>
      </c>
      <c r="AX94" s="792">
        <f t="shared" si="11"/>
        <v>0.29560546686131817</v>
      </c>
      <c r="BB94" s="796">
        <f t="shared" si="12"/>
        <v>-1111.4776049033476</v>
      </c>
      <c r="BC94" s="796">
        <f t="shared" si="13"/>
        <v>-758.00008144553112</v>
      </c>
      <c r="BE94" s="17">
        <f t="shared" ref="BE94:BE96" si="15">IF(BC94&gt;0, 1, 0)</f>
        <v>0</v>
      </c>
    </row>
    <row r="95" spans="1:57" ht="15" x14ac:dyDescent="0.25">
      <c r="A95" s="815" t="s">
        <v>356</v>
      </c>
      <c r="B95" s="815" t="s">
        <v>361</v>
      </c>
      <c r="C95" s="793">
        <v>0</v>
      </c>
      <c r="D95" s="794">
        <v>848.76616115614524</v>
      </c>
      <c r="E95" s="794">
        <v>1126.9473763414335</v>
      </c>
      <c r="F95" s="794">
        <v>14.021711437804653</v>
      </c>
      <c r="G95" s="794">
        <v>339.26723943594254</v>
      </c>
      <c r="H95" s="794">
        <v>292.0715802010659</v>
      </c>
      <c r="I95" s="794">
        <v>73.408018881993996</v>
      </c>
      <c r="J95" s="795">
        <v>220.2838656242464</v>
      </c>
      <c r="K95" s="796">
        <v>2279.7659530786318</v>
      </c>
      <c r="M95" s="793">
        <v>0</v>
      </c>
      <c r="N95" s="794">
        <v>1029.0585514501695</v>
      </c>
      <c r="O95" s="794">
        <v>1354.0652478237694</v>
      </c>
      <c r="P95" s="794">
        <v>17.116616242121768</v>
      </c>
      <c r="Q95" s="794">
        <v>399.53147600824582</v>
      </c>
      <c r="R95" s="794">
        <v>361.1114795672907</v>
      </c>
      <c r="S95" s="794">
        <v>115.83810791558909</v>
      </c>
      <c r="T95" s="795">
        <v>377.36447055929602</v>
      </c>
      <c r="U95" s="796">
        <v>2204.0056738647609</v>
      </c>
      <c r="V95" s="787">
        <f t="shared" si="8"/>
        <v>-75.760279213870945</v>
      </c>
      <c r="W95" s="792">
        <f t="shared" si="9"/>
        <v>-3.3231603933536719E-2</v>
      </c>
      <c r="AB95" s="815" t="s">
        <v>356</v>
      </c>
      <c r="AC95" s="815" t="s">
        <v>361</v>
      </c>
      <c r="AD95" s="793">
        <v>0</v>
      </c>
      <c r="AE95" s="794">
        <v>848.76616115614524</v>
      </c>
      <c r="AF95" s="794">
        <v>1126.9473763414335</v>
      </c>
      <c r="AG95" s="794">
        <v>14.021711437804653</v>
      </c>
      <c r="AH95" s="794">
        <v>339.26723943594254</v>
      </c>
      <c r="AI95" s="794">
        <v>292.0715802010659</v>
      </c>
      <c r="AJ95" s="794">
        <v>73.408018881993996</v>
      </c>
      <c r="AK95" s="795">
        <v>220.2838656242464</v>
      </c>
      <c r="AL95" s="796">
        <v>2914.7659530786323</v>
      </c>
      <c r="AN95" s="793">
        <v>0</v>
      </c>
      <c r="AO95" s="794">
        <v>1029.0585514501695</v>
      </c>
      <c r="AP95" s="794">
        <v>1354.0652478237694</v>
      </c>
      <c r="AQ95" s="794">
        <v>17.116616242121768</v>
      </c>
      <c r="AR95" s="794">
        <v>399.53147600824582</v>
      </c>
      <c r="AS95" s="794">
        <v>361.1114795672907</v>
      </c>
      <c r="AT95" s="794">
        <v>115.83810791558909</v>
      </c>
      <c r="AU95" s="795">
        <v>377.36447055929602</v>
      </c>
      <c r="AV95" s="796">
        <v>3654.0859495664827</v>
      </c>
      <c r="AW95" s="787">
        <f t="shared" si="10"/>
        <v>739.3199964878504</v>
      </c>
      <c r="AX95" s="792">
        <f t="shared" si="11"/>
        <v>0.25364643624540978</v>
      </c>
      <c r="BB95" s="796">
        <f t="shared" si="12"/>
        <v>635.00000000000045</v>
      </c>
      <c r="BC95" s="796">
        <f t="shared" si="13"/>
        <v>1450.0802757017218</v>
      </c>
      <c r="BE95" s="17">
        <f t="shared" si="15"/>
        <v>1</v>
      </c>
    </row>
    <row r="96" spans="1:57" ht="15" x14ac:dyDescent="0.25">
      <c r="A96" s="815" t="s">
        <v>358</v>
      </c>
      <c r="B96" s="815" t="s">
        <v>361</v>
      </c>
      <c r="C96" s="793">
        <v>0</v>
      </c>
      <c r="D96" s="794">
        <v>502.2875029501198</v>
      </c>
      <c r="E96" s="794">
        <v>1100.3716951746007</v>
      </c>
      <c r="F96" s="794">
        <v>0</v>
      </c>
      <c r="G96" s="794">
        <v>326.11469714862909</v>
      </c>
      <c r="H96" s="794">
        <v>322.00240866276539</v>
      </c>
      <c r="I96" s="794">
        <v>59.947370102506085</v>
      </c>
      <c r="J96" s="795">
        <v>252.25743018616222</v>
      </c>
      <c r="K96" s="796">
        <v>3506.9811042247838</v>
      </c>
      <c r="M96" s="793">
        <v>0</v>
      </c>
      <c r="N96" s="794">
        <v>662.93622702280686</v>
      </c>
      <c r="O96" s="794">
        <v>1501.58155104159</v>
      </c>
      <c r="P96" s="794">
        <v>0</v>
      </c>
      <c r="Q96" s="794">
        <v>366.82949575561565</v>
      </c>
      <c r="R96" s="794">
        <v>399.96475061719502</v>
      </c>
      <c r="S96" s="794">
        <v>121.47315222557803</v>
      </c>
      <c r="T96" s="795">
        <v>393.56063763640242</v>
      </c>
      <c r="U96" s="796">
        <v>3814.3458274398872</v>
      </c>
      <c r="V96" s="787">
        <f t="shared" si="8"/>
        <v>307.36472321510337</v>
      </c>
      <c r="W96" s="792">
        <f t="shared" si="9"/>
        <v>8.76436781609196E-2</v>
      </c>
      <c r="AB96" s="815" t="s">
        <v>358</v>
      </c>
      <c r="AC96" s="815" t="s">
        <v>361</v>
      </c>
      <c r="AD96" s="793">
        <v>0</v>
      </c>
      <c r="AE96" s="794">
        <v>502.2875029501198</v>
      </c>
      <c r="AF96" s="794">
        <v>1100.3716951746007</v>
      </c>
      <c r="AG96" s="794">
        <v>0</v>
      </c>
      <c r="AH96" s="794">
        <v>326.11469714862909</v>
      </c>
      <c r="AI96" s="794">
        <v>322.00240866276539</v>
      </c>
      <c r="AJ96" s="794">
        <v>59.947370102506085</v>
      </c>
      <c r="AK96" s="795">
        <v>252.25743018616222</v>
      </c>
      <c r="AL96" s="796">
        <v>2562.9811042247838</v>
      </c>
      <c r="AN96" s="793">
        <v>0</v>
      </c>
      <c r="AO96" s="794">
        <v>662.93622702280686</v>
      </c>
      <c r="AP96" s="794">
        <v>1501.58155104159</v>
      </c>
      <c r="AQ96" s="794">
        <v>0</v>
      </c>
      <c r="AR96" s="794">
        <v>366.82949575561565</v>
      </c>
      <c r="AS96" s="794">
        <v>399.96475061719502</v>
      </c>
      <c r="AT96" s="794">
        <v>121.47315222557803</v>
      </c>
      <c r="AU96" s="795">
        <v>393.56063763640242</v>
      </c>
      <c r="AV96" s="796">
        <v>3446.3458142991881</v>
      </c>
      <c r="AW96" s="787">
        <f t="shared" si="10"/>
        <v>883.36471007440423</v>
      </c>
      <c r="AX96" s="792">
        <f t="shared" si="11"/>
        <v>0.34466298195420858</v>
      </c>
      <c r="BB96" s="796">
        <f t="shared" si="12"/>
        <v>-944</v>
      </c>
      <c r="BC96" s="796">
        <f t="shared" si="13"/>
        <v>-368.00001314069914</v>
      </c>
      <c r="BE96" s="17">
        <f t="shared" si="15"/>
        <v>0</v>
      </c>
    </row>
    <row r="97" spans="1:55" ht="15" x14ac:dyDescent="0.25">
      <c r="A97" s="704" t="s">
        <v>356</v>
      </c>
      <c r="B97" s="704" t="s">
        <v>422</v>
      </c>
      <c r="C97" s="787">
        <v>0</v>
      </c>
      <c r="D97" s="788">
        <v>570.06541282375588</v>
      </c>
      <c r="E97" s="788">
        <v>869.7034818274069</v>
      </c>
      <c r="F97" s="788">
        <v>0</v>
      </c>
      <c r="G97" s="788">
        <v>291.50764788685677</v>
      </c>
      <c r="H97" s="788">
        <v>285.59534866409405</v>
      </c>
      <c r="I97" s="788">
        <v>45.028889069143816</v>
      </c>
      <c r="J97" s="789">
        <v>126.18086547978736</v>
      </c>
      <c r="K97" s="790">
        <v>3899.8583337023983</v>
      </c>
      <c r="M97" s="787">
        <v>0</v>
      </c>
      <c r="N97" s="788">
        <v>666.4917288837413</v>
      </c>
      <c r="O97" s="788">
        <v>1064.650712863835</v>
      </c>
      <c r="P97" s="788">
        <v>2.8994428718757517</v>
      </c>
      <c r="Q97" s="788">
        <v>325.47280152955977</v>
      </c>
      <c r="R97" s="788">
        <v>332.77697737199543</v>
      </c>
      <c r="S97" s="788">
        <v>54.293066056747165</v>
      </c>
      <c r="T97" s="789">
        <v>304.98727040457095</v>
      </c>
      <c r="U97" s="790">
        <v>4022.2306311279499</v>
      </c>
      <c r="V97" s="787">
        <f t="shared" si="8"/>
        <v>122.37229742555155</v>
      </c>
      <c r="W97" s="792">
        <f t="shared" si="9"/>
        <v>3.1378651980256751E-2</v>
      </c>
      <c r="AB97" s="704" t="s">
        <v>356</v>
      </c>
      <c r="AC97" s="704" t="s">
        <v>422</v>
      </c>
      <c r="AD97" s="787">
        <v>0</v>
      </c>
      <c r="AE97" s="788">
        <v>570.06541282375588</v>
      </c>
      <c r="AF97" s="788">
        <v>869.7034818274069</v>
      </c>
      <c r="AG97" s="788">
        <v>0</v>
      </c>
      <c r="AH97" s="788">
        <v>291.50764788685677</v>
      </c>
      <c r="AI97" s="788">
        <v>285.59534866409405</v>
      </c>
      <c r="AJ97" s="788">
        <v>45.028889069143816</v>
      </c>
      <c r="AK97" s="789">
        <v>126.18086547978736</v>
      </c>
      <c r="AL97" s="790">
        <v>2188.081645751045</v>
      </c>
      <c r="AN97" s="787">
        <v>0</v>
      </c>
      <c r="AO97" s="788">
        <v>666.4917288837413</v>
      </c>
      <c r="AP97" s="788">
        <v>1064.650712863835</v>
      </c>
      <c r="AQ97" s="788">
        <v>2.8994428718757517</v>
      </c>
      <c r="AR97" s="788">
        <v>325.47280152955977</v>
      </c>
      <c r="AS97" s="788">
        <v>332.77697737199543</v>
      </c>
      <c r="AT97" s="788">
        <v>54.293066056747165</v>
      </c>
      <c r="AU97" s="789">
        <v>304.98727040457095</v>
      </c>
      <c r="AV97" s="790">
        <v>2751.5719999823259</v>
      </c>
      <c r="AW97" s="787">
        <f t="shared" si="10"/>
        <v>563.49035423128089</v>
      </c>
      <c r="AX97" s="792">
        <f t="shared" si="11"/>
        <v>0.25752711528178213</v>
      </c>
      <c r="BB97" s="710">
        <f t="shared" si="12"/>
        <v>-1711.7766879513533</v>
      </c>
      <c r="BC97" s="710">
        <f t="shared" si="13"/>
        <v>-1270.658631145624</v>
      </c>
    </row>
    <row r="98" spans="1:55" ht="15" x14ac:dyDescent="0.25">
      <c r="A98" s="704" t="s">
        <v>358</v>
      </c>
      <c r="B98" s="704" t="s">
        <v>422</v>
      </c>
      <c r="C98" s="787">
        <v>0</v>
      </c>
      <c r="D98" s="788">
        <v>287.63659921956639</v>
      </c>
      <c r="E98" s="788">
        <v>578.34271352446615</v>
      </c>
      <c r="F98" s="788">
        <v>0</v>
      </c>
      <c r="G98" s="788">
        <v>229.54551380252309</v>
      </c>
      <c r="H98" s="788">
        <v>217.81660432934672</v>
      </c>
      <c r="I98" s="788">
        <v>36.558020337416842</v>
      </c>
      <c r="J98" s="789">
        <v>103.6155368390494</v>
      </c>
      <c r="K98" s="790">
        <v>3105.8236266166587</v>
      </c>
      <c r="M98" s="787">
        <v>0</v>
      </c>
      <c r="N98" s="788">
        <v>475.0768849068308</v>
      </c>
      <c r="O98" s="788">
        <v>949.30079055229987</v>
      </c>
      <c r="P98" s="788">
        <v>0</v>
      </c>
      <c r="Q98" s="788">
        <v>306.65901082256408</v>
      </c>
      <c r="R98" s="788">
        <v>310.53422919881245</v>
      </c>
      <c r="S98" s="788">
        <v>54.159846870144968</v>
      </c>
      <c r="T98" s="789">
        <v>305.86954739174877</v>
      </c>
      <c r="U98" s="790">
        <v>3392.0318585324876</v>
      </c>
      <c r="V98" s="787">
        <f t="shared" si="8"/>
        <v>286.20823191582895</v>
      </c>
      <c r="W98" s="792">
        <f t="shared" si="9"/>
        <v>9.2152120121389833E-2</v>
      </c>
      <c r="AB98" s="704" t="s">
        <v>358</v>
      </c>
      <c r="AC98" s="704" t="s">
        <v>422</v>
      </c>
      <c r="AD98" s="787">
        <v>0</v>
      </c>
      <c r="AE98" s="788">
        <v>287.63659921956639</v>
      </c>
      <c r="AF98" s="788">
        <v>578.34271352446615</v>
      </c>
      <c r="AG98" s="788">
        <v>0</v>
      </c>
      <c r="AH98" s="788">
        <v>229.54551380252309</v>
      </c>
      <c r="AI98" s="788">
        <v>217.81660432934672</v>
      </c>
      <c r="AJ98" s="788">
        <v>36.558020337416842</v>
      </c>
      <c r="AK98" s="789">
        <v>103.6155368390494</v>
      </c>
      <c r="AL98" s="790">
        <v>1453.5149880523686</v>
      </c>
      <c r="AN98" s="787">
        <v>0</v>
      </c>
      <c r="AO98" s="788">
        <v>475.0768849068308</v>
      </c>
      <c r="AP98" s="788">
        <v>949.30079055229987</v>
      </c>
      <c r="AQ98" s="788">
        <v>0</v>
      </c>
      <c r="AR98" s="788">
        <v>306.65901082256408</v>
      </c>
      <c r="AS98" s="788">
        <v>310.53422919881245</v>
      </c>
      <c r="AT98" s="788">
        <v>54.159846870144968</v>
      </c>
      <c r="AU98" s="789">
        <v>305.86954739174877</v>
      </c>
      <c r="AV98" s="790">
        <v>2401.6003097424009</v>
      </c>
      <c r="AW98" s="787">
        <f t="shared" si="10"/>
        <v>948.08532169003229</v>
      </c>
      <c r="AX98" s="792">
        <f t="shared" si="11"/>
        <v>0.65227075708411875</v>
      </c>
      <c r="BB98" s="710">
        <f t="shared" si="12"/>
        <v>-1652.30863856429</v>
      </c>
      <c r="BC98" s="710">
        <f t="shared" si="13"/>
        <v>-990.43154879008671</v>
      </c>
    </row>
    <row r="99" spans="1:55" ht="15" x14ac:dyDescent="0.25">
      <c r="A99" s="704" t="s">
        <v>356</v>
      </c>
      <c r="B99" s="704" t="s">
        <v>423</v>
      </c>
      <c r="C99" s="787">
        <v>0</v>
      </c>
      <c r="D99" s="788">
        <v>569.26032153032008</v>
      </c>
      <c r="E99" s="788">
        <v>476.7106238634679</v>
      </c>
      <c r="F99" s="788">
        <v>0</v>
      </c>
      <c r="G99" s="788">
        <v>179.55395014517029</v>
      </c>
      <c r="H99" s="788">
        <v>174.00631165311992</v>
      </c>
      <c r="I99" s="788">
        <v>26.51099327293047</v>
      </c>
      <c r="J99" s="789">
        <v>92.348827677556571</v>
      </c>
      <c r="K99" s="790">
        <v>2848.6728604461632</v>
      </c>
      <c r="M99" s="787">
        <v>0</v>
      </c>
      <c r="N99" s="788">
        <v>815.80383880362365</v>
      </c>
      <c r="O99" s="788">
        <v>690.29578076769019</v>
      </c>
      <c r="P99" s="788">
        <v>0</v>
      </c>
      <c r="Q99" s="788">
        <v>253.08981564623556</v>
      </c>
      <c r="R99" s="788">
        <v>253.01303183497208</v>
      </c>
      <c r="S99" s="788">
        <v>35.994249658957912</v>
      </c>
      <c r="T99" s="789">
        <v>277.40605238231478</v>
      </c>
      <c r="U99" s="790">
        <v>3588.3246230378404</v>
      </c>
      <c r="V99" s="787">
        <f t="shared" si="8"/>
        <v>739.6517625916772</v>
      </c>
      <c r="W99" s="792">
        <f t="shared" si="9"/>
        <v>0.2596478426363889</v>
      </c>
      <c r="AB99" s="704" t="s">
        <v>356</v>
      </c>
      <c r="AC99" s="704" t="s">
        <v>423</v>
      </c>
      <c r="AD99" s="787">
        <v>0</v>
      </c>
      <c r="AE99" s="788">
        <v>569.26032153032008</v>
      </c>
      <c r="AF99" s="788">
        <v>476.7106238634679</v>
      </c>
      <c r="AG99" s="788">
        <v>0</v>
      </c>
      <c r="AH99" s="788">
        <v>179.55395014517029</v>
      </c>
      <c r="AI99" s="788">
        <v>174.00631165311992</v>
      </c>
      <c r="AJ99" s="788">
        <v>26.51099327293047</v>
      </c>
      <c r="AK99" s="789">
        <v>92.348827677556571</v>
      </c>
      <c r="AL99" s="790">
        <v>1518.3910281425651</v>
      </c>
      <c r="AN99" s="787">
        <v>0</v>
      </c>
      <c r="AO99" s="788">
        <v>815.80383880362365</v>
      </c>
      <c r="AP99" s="788">
        <v>690.29578076769019</v>
      </c>
      <c r="AQ99" s="788">
        <v>0</v>
      </c>
      <c r="AR99" s="788">
        <v>253.08981564623556</v>
      </c>
      <c r="AS99" s="788">
        <v>253.01303183497208</v>
      </c>
      <c r="AT99" s="788">
        <v>35.994249658957912</v>
      </c>
      <c r="AU99" s="789">
        <v>277.40605238231478</v>
      </c>
      <c r="AV99" s="790">
        <v>2325.6027690937944</v>
      </c>
      <c r="AW99" s="787">
        <f t="shared" si="10"/>
        <v>807.21174095122933</v>
      </c>
      <c r="AX99" s="792">
        <f t="shared" si="11"/>
        <v>0.53162309707446354</v>
      </c>
      <c r="BB99" s="710">
        <f t="shared" si="12"/>
        <v>-1330.2818323035981</v>
      </c>
      <c r="BC99" s="710">
        <f t="shared" si="13"/>
        <v>-1262.721853944046</v>
      </c>
    </row>
    <row r="100" spans="1:55" ht="15" x14ac:dyDescent="0.25">
      <c r="A100" s="704" t="s">
        <v>358</v>
      </c>
      <c r="B100" s="704" t="s">
        <v>423</v>
      </c>
      <c r="C100" s="787">
        <v>0</v>
      </c>
      <c r="D100" s="788">
        <v>487.91993804483616</v>
      </c>
      <c r="E100" s="788">
        <v>447.36623830534728</v>
      </c>
      <c r="F100" s="788">
        <v>0</v>
      </c>
      <c r="G100" s="788">
        <v>156.15469088961663</v>
      </c>
      <c r="H100" s="788">
        <v>158.52944908686138</v>
      </c>
      <c r="I100" s="788">
        <v>24.989119980719618</v>
      </c>
      <c r="J100" s="789">
        <v>87.861011048288631</v>
      </c>
      <c r="K100" s="790">
        <v>2558.2747317879084</v>
      </c>
      <c r="M100" s="787">
        <v>0</v>
      </c>
      <c r="N100" s="788">
        <v>712.18700862439653</v>
      </c>
      <c r="O100" s="788">
        <v>717.31234588354164</v>
      </c>
      <c r="P100" s="788">
        <v>0</v>
      </c>
      <c r="Q100" s="788">
        <v>222.52490899995675</v>
      </c>
      <c r="R100" s="788">
        <v>254.48349196179643</v>
      </c>
      <c r="S100" s="788">
        <v>35.098954652238788</v>
      </c>
      <c r="T100" s="789">
        <v>269.39432751133563</v>
      </c>
      <c r="U100" s="790">
        <v>3378.7044034579339</v>
      </c>
      <c r="V100" s="787">
        <f t="shared" si="8"/>
        <v>820.42967167002553</v>
      </c>
      <c r="W100" s="792">
        <f t="shared" si="9"/>
        <v>0.32069646839557753</v>
      </c>
      <c r="AB100" s="704" t="s">
        <v>358</v>
      </c>
      <c r="AC100" s="704" t="s">
        <v>423</v>
      </c>
      <c r="AD100" s="787">
        <v>0</v>
      </c>
      <c r="AE100" s="788">
        <v>487.91993804483616</v>
      </c>
      <c r="AF100" s="788">
        <v>447.36623830534728</v>
      </c>
      <c r="AG100" s="788">
        <v>0</v>
      </c>
      <c r="AH100" s="788">
        <v>156.15469088961663</v>
      </c>
      <c r="AI100" s="788">
        <v>158.52944908686138</v>
      </c>
      <c r="AJ100" s="788">
        <v>24.989119980719618</v>
      </c>
      <c r="AK100" s="789">
        <v>87.861011048288631</v>
      </c>
      <c r="AL100" s="790">
        <v>1362.8204473556698</v>
      </c>
      <c r="AN100" s="787">
        <v>0</v>
      </c>
      <c r="AO100" s="788">
        <v>712.18700862439653</v>
      </c>
      <c r="AP100" s="788">
        <v>717.31234588354164</v>
      </c>
      <c r="AQ100" s="788">
        <v>0</v>
      </c>
      <c r="AR100" s="788">
        <v>222.52490899995675</v>
      </c>
      <c r="AS100" s="788">
        <v>254.48349196179643</v>
      </c>
      <c r="AT100" s="788">
        <v>35.098954652238788</v>
      </c>
      <c r="AU100" s="789">
        <v>269.39432751133563</v>
      </c>
      <c r="AV100" s="790">
        <v>2211.0010376332657</v>
      </c>
      <c r="AW100" s="787">
        <f t="shared" si="10"/>
        <v>848.18059027759591</v>
      </c>
      <c r="AX100" s="792">
        <f t="shared" si="11"/>
        <v>0.62237148842560419</v>
      </c>
      <c r="BB100" s="710">
        <f t="shared" si="12"/>
        <v>-1195.4542844322386</v>
      </c>
      <c r="BC100" s="710">
        <f t="shared" si="13"/>
        <v>-1167.7033658246683</v>
      </c>
    </row>
    <row r="101" spans="1:55" ht="15" x14ac:dyDescent="0.25">
      <c r="A101" s="704" t="s">
        <v>356</v>
      </c>
      <c r="B101" s="704" t="s">
        <v>424</v>
      </c>
      <c r="C101" s="787">
        <v>0</v>
      </c>
      <c r="D101" s="788">
        <v>545.89274141317446</v>
      </c>
      <c r="E101" s="788">
        <v>410.69268599819509</v>
      </c>
      <c r="F101" s="788">
        <v>19.841165500765282</v>
      </c>
      <c r="G101" s="788">
        <v>186.26446479025898</v>
      </c>
      <c r="H101" s="788">
        <v>167.32812981650773</v>
      </c>
      <c r="I101" s="788">
        <v>13.384501784350745</v>
      </c>
      <c r="J101" s="789">
        <v>76.503804150194071</v>
      </c>
      <c r="K101" s="790">
        <v>2193.7437276109267</v>
      </c>
      <c r="M101" s="787">
        <v>0</v>
      </c>
      <c r="N101" s="788">
        <v>666.69667808236204</v>
      </c>
      <c r="O101" s="788">
        <v>522.37057944047535</v>
      </c>
      <c r="P101" s="788">
        <v>23.349582537351893</v>
      </c>
      <c r="Q101" s="788">
        <v>232.74917881457441</v>
      </c>
      <c r="R101" s="788">
        <v>202.00239129626257</v>
      </c>
      <c r="S101" s="788">
        <v>27.083800329256245</v>
      </c>
      <c r="T101" s="789">
        <v>133.76696596741934</v>
      </c>
      <c r="U101" s="790">
        <v>2691.1811263524646</v>
      </c>
      <c r="V101" s="787">
        <f t="shared" si="8"/>
        <v>497.43739874153789</v>
      </c>
      <c r="W101" s="792">
        <f t="shared" si="9"/>
        <v>0.22675273892783585</v>
      </c>
      <c r="AB101" s="704" t="s">
        <v>356</v>
      </c>
      <c r="AC101" s="704" t="s">
        <v>424</v>
      </c>
      <c r="AD101" s="787">
        <v>0</v>
      </c>
      <c r="AE101" s="788">
        <v>545.89274141317446</v>
      </c>
      <c r="AF101" s="788">
        <v>410.69268599819509</v>
      </c>
      <c r="AG101" s="788">
        <v>19.841165500765282</v>
      </c>
      <c r="AH101" s="788">
        <v>186.26446479025898</v>
      </c>
      <c r="AI101" s="788">
        <v>167.32812981650773</v>
      </c>
      <c r="AJ101" s="788">
        <v>13.384501784350745</v>
      </c>
      <c r="AK101" s="789">
        <v>76.503804150194071</v>
      </c>
      <c r="AL101" s="790">
        <v>1419.9074934534465</v>
      </c>
      <c r="AN101" s="787">
        <v>0</v>
      </c>
      <c r="AO101" s="788">
        <v>666.69667808236204</v>
      </c>
      <c r="AP101" s="788">
        <v>522.37057944047535</v>
      </c>
      <c r="AQ101" s="788">
        <v>23.349582537351893</v>
      </c>
      <c r="AR101" s="788">
        <v>232.74917881457441</v>
      </c>
      <c r="AS101" s="788">
        <v>202.00239129626257</v>
      </c>
      <c r="AT101" s="788">
        <v>27.083800329256245</v>
      </c>
      <c r="AU101" s="789">
        <v>133.76696596741934</v>
      </c>
      <c r="AV101" s="790">
        <v>1808.0191764677018</v>
      </c>
      <c r="AW101" s="787">
        <f t="shared" si="10"/>
        <v>388.11168301425528</v>
      </c>
      <c r="AX101" s="792">
        <f t="shared" si="11"/>
        <v>0.27333589322097623</v>
      </c>
      <c r="BB101" s="710">
        <f t="shared" si="12"/>
        <v>-773.83623415748025</v>
      </c>
      <c r="BC101" s="710">
        <f t="shared" si="13"/>
        <v>-883.16194988476286</v>
      </c>
    </row>
    <row r="102" spans="1:55" ht="15" x14ac:dyDescent="0.25">
      <c r="A102" s="704" t="s">
        <v>358</v>
      </c>
      <c r="B102" s="704" t="s">
        <v>424</v>
      </c>
      <c r="C102" s="787">
        <v>0</v>
      </c>
      <c r="D102" s="788">
        <v>563.21835927182542</v>
      </c>
      <c r="E102" s="788">
        <v>483.70143849229657</v>
      </c>
      <c r="F102" s="788">
        <v>18.709738302301169</v>
      </c>
      <c r="G102" s="788">
        <v>143.06120589428451</v>
      </c>
      <c r="H102" s="788">
        <v>165.50477983450244</v>
      </c>
      <c r="I102" s="788">
        <v>15.326988359648118</v>
      </c>
      <c r="J102" s="789">
        <v>87.723611051717356</v>
      </c>
      <c r="K102" s="790">
        <v>2117.8370151698232</v>
      </c>
      <c r="M102" s="787">
        <v>0</v>
      </c>
      <c r="N102" s="788">
        <v>701.67243906034344</v>
      </c>
      <c r="O102" s="788">
        <v>681.63937390712056</v>
      </c>
      <c r="P102" s="788">
        <v>22.821050485349616</v>
      </c>
      <c r="Q102" s="788">
        <v>187.01684156206531</v>
      </c>
      <c r="R102" s="788">
        <v>241.83343302581355</v>
      </c>
      <c r="S102" s="788">
        <v>30.034330895401908</v>
      </c>
      <c r="T102" s="789">
        <v>254.26187749148446</v>
      </c>
      <c r="U102" s="790">
        <v>2875.9439123326742</v>
      </c>
      <c r="V102" s="787">
        <f t="shared" si="8"/>
        <v>758.10689716285106</v>
      </c>
      <c r="W102" s="792">
        <f t="shared" si="9"/>
        <v>0.35796281382024137</v>
      </c>
      <c r="AB102" s="704" t="s">
        <v>358</v>
      </c>
      <c r="AC102" s="704" t="s">
        <v>424</v>
      </c>
      <c r="AD102" s="787">
        <v>0</v>
      </c>
      <c r="AE102" s="788">
        <v>563.21835927182542</v>
      </c>
      <c r="AF102" s="788">
        <v>483.70143849229657</v>
      </c>
      <c r="AG102" s="788">
        <v>18.709738302301169</v>
      </c>
      <c r="AH102" s="788">
        <v>143.06120589428451</v>
      </c>
      <c r="AI102" s="788">
        <v>165.50477983450244</v>
      </c>
      <c r="AJ102" s="788">
        <v>15.326988359648118</v>
      </c>
      <c r="AK102" s="789">
        <v>87.723611051717356</v>
      </c>
      <c r="AL102" s="790">
        <v>1477.2461212065757</v>
      </c>
      <c r="AN102" s="787">
        <v>0</v>
      </c>
      <c r="AO102" s="788">
        <v>701.67243906034344</v>
      </c>
      <c r="AP102" s="788">
        <v>681.63937390712056</v>
      </c>
      <c r="AQ102" s="788">
        <v>22.821050485349616</v>
      </c>
      <c r="AR102" s="788">
        <v>187.01684156206531</v>
      </c>
      <c r="AS102" s="788">
        <v>241.83343302581355</v>
      </c>
      <c r="AT102" s="788">
        <v>30.034330895401908</v>
      </c>
      <c r="AU102" s="789">
        <v>254.26187749148446</v>
      </c>
      <c r="AV102" s="790">
        <v>2119.2793464275787</v>
      </c>
      <c r="AW102" s="787">
        <f t="shared" si="10"/>
        <v>642.03322522100302</v>
      </c>
      <c r="AX102" s="792">
        <f t="shared" si="11"/>
        <v>0.4346149338314777</v>
      </c>
      <c r="BB102" s="710">
        <f t="shared" si="12"/>
        <v>-640.59089396324748</v>
      </c>
      <c r="BC102" s="710">
        <f t="shared" si="13"/>
        <v>-756.66456590509551</v>
      </c>
    </row>
    <row r="103" spans="1:55" ht="15" x14ac:dyDescent="0.25">
      <c r="A103" s="704" t="s">
        <v>356</v>
      </c>
      <c r="B103" s="704" t="s">
        <v>425</v>
      </c>
      <c r="C103" s="787">
        <v>0</v>
      </c>
      <c r="D103" s="788">
        <v>289.57330951869238</v>
      </c>
      <c r="E103" s="788">
        <v>215.6438602224724</v>
      </c>
      <c r="F103" s="788">
        <v>9.3771503488345846</v>
      </c>
      <c r="G103" s="788">
        <v>87.992889373718995</v>
      </c>
      <c r="H103" s="788">
        <v>75.865372546182783</v>
      </c>
      <c r="I103" s="788">
        <v>7.8790779793808579</v>
      </c>
      <c r="J103" s="789">
        <v>36.294722492764528</v>
      </c>
      <c r="K103" s="790">
        <v>1246.0861325959609</v>
      </c>
      <c r="M103" s="787">
        <v>0</v>
      </c>
      <c r="N103" s="788">
        <v>338.12543387174293</v>
      </c>
      <c r="O103" s="788">
        <v>263.69923001865459</v>
      </c>
      <c r="P103" s="788">
        <v>10.709480113893335</v>
      </c>
      <c r="Q103" s="788">
        <v>103.61849604052547</v>
      </c>
      <c r="R103" s="788">
        <v>92.419805605111819</v>
      </c>
      <c r="S103" s="788">
        <v>10.313082606202203</v>
      </c>
      <c r="T103" s="789">
        <v>48.394344526527938</v>
      </c>
      <c r="U103" s="790">
        <v>1437.1298139098531</v>
      </c>
      <c r="V103" s="787">
        <f t="shared" si="8"/>
        <v>191.04368131389219</v>
      </c>
      <c r="W103" s="792">
        <f t="shared" si="9"/>
        <v>0.15331498868051158</v>
      </c>
      <c r="AB103" s="704" t="s">
        <v>356</v>
      </c>
      <c r="AC103" s="704" t="s">
        <v>425</v>
      </c>
      <c r="AD103" s="787">
        <v>0</v>
      </c>
      <c r="AE103" s="788">
        <v>289.57330951869238</v>
      </c>
      <c r="AF103" s="788">
        <v>215.6438602224724</v>
      </c>
      <c r="AG103" s="788">
        <v>9.3771503488345846</v>
      </c>
      <c r="AH103" s="788">
        <v>87.992889373718995</v>
      </c>
      <c r="AI103" s="788">
        <v>75.865372546182783</v>
      </c>
      <c r="AJ103" s="788">
        <v>7.8790779793808579</v>
      </c>
      <c r="AK103" s="789">
        <v>36.294722492764528</v>
      </c>
      <c r="AL103" s="790">
        <v>722.62638248204655</v>
      </c>
      <c r="AN103" s="787">
        <v>0</v>
      </c>
      <c r="AO103" s="788">
        <v>338.12543387174293</v>
      </c>
      <c r="AP103" s="788">
        <v>263.69923001865459</v>
      </c>
      <c r="AQ103" s="788">
        <v>10.709480113893335</v>
      </c>
      <c r="AR103" s="788">
        <v>103.61849604052547</v>
      </c>
      <c r="AS103" s="788">
        <v>92.419805605111819</v>
      </c>
      <c r="AT103" s="788">
        <v>10.313082606202203</v>
      </c>
      <c r="AU103" s="789">
        <v>48.394344526527938</v>
      </c>
      <c r="AV103" s="790">
        <v>867.27987278265812</v>
      </c>
      <c r="AW103" s="787">
        <f t="shared" si="10"/>
        <v>144.65349030061157</v>
      </c>
      <c r="AX103" s="792">
        <f t="shared" si="11"/>
        <v>0.20017742751622475</v>
      </c>
      <c r="BB103" s="710">
        <f t="shared" si="12"/>
        <v>-523.45975011391431</v>
      </c>
      <c r="BC103" s="710">
        <f t="shared" si="13"/>
        <v>-569.84994112719494</v>
      </c>
    </row>
    <row r="104" spans="1:55" ht="15" x14ac:dyDescent="0.25">
      <c r="A104" s="704" t="s">
        <v>358</v>
      </c>
      <c r="B104" s="704" t="s">
        <v>425</v>
      </c>
      <c r="C104" s="787">
        <v>0</v>
      </c>
      <c r="D104" s="788">
        <v>512.62365120080631</v>
      </c>
      <c r="E104" s="788">
        <v>469.27039320581554</v>
      </c>
      <c r="F104" s="788">
        <v>16.143081526960312</v>
      </c>
      <c r="G104" s="788">
        <v>118.85054718992377</v>
      </c>
      <c r="H104" s="788">
        <v>142.68429823906229</v>
      </c>
      <c r="I104" s="788">
        <v>13.127097005891365</v>
      </c>
      <c r="J104" s="789">
        <v>61.348922625008086</v>
      </c>
      <c r="K104" s="790">
        <v>1839.0147519414643</v>
      </c>
      <c r="M104" s="787">
        <v>0</v>
      </c>
      <c r="N104" s="788">
        <v>626.22637345066005</v>
      </c>
      <c r="O104" s="788">
        <v>647.18676724524812</v>
      </c>
      <c r="P104" s="788">
        <v>18.884698481490087</v>
      </c>
      <c r="Q104" s="788">
        <v>147.56014364290147</v>
      </c>
      <c r="R104" s="788">
        <v>203.17395790198555</v>
      </c>
      <c r="S104" s="788">
        <v>17.330450246192726</v>
      </c>
      <c r="T104" s="789">
        <v>85.573797208578</v>
      </c>
      <c r="U104" s="790">
        <v>2391.7244732002582</v>
      </c>
      <c r="V104" s="787">
        <f t="shared" si="8"/>
        <v>552.70972125879393</v>
      </c>
      <c r="W104" s="792">
        <f t="shared" si="9"/>
        <v>0.30054664905504069</v>
      </c>
      <c r="AB104" s="704" t="s">
        <v>358</v>
      </c>
      <c r="AC104" s="704" t="s">
        <v>425</v>
      </c>
      <c r="AD104" s="787">
        <v>0</v>
      </c>
      <c r="AE104" s="788">
        <v>512.62365120080631</v>
      </c>
      <c r="AF104" s="788">
        <v>469.27039320581554</v>
      </c>
      <c r="AG104" s="788">
        <v>16.143081526960312</v>
      </c>
      <c r="AH104" s="788">
        <v>118.85054718992377</v>
      </c>
      <c r="AI104" s="788">
        <v>142.68429823906229</v>
      </c>
      <c r="AJ104" s="788">
        <v>13.127097005891365</v>
      </c>
      <c r="AK104" s="789">
        <v>61.348922625008086</v>
      </c>
      <c r="AL104" s="790">
        <v>1334.0479909934675</v>
      </c>
      <c r="AN104" s="787">
        <v>0</v>
      </c>
      <c r="AO104" s="788">
        <v>626.22637345066005</v>
      </c>
      <c r="AP104" s="788">
        <v>647.18676724524812</v>
      </c>
      <c r="AQ104" s="788">
        <v>18.884698481490087</v>
      </c>
      <c r="AR104" s="788">
        <v>147.56014364290147</v>
      </c>
      <c r="AS104" s="788">
        <v>203.17395790198555</v>
      </c>
      <c r="AT104" s="788">
        <v>17.330450246192726</v>
      </c>
      <c r="AU104" s="789">
        <v>85.573797208578</v>
      </c>
      <c r="AV104" s="790">
        <v>1745.9361881770558</v>
      </c>
      <c r="AW104" s="787">
        <f t="shared" si="10"/>
        <v>411.88819718358832</v>
      </c>
      <c r="AX104" s="792">
        <f t="shared" si="11"/>
        <v>0.30875065961971471</v>
      </c>
      <c r="BB104" s="710">
        <f t="shared" si="12"/>
        <v>-504.96676094799682</v>
      </c>
      <c r="BC104" s="710">
        <f t="shared" si="13"/>
        <v>-645.78828502320243</v>
      </c>
    </row>
    <row r="105" spans="1:55" ht="15" x14ac:dyDescent="0.25">
      <c r="A105" s="704" t="s">
        <v>356</v>
      </c>
      <c r="B105" s="704" t="s">
        <v>426</v>
      </c>
      <c r="C105" s="787">
        <v>0</v>
      </c>
      <c r="D105" s="788">
        <v>188.23879758938304</v>
      </c>
      <c r="E105" s="788">
        <v>144.12051532462766</v>
      </c>
      <c r="F105" s="788">
        <v>6.3675696254939718</v>
      </c>
      <c r="G105" s="788">
        <v>57.751312670066604</v>
      </c>
      <c r="H105" s="788">
        <v>51.511296652038425</v>
      </c>
      <c r="I105" s="788">
        <v>3.9955901728049512</v>
      </c>
      <c r="J105" s="789">
        <v>22.611945409448335</v>
      </c>
      <c r="K105" s="790">
        <v>847.55060049223073</v>
      </c>
      <c r="M105" s="787">
        <v>0</v>
      </c>
      <c r="N105" s="788">
        <v>218.25476731195133</v>
      </c>
      <c r="O105" s="788">
        <v>176.37806970885327</v>
      </c>
      <c r="P105" s="788">
        <v>7.0214458952972549</v>
      </c>
      <c r="Q105" s="788">
        <v>66.043782934795942</v>
      </c>
      <c r="R105" s="788">
        <v>60.840777670989496</v>
      </c>
      <c r="S105" s="788">
        <v>5.1587445444676749</v>
      </c>
      <c r="T105" s="789">
        <v>29.783061800638492</v>
      </c>
      <c r="U105" s="790">
        <v>976.38681023591289</v>
      </c>
      <c r="V105" s="787">
        <f t="shared" si="8"/>
        <v>128.83620974368216</v>
      </c>
      <c r="W105" s="792">
        <f t="shared" si="9"/>
        <v>0.15201005069061144</v>
      </c>
      <c r="AB105" s="704" t="s">
        <v>356</v>
      </c>
      <c r="AC105" s="704" t="s">
        <v>426</v>
      </c>
      <c r="AD105" s="787">
        <v>0</v>
      </c>
      <c r="AE105" s="788">
        <v>188.23879758938304</v>
      </c>
      <c r="AF105" s="788">
        <v>144.12051532462766</v>
      </c>
      <c r="AG105" s="788">
        <v>6.3675696254939718</v>
      </c>
      <c r="AH105" s="788">
        <v>57.751312670066604</v>
      </c>
      <c r="AI105" s="788">
        <v>51.511296652038425</v>
      </c>
      <c r="AJ105" s="788">
        <v>3.9955901728049512</v>
      </c>
      <c r="AK105" s="789">
        <v>22.611945409448335</v>
      </c>
      <c r="AL105" s="790">
        <v>474.597027443863</v>
      </c>
      <c r="AN105" s="787">
        <v>0</v>
      </c>
      <c r="AO105" s="788">
        <v>218.25476731195133</v>
      </c>
      <c r="AP105" s="788">
        <v>176.37806970885327</v>
      </c>
      <c r="AQ105" s="788">
        <v>7.0214458952972549</v>
      </c>
      <c r="AR105" s="788">
        <v>66.043782934795942</v>
      </c>
      <c r="AS105" s="788">
        <v>60.840777670989496</v>
      </c>
      <c r="AT105" s="788">
        <v>5.1587445444676749</v>
      </c>
      <c r="AU105" s="789">
        <v>29.783061800638492</v>
      </c>
      <c r="AV105" s="790">
        <v>563.48064986699342</v>
      </c>
      <c r="AW105" s="787">
        <f t="shared" si="10"/>
        <v>88.883622423130419</v>
      </c>
      <c r="AX105" s="792">
        <f t="shared" si="11"/>
        <v>0.1872822990524185</v>
      </c>
      <c r="BB105" s="710">
        <f t="shared" si="12"/>
        <v>-372.95357304836773</v>
      </c>
      <c r="BC105" s="710">
        <f t="shared" si="13"/>
        <v>-412.90616036891947</v>
      </c>
    </row>
    <row r="106" spans="1:55" ht="15" x14ac:dyDescent="0.25">
      <c r="A106" s="704" t="s">
        <v>358</v>
      </c>
      <c r="B106" s="704" t="s">
        <v>426</v>
      </c>
      <c r="C106" s="787">
        <v>0</v>
      </c>
      <c r="D106" s="788">
        <v>274.09056050774836</v>
      </c>
      <c r="E106" s="788">
        <v>239.42698901397802</v>
      </c>
      <c r="F106" s="788">
        <v>9.0587217152668646</v>
      </c>
      <c r="G106" s="788">
        <v>72.314786136475433</v>
      </c>
      <c r="H106" s="788">
        <v>84.489964442381719</v>
      </c>
      <c r="I106" s="788">
        <v>7.5714090456840051</v>
      </c>
      <c r="J106" s="789">
        <v>43.081299475547326</v>
      </c>
      <c r="K106" s="790">
        <v>1113.4916847942184</v>
      </c>
      <c r="M106" s="787">
        <v>0</v>
      </c>
      <c r="N106" s="788">
        <v>324.50312470996306</v>
      </c>
      <c r="O106" s="788">
        <v>317.80263682139054</v>
      </c>
      <c r="P106" s="788">
        <v>9.9929716490317979</v>
      </c>
      <c r="Q106" s="788">
        <v>83.449631389891167</v>
      </c>
      <c r="R106" s="788">
        <v>111.90294309133429</v>
      </c>
      <c r="S106" s="788">
        <v>9.6306996093615886</v>
      </c>
      <c r="T106" s="789">
        <v>55.677303537711531</v>
      </c>
      <c r="U106" s="790">
        <v>1350.7504835202656</v>
      </c>
      <c r="V106" s="787">
        <f t="shared" si="8"/>
        <v>237.25879872604719</v>
      </c>
      <c r="W106" s="792">
        <f t="shared" si="9"/>
        <v>0.21307639919187576</v>
      </c>
      <c r="AB106" s="704" t="s">
        <v>358</v>
      </c>
      <c r="AC106" s="704" t="s">
        <v>426</v>
      </c>
      <c r="AD106" s="787">
        <v>0</v>
      </c>
      <c r="AE106" s="788">
        <v>274.09056050774836</v>
      </c>
      <c r="AF106" s="788">
        <v>239.42698901397802</v>
      </c>
      <c r="AG106" s="788">
        <v>9.0587217152668646</v>
      </c>
      <c r="AH106" s="788">
        <v>72.314786136475433</v>
      </c>
      <c r="AI106" s="788">
        <v>84.489964442381719</v>
      </c>
      <c r="AJ106" s="788">
        <v>7.5714090456840051</v>
      </c>
      <c r="AK106" s="789">
        <v>43.081299475547326</v>
      </c>
      <c r="AL106" s="790">
        <v>730.03373033708169</v>
      </c>
      <c r="AN106" s="787">
        <v>0</v>
      </c>
      <c r="AO106" s="788">
        <v>324.50312470996306</v>
      </c>
      <c r="AP106" s="788">
        <v>317.80263682139054</v>
      </c>
      <c r="AQ106" s="788">
        <v>9.9929716490317979</v>
      </c>
      <c r="AR106" s="788">
        <v>83.449631389891167</v>
      </c>
      <c r="AS106" s="788">
        <v>111.90294309133429</v>
      </c>
      <c r="AT106" s="788">
        <v>9.6306996093615886</v>
      </c>
      <c r="AU106" s="789">
        <v>55.677303537711531</v>
      </c>
      <c r="AV106" s="790">
        <v>912.95931080868399</v>
      </c>
      <c r="AW106" s="787">
        <f t="shared" si="10"/>
        <v>182.9255804716023</v>
      </c>
      <c r="AX106" s="792">
        <f t="shared" si="11"/>
        <v>0.25057140905960507</v>
      </c>
      <c r="BB106" s="710">
        <f t="shared" si="12"/>
        <v>-383.45795445713668</v>
      </c>
      <c r="BC106" s="710">
        <f t="shared" si="13"/>
        <v>-437.79117271158157</v>
      </c>
    </row>
    <row r="107" spans="1:55" ht="15" x14ac:dyDescent="0.25">
      <c r="A107" s="704" t="s">
        <v>356</v>
      </c>
      <c r="B107" s="704" t="s">
        <v>427</v>
      </c>
      <c r="C107" s="787">
        <v>0</v>
      </c>
      <c r="D107" s="788">
        <v>143.89847820010567</v>
      </c>
      <c r="E107" s="788">
        <v>102.36360431171801</v>
      </c>
      <c r="F107" s="788">
        <v>3.4619528990531219</v>
      </c>
      <c r="G107" s="788">
        <v>33.313340535121988</v>
      </c>
      <c r="H107" s="788">
        <v>32.245983942520745</v>
      </c>
      <c r="I107" s="788">
        <v>2.9180592081485113</v>
      </c>
      <c r="J107" s="789">
        <v>18.266618822269987</v>
      </c>
      <c r="K107" s="790">
        <v>545.782952491272</v>
      </c>
      <c r="M107" s="787">
        <v>0</v>
      </c>
      <c r="N107" s="788">
        <v>168.48160080175506</v>
      </c>
      <c r="O107" s="788">
        <v>124.45890731944944</v>
      </c>
      <c r="P107" s="788">
        <v>3.6708937002904332</v>
      </c>
      <c r="Q107" s="788">
        <v>36.790396734174053</v>
      </c>
      <c r="R107" s="788">
        <v>36.483543295361443</v>
      </c>
      <c r="S107" s="788">
        <v>3.7484576147358166</v>
      </c>
      <c r="T107" s="789">
        <v>24.0822913154494</v>
      </c>
      <c r="U107" s="790">
        <v>628.40065542642014</v>
      </c>
      <c r="V107" s="787">
        <f t="shared" si="8"/>
        <v>82.617702935148145</v>
      </c>
      <c r="W107" s="792">
        <f t="shared" si="9"/>
        <v>0.15137464913118434</v>
      </c>
      <c r="AB107" s="704" t="s">
        <v>356</v>
      </c>
      <c r="AC107" s="704" t="s">
        <v>427</v>
      </c>
      <c r="AD107" s="787">
        <v>0</v>
      </c>
      <c r="AE107" s="788">
        <v>143.89847820010567</v>
      </c>
      <c r="AF107" s="788">
        <v>102.36360431171801</v>
      </c>
      <c r="AG107" s="788">
        <v>3.4619528990531219</v>
      </c>
      <c r="AH107" s="788">
        <v>33.313340535121988</v>
      </c>
      <c r="AI107" s="788">
        <v>32.245983942520745</v>
      </c>
      <c r="AJ107" s="788">
        <v>2.9180592081485113</v>
      </c>
      <c r="AK107" s="789">
        <v>18.266618822269987</v>
      </c>
      <c r="AL107" s="790">
        <v>336.46803791893808</v>
      </c>
      <c r="AN107" s="787">
        <v>0</v>
      </c>
      <c r="AO107" s="788">
        <v>168.48160080175506</v>
      </c>
      <c r="AP107" s="788">
        <v>124.45890731944944</v>
      </c>
      <c r="AQ107" s="788">
        <v>3.6708937002904332</v>
      </c>
      <c r="AR107" s="788">
        <v>36.790396734174053</v>
      </c>
      <c r="AS107" s="788">
        <v>36.483543295361443</v>
      </c>
      <c r="AT107" s="788">
        <v>3.7484576147358166</v>
      </c>
      <c r="AU107" s="789">
        <v>24.0822913154494</v>
      </c>
      <c r="AV107" s="790">
        <v>397.71609078121571</v>
      </c>
      <c r="AW107" s="787">
        <f t="shared" si="10"/>
        <v>61.248052862277632</v>
      </c>
      <c r="AX107" s="792">
        <f t="shared" si="11"/>
        <v>0.18203230607310616</v>
      </c>
      <c r="BB107" s="710">
        <f t="shared" si="12"/>
        <v>-209.31491457233392</v>
      </c>
      <c r="BC107" s="710">
        <f t="shared" si="13"/>
        <v>-230.68456464520443</v>
      </c>
    </row>
    <row r="108" spans="1:55" ht="15" x14ac:dyDescent="0.25">
      <c r="A108" s="704" t="s">
        <v>358</v>
      </c>
      <c r="B108" s="704" t="s">
        <v>427</v>
      </c>
      <c r="C108" s="800">
        <v>0</v>
      </c>
      <c r="D108" s="801">
        <v>216.80718047969867</v>
      </c>
      <c r="E108" s="801">
        <v>202.4538188217573</v>
      </c>
      <c r="F108" s="801">
        <v>6.5608332095186546</v>
      </c>
      <c r="G108" s="801">
        <v>49.666217960352647</v>
      </c>
      <c r="H108" s="801">
        <v>59.068928489205327</v>
      </c>
      <c r="I108" s="801">
        <v>6.8294157761675187</v>
      </c>
      <c r="J108" s="802">
        <v>41.896207220047472</v>
      </c>
      <c r="K108" s="803">
        <v>838.01471769668683</v>
      </c>
      <c r="M108" s="800">
        <v>0</v>
      </c>
      <c r="N108" s="801">
        <v>263.96617650622619</v>
      </c>
      <c r="O108" s="801">
        <v>278.94750032688353</v>
      </c>
      <c r="P108" s="801">
        <v>7.0331751283264099</v>
      </c>
      <c r="Q108" s="801">
        <v>55.885062955835885</v>
      </c>
      <c r="R108" s="801">
        <v>76.237149575903757</v>
      </c>
      <c r="S108" s="801">
        <v>8.4532724647713238</v>
      </c>
      <c r="T108" s="802">
        <v>54.200099573629181</v>
      </c>
      <c r="U108" s="803">
        <v>1037.715059073799</v>
      </c>
      <c r="V108" s="816">
        <f t="shared" si="8"/>
        <v>199.70034137711218</v>
      </c>
      <c r="W108" s="817">
        <f t="shared" si="9"/>
        <v>0.23830171136611497</v>
      </c>
      <c r="AB108" s="704" t="s">
        <v>358</v>
      </c>
      <c r="AC108" s="704" t="s">
        <v>427</v>
      </c>
      <c r="AD108" s="800">
        <v>0</v>
      </c>
      <c r="AE108" s="801">
        <v>216.80718047969867</v>
      </c>
      <c r="AF108" s="801">
        <v>202.4538188217573</v>
      </c>
      <c r="AG108" s="801">
        <v>6.5608332095186546</v>
      </c>
      <c r="AH108" s="801">
        <v>49.666217960352647</v>
      </c>
      <c r="AI108" s="801">
        <v>59.068928489205327</v>
      </c>
      <c r="AJ108" s="801">
        <v>6.8294157761675187</v>
      </c>
      <c r="AK108" s="802">
        <v>41.896207220047472</v>
      </c>
      <c r="AL108" s="803">
        <v>583.2826019567475</v>
      </c>
      <c r="AN108" s="800">
        <v>0</v>
      </c>
      <c r="AO108" s="801">
        <v>263.96617650622619</v>
      </c>
      <c r="AP108" s="801">
        <v>278.94750032688353</v>
      </c>
      <c r="AQ108" s="801">
        <v>7.0331751283264099</v>
      </c>
      <c r="AR108" s="801">
        <v>55.885062955835885</v>
      </c>
      <c r="AS108" s="801">
        <v>76.237149575903757</v>
      </c>
      <c r="AT108" s="801">
        <v>8.4532724647713238</v>
      </c>
      <c r="AU108" s="802">
        <v>54.200099573629181</v>
      </c>
      <c r="AV108" s="803">
        <v>744.72243653157636</v>
      </c>
      <c r="AW108" s="816">
        <f t="shared" si="10"/>
        <v>161.43983457482886</v>
      </c>
      <c r="AX108" s="817">
        <f t="shared" si="11"/>
        <v>0.27677807298425167</v>
      </c>
      <c r="BB108" s="710">
        <f t="shared" si="12"/>
        <v>-254.73211573993933</v>
      </c>
      <c r="BC108" s="710">
        <f t="shared" si="13"/>
        <v>-292.99262254222265</v>
      </c>
    </row>
    <row r="109" spans="1:55" ht="15.75" thickBot="1" x14ac:dyDescent="0.3">
      <c r="A109" s="806"/>
      <c r="B109" s="806"/>
      <c r="C109" s="807"/>
      <c r="D109" s="807"/>
      <c r="E109" s="807"/>
      <c r="F109" s="807"/>
      <c r="G109" s="807"/>
      <c r="H109" s="807"/>
      <c r="I109" s="807"/>
      <c r="J109" s="807"/>
      <c r="K109" s="808">
        <v>111310.47243117407</v>
      </c>
      <c r="M109" s="807"/>
      <c r="N109" s="807"/>
      <c r="O109" s="807"/>
      <c r="P109" s="807"/>
      <c r="Q109" s="807"/>
      <c r="R109" s="807"/>
      <c r="S109" s="807"/>
      <c r="T109" s="807"/>
      <c r="U109" s="809">
        <v>123269.82180970394</v>
      </c>
      <c r="V109" s="818">
        <f t="shared" si="8"/>
        <v>11959.349378529863</v>
      </c>
      <c r="W109" s="819">
        <f t="shared" si="9"/>
        <v>0.10744136753102558</v>
      </c>
      <c r="AB109" s="806"/>
      <c r="AC109" s="806"/>
      <c r="AD109" s="807"/>
      <c r="AE109" s="807"/>
      <c r="AF109" s="807"/>
      <c r="AG109" s="807"/>
      <c r="AH109" s="807"/>
      <c r="AI109" s="807"/>
      <c r="AJ109" s="807"/>
      <c r="AK109" s="807"/>
      <c r="AL109" s="808">
        <v>78664.19983108688</v>
      </c>
      <c r="AN109" s="807"/>
      <c r="AO109" s="807"/>
      <c r="AP109" s="807"/>
      <c r="AQ109" s="807"/>
      <c r="AR109" s="807"/>
      <c r="AS109" s="807"/>
      <c r="AT109" s="807"/>
      <c r="AU109" s="807"/>
      <c r="AV109" s="809">
        <v>101719.42137211557</v>
      </c>
      <c r="AW109" s="818">
        <f t="shared" si="10"/>
        <v>23055.221541028688</v>
      </c>
      <c r="AX109" s="819">
        <f t="shared" si="11"/>
        <v>0.29308404065044108</v>
      </c>
      <c r="BB109" s="710">
        <f t="shared" si="12"/>
        <v>-32646.272600087192</v>
      </c>
      <c r="BC109" s="710">
        <f t="shared" si="13"/>
        <v>-21550.400437588367</v>
      </c>
    </row>
  </sheetData>
  <mergeCells count="23">
    <mergeCell ref="AW4:AX4"/>
    <mergeCell ref="A1:U1"/>
    <mergeCell ref="AB1:AV1"/>
    <mergeCell ref="BA1:BD1"/>
    <mergeCell ref="A2:U2"/>
    <mergeCell ref="AB2:AV2"/>
    <mergeCell ref="A3:U3"/>
    <mergeCell ref="AB3:AV3"/>
    <mergeCell ref="C4:K4"/>
    <mergeCell ref="M4:U4"/>
    <mergeCell ref="V4:W4"/>
    <mergeCell ref="AD4:AL4"/>
    <mergeCell ref="AN4:AV4"/>
    <mergeCell ref="AW59:AX59"/>
    <mergeCell ref="A57:U57"/>
    <mergeCell ref="AB57:AV57"/>
    <mergeCell ref="A58:U58"/>
    <mergeCell ref="AB58:AV58"/>
    <mergeCell ref="C59:K59"/>
    <mergeCell ref="M59:U59"/>
    <mergeCell ref="V59:W59"/>
    <mergeCell ref="AD59:AL59"/>
    <mergeCell ref="AN59:AV5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63BE64BA5858418DBD3068D086F988" ma:contentTypeVersion="1" ma:contentTypeDescription="Create a new document." ma:contentTypeScope="" ma:versionID="b581819481f082e358f4e179e5c2e0aa">
  <xsd:schema xmlns:xsd="http://www.w3.org/2001/XMLSchema" xmlns:xs="http://www.w3.org/2001/XMLSchema" xmlns:p="http://schemas.microsoft.com/office/2006/metadata/properties" xmlns:ns2="6ec60af1-6d1e-4575-bf73-1b6e791fcd10" targetNamespace="http://schemas.microsoft.com/office/2006/metadata/properties" ma:root="true" ma:fieldsID="d8569b85fa5f7fc40d4b9b6d7d86b682" ns2:_=""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87D4CB-0914-40BC-B5E5-2A428ADA59E1}"/>
</file>

<file path=customXml/itemProps2.xml><?xml version="1.0" encoding="utf-8"?>
<ds:datastoreItem xmlns:ds="http://schemas.openxmlformats.org/officeDocument/2006/customXml" ds:itemID="{0DD77DA5-D59D-4AC5-B65D-8C75C8937036}"/>
</file>

<file path=customXml/itemProps3.xml><?xml version="1.0" encoding="utf-8"?>
<ds:datastoreItem xmlns:ds="http://schemas.openxmlformats.org/officeDocument/2006/customXml" ds:itemID="{47C3D945-66C4-4166-8B5A-48F6B11FC8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PV Summary 7%</vt:lpstr>
      <vt:lpstr>7% Discounting</vt:lpstr>
      <vt:lpstr>Matrix</vt:lpstr>
      <vt:lpstr>Inputs Worksheet</vt:lpstr>
      <vt:lpstr>Cost_4</vt:lpstr>
      <vt:lpstr>VHD Savings</vt:lpstr>
      <vt:lpstr>Modeled Travel Times</vt:lpstr>
      <vt:lpstr>Traffic Count Data</vt:lpstr>
      <vt:lpstr>'Modeled Travel Times'!_Toc74912370</vt:lpstr>
      <vt:lpstr>'Modeled Travel Times'!_Toc75174211</vt:lpstr>
      <vt:lpstr>'Inputs Worksheet'!Print_Area</vt:lpstr>
    </vt:vector>
  </TitlesOfParts>
  <Company>ODOT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odot26k</dc:creator>
  <cp:lastModifiedBy>ROGERS Evan</cp:lastModifiedBy>
  <cp:lastPrinted>2020-02-21T22:16:19Z</cp:lastPrinted>
  <dcterms:created xsi:type="dcterms:W3CDTF">2010-08-12T22:43:51Z</dcterms:created>
  <dcterms:modified xsi:type="dcterms:W3CDTF">2022-05-19T22:33:53Z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0x0101008363BE64BA5858418DBD3068D086F988</vt:lpwstr>
  </property>
</Properties>
</file>