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9.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pdotfill10\R_VMP10_USERSENG\hwye63e\PROJECTS\Standards\BridgeDecks\"/>
    </mc:Choice>
  </mc:AlternateContent>
  <bookViews>
    <workbookView xWindow="855" yWindow="15" windowWidth="22020" windowHeight="11625" tabRatio="722" activeTab="2"/>
  </bookViews>
  <sheets>
    <sheet name="Info" sheetId="11" r:id="rId1"/>
    <sheet name="Concr-str gr60" sheetId="4" r:id="rId2"/>
    <sheet name="Conc-ser gr60" sheetId="9" r:id="rId3"/>
    <sheet name="Conc-str gr80 mod" sheetId="10" r:id="rId4"/>
    <sheet name="Conc-ser gr80 " sheetId="8" r:id="rId5"/>
    <sheet name="Conc-str gr80" sheetId="7" r:id="rId6"/>
    <sheet name="Stl-Str gr60" sheetId="5" r:id="rId7"/>
    <sheet name="Stl-ser gr60" sheetId="12" r:id="rId8"/>
    <sheet name="Stl-Str gr80" sheetId="14" r:id="rId9"/>
    <sheet name="Stl-ser gr80" sheetId="13" r:id="rId10"/>
    <sheet name="Table A4_1" sheetId="6" r:id="rId11"/>
  </sheets>
  <externalReferences>
    <externalReference r:id="rId12"/>
  </externalReferences>
  <definedNames>
    <definedName name="_xlnm.Print_Area" localSheetId="1">'Concr-str gr60'!$AN$1:$AU$48</definedName>
    <definedName name="_xlnm.Print_Area" localSheetId="2">'Conc-ser gr60'!$BE$1:$BU$33</definedName>
    <definedName name="_xlnm.Print_Area" localSheetId="4">'Conc-ser gr80 '!$BE$1:$BU$33</definedName>
    <definedName name="_xlnm.Print_Area" localSheetId="5">'Conc-str gr80'!$AN$1:$AU$48</definedName>
    <definedName name="_xlnm.Print_Area" localSheetId="3">'Conc-str gr80 mod'!$AN$1:$AU$48</definedName>
    <definedName name="_xlnm.Print_Area" localSheetId="7">'Stl-ser gr60'!$AE$1:$AZ$45</definedName>
    <definedName name="_xlnm.Print_Area" localSheetId="9">'Stl-ser gr80'!$AE$1:$AZ$45</definedName>
    <definedName name="_xlnm.Print_Area" localSheetId="6">'Stl-Str gr60'!$AP$1:$AW$65</definedName>
    <definedName name="_xlnm.Print_Area" localSheetId="8">'Stl-Str gr80'!$AP$1:$AW$65</definedName>
  </definedNames>
  <calcPr calcId="162913"/>
</workbook>
</file>

<file path=xl/calcChain.xml><?xml version="1.0" encoding="utf-8"?>
<calcChain xmlns="http://schemas.openxmlformats.org/spreadsheetml/2006/main">
  <c r="AB5" i="9" l="1"/>
  <c r="Q9" i="4"/>
  <c r="Q37" i="4"/>
  <c r="Q36" i="4"/>
  <c r="Q35" i="4"/>
  <c r="Q34" i="4"/>
  <c r="Q33" i="4"/>
  <c r="Q32" i="4"/>
  <c r="Q31" i="4"/>
  <c r="Q30" i="4"/>
  <c r="Q29" i="4"/>
  <c r="Q28" i="4"/>
  <c r="Q27" i="4"/>
  <c r="Q26" i="4"/>
  <c r="Q25" i="4"/>
  <c r="Q24" i="4"/>
  <c r="Q23" i="4"/>
  <c r="Q22" i="4"/>
  <c r="Q21" i="4"/>
  <c r="Q20" i="4"/>
  <c r="Q19" i="4"/>
  <c r="Q18" i="4"/>
  <c r="Q17" i="4"/>
  <c r="Q16" i="4"/>
  <c r="Q15" i="4"/>
  <c r="Q14" i="4"/>
  <c r="Q13" i="4"/>
  <c r="Q12" i="4"/>
  <c r="Q11" i="4"/>
  <c r="Q10" i="4"/>
  <c r="Q8" i="4"/>
  <c r="Q7" i="4"/>
  <c r="P7" i="4"/>
  <c r="AI7" i="10"/>
  <c r="AI8" i="10"/>
  <c r="AI9" i="10"/>
  <c r="AI10" i="10"/>
  <c r="AI11" i="10"/>
  <c r="AI12" i="10"/>
  <c r="AI13" i="10"/>
  <c r="AI14" i="10"/>
  <c r="AI15" i="10"/>
  <c r="AI16" i="10"/>
  <c r="AI17" i="10"/>
  <c r="AI18" i="10"/>
  <c r="AI19" i="10"/>
  <c r="AI20" i="10"/>
  <c r="AI21" i="10"/>
  <c r="AI22" i="10"/>
  <c r="AI23" i="10"/>
  <c r="AI24" i="10"/>
  <c r="AI25" i="10"/>
  <c r="AI26" i="10"/>
  <c r="AI27" i="10"/>
  <c r="AI28" i="10"/>
  <c r="AI29" i="10"/>
  <c r="AI30" i="10"/>
  <c r="AI31" i="10"/>
  <c r="AI32" i="10"/>
  <c r="AI33" i="10"/>
  <c r="AI34" i="10"/>
  <c r="AI35" i="10"/>
  <c r="AI36" i="10"/>
  <c r="AI37" i="10"/>
  <c r="AV7" i="14" l="1"/>
  <c r="AW7" i="14"/>
  <c r="AV8" i="14"/>
  <c r="AW8" i="14"/>
  <c r="AV9" i="14"/>
  <c r="AW9" i="14"/>
  <c r="AV10" i="14"/>
  <c r="AW10" i="14"/>
  <c r="AV11" i="14"/>
  <c r="AW11" i="14"/>
  <c r="AV12" i="14"/>
  <c r="AW12" i="14"/>
  <c r="AV13" i="14"/>
  <c r="AW13" i="14"/>
  <c r="AV14" i="14"/>
  <c r="AW14" i="14"/>
  <c r="AV15" i="14"/>
  <c r="AW15" i="14"/>
  <c r="AV16" i="14"/>
  <c r="AW16" i="14"/>
  <c r="AV17" i="14"/>
  <c r="AW17" i="14"/>
  <c r="AV18" i="14"/>
  <c r="AW18" i="14"/>
  <c r="AV19" i="14"/>
  <c r="AW19" i="14"/>
  <c r="AV20" i="14"/>
  <c r="AW20" i="14"/>
  <c r="AV21" i="14"/>
  <c r="AW21" i="14"/>
  <c r="AV22" i="14"/>
  <c r="AW22" i="14"/>
  <c r="AV35" i="14"/>
  <c r="AW35" i="14"/>
  <c r="AV36" i="14"/>
  <c r="AW36" i="14"/>
  <c r="AV37" i="14"/>
  <c r="AW37" i="14"/>
  <c r="AV38" i="14"/>
  <c r="AW38" i="14"/>
  <c r="AV39" i="14"/>
  <c r="AW39" i="14"/>
  <c r="AV40" i="14"/>
  <c r="AW40" i="14"/>
  <c r="AV41" i="14"/>
  <c r="AW41" i="14"/>
  <c r="AV42" i="14"/>
  <c r="AW42" i="14"/>
  <c r="AV43" i="14"/>
  <c r="AW43" i="14"/>
  <c r="AV44" i="14"/>
  <c r="AW44" i="14"/>
  <c r="AV45" i="14"/>
  <c r="AW45" i="14"/>
  <c r="AV46" i="14"/>
  <c r="AW46" i="14"/>
  <c r="AW6" i="14"/>
  <c r="AV6" i="14"/>
  <c r="AW7" i="5"/>
  <c r="AW8" i="5"/>
  <c r="AW9" i="5"/>
  <c r="AW10" i="5"/>
  <c r="AW11" i="5"/>
  <c r="AW12" i="5"/>
  <c r="AW13" i="5"/>
  <c r="AW14" i="5"/>
  <c r="AW15" i="5"/>
  <c r="AW16" i="5"/>
  <c r="AW18" i="5"/>
  <c r="AW19" i="5"/>
  <c r="AW20" i="5"/>
  <c r="AW21" i="5"/>
  <c r="AW22" i="5"/>
  <c r="AW23" i="5"/>
  <c r="AW24" i="5"/>
  <c r="AW25" i="5"/>
  <c r="AW26" i="5"/>
  <c r="AW27" i="5"/>
  <c r="AW28" i="5"/>
  <c r="AW29" i="5"/>
  <c r="AW30" i="5"/>
  <c r="AW31" i="5"/>
  <c r="AW32" i="5"/>
  <c r="AW33" i="5"/>
  <c r="AW34" i="5"/>
  <c r="AW35" i="5"/>
  <c r="AW36" i="5"/>
  <c r="AW37" i="5"/>
  <c r="AW38" i="5"/>
  <c r="AW39" i="5"/>
  <c r="AW40" i="5"/>
  <c r="AW41" i="5"/>
  <c r="AW42" i="5"/>
  <c r="AW43" i="5"/>
  <c r="AW44" i="5"/>
  <c r="AW45" i="5"/>
  <c r="AW46" i="5"/>
  <c r="AW6" i="5"/>
  <c r="AV7" i="5"/>
  <c r="AV8" i="5"/>
  <c r="AV9" i="5"/>
  <c r="AV10" i="5"/>
  <c r="AV11" i="5"/>
  <c r="AV12" i="5"/>
  <c r="AV13" i="5"/>
  <c r="AV14" i="5"/>
  <c r="AV15" i="5"/>
  <c r="AV16" i="5"/>
  <c r="AV18" i="5"/>
  <c r="AV19" i="5"/>
  <c r="AV20" i="5"/>
  <c r="AV21" i="5"/>
  <c r="AV22" i="5"/>
  <c r="AV23" i="5"/>
  <c r="AV24" i="5"/>
  <c r="AV25" i="5"/>
  <c r="AV26" i="5"/>
  <c r="AV27" i="5"/>
  <c r="AV28" i="5"/>
  <c r="AV29" i="5"/>
  <c r="AV30" i="5"/>
  <c r="AV31" i="5"/>
  <c r="AV32" i="5"/>
  <c r="AV33" i="5"/>
  <c r="AV34" i="5"/>
  <c r="AV35" i="5"/>
  <c r="AV36" i="5"/>
  <c r="AV37" i="5"/>
  <c r="AV38" i="5"/>
  <c r="AV39" i="5"/>
  <c r="AV40" i="5"/>
  <c r="AV41" i="5"/>
  <c r="AV42" i="5"/>
  <c r="AV43" i="5"/>
  <c r="AV44" i="5"/>
  <c r="AV45" i="5"/>
  <c r="AV46" i="5"/>
  <c r="AV6" i="5"/>
  <c r="BA5" i="9"/>
  <c r="W10" i="6" l="1"/>
  <c r="W11" i="6"/>
  <c r="W12" i="6"/>
  <c r="W13" i="6"/>
  <c r="W14" i="6"/>
  <c r="W15" i="6"/>
  <c r="W16" i="6"/>
  <c r="W17" i="6"/>
  <c r="W18" i="6"/>
  <c r="W19" i="6"/>
  <c r="W20" i="6"/>
  <c r="W21" i="6"/>
  <c r="W22" i="6"/>
  <c r="W23" i="6"/>
  <c r="W24" i="6"/>
  <c r="W25" i="6"/>
  <c r="W26" i="6"/>
  <c r="W27" i="6"/>
  <c r="W28" i="6"/>
  <c r="W29" i="6"/>
  <c r="W30" i="6"/>
  <c r="W31" i="6"/>
  <c r="W32" i="6"/>
  <c r="W33" i="6"/>
  <c r="W34" i="6"/>
  <c r="W35" i="6"/>
  <c r="W36" i="6"/>
  <c r="W37" i="6"/>
  <c r="W38" i="6"/>
  <c r="W39" i="6"/>
  <c r="W40" i="6"/>
  <c r="W41" i="6"/>
  <c r="W42" i="6"/>
  <c r="W43" i="6"/>
  <c r="W44" i="6"/>
  <c r="W45" i="6"/>
  <c r="W46" i="6"/>
  <c r="W47" i="6"/>
  <c r="W48" i="6"/>
  <c r="W49" i="6"/>
  <c r="W9" i="6"/>
  <c r="L4" i="6"/>
  <c r="AK31" i="14" l="1"/>
  <c r="AK32" i="14"/>
  <c r="AK33" i="14"/>
  <c r="AK34" i="14"/>
  <c r="AK35" i="14"/>
  <c r="AK36" i="14"/>
  <c r="AK37" i="14"/>
  <c r="AK38" i="14"/>
  <c r="AK39" i="14"/>
  <c r="AK40" i="14"/>
  <c r="AK41" i="14"/>
  <c r="AK42" i="14"/>
  <c r="AK43" i="14"/>
  <c r="AK44" i="14"/>
  <c r="AK45" i="14"/>
  <c r="AK46" i="14"/>
  <c r="AK30" i="14"/>
  <c r="AK7" i="14"/>
  <c r="AK8" i="14"/>
  <c r="AK9" i="14"/>
  <c r="AK10" i="14"/>
  <c r="AK11" i="14"/>
  <c r="AK12" i="14"/>
  <c r="AK13" i="14"/>
  <c r="AK14" i="14"/>
  <c r="AK15" i="14"/>
  <c r="AK16" i="14"/>
  <c r="AK17" i="14"/>
  <c r="AK18" i="14"/>
  <c r="AK19" i="14"/>
  <c r="AK20" i="14"/>
  <c r="AK21" i="14"/>
  <c r="AK22" i="14"/>
  <c r="AK23" i="14"/>
  <c r="AK24" i="14"/>
  <c r="AK25" i="14"/>
  <c r="AK26" i="14"/>
  <c r="AK27" i="14"/>
  <c r="AK28" i="14"/>
  <c r="AK29" i="14"/>
  <c r="AK6" i="14"/>
  <c r="AK22" i="5"/>
  <c r="AK23" i="5"/>
  <c r="AK24" i="5"/>
  <c r="AK25" i="5"/>
  <c r="AK26" i="5"/>
  <c r="AK27" i="5"/>
  <c r="AK28" i="5"/>
  <c r="AK29" i="5"/>
  <c r="AK30" i="5"/>
  <c r="AK31" i="5"/>
  <c r="AK32" i="5"/>
  <c r="AK33" i="5"/>
  <c r="AK34" i="5"/>
  <c r="AK35" i="5"/>
  <c r="AK36" i="5"/>
  <c r="AK37" i="5"/>
  <c r="AK38" i="5"/>
  <c r="AK39" i="5"/>
  <c r="AK40" i="5"/>
  <c r="AK41" i="5"/>
  <c r="AK42" i="5"/>
  <c r="AK43" i="5"/>
  <c r="AK44" i="5"/>
  <c r="AK45" i="5"/>
  <c r="AK46" i="5"/>
  <c r="AK21" i="5"/>
  <c r="AK7" i="5"/>
  <c r="AK8" i="5"/>
  <c r="AK9" i="5"/>
  <c r="AK10" i="5"/>
  <c r="AK11" i="5"/>
  <c r="AK12" i="5"/>
  <c r="AK13" i="5"/>
  <c r="AK14" i="5"/>
  <c r="AK15" i="5"/>
  <c r="AK16" i="5"/>
  <c r="AK17" i="5"/>
  <c r="AK18" i="5"/>
  <c r="AK19" i="5"/>
  <c r="AK20" i="5"/>
  <c r="AK6" i="5"/>
  <c r="N7" i="14"/>
  <c r="O7" i="14"/>
  <c r="N8" i="14"/>
  <c r="O8" i="14"/>
  <c r="N9" i="14"/>
  <c r="O9" i="14"/>
  <c r="N10" i="14"/>
  <c r="O10" i="14"/>
  <c r="N11" i="14"/>
  <c r="O11" i="14"/>
  <c r="N12" i="14"/>
  <c r="O12" i="14"/>
  <c r="N13" i="14"/>
  <c r="O13" i="14"/>
  <c r="N14" i="14"/>
  <c r="O14" i="14"/>
  <c r="N15" i="14"/>
  <c r="O15" i="14"/>
  <c r="N16" i="14"/>
  <c r="O16" i="14"/>
  <c r="N17" i="14"/>
  <c r="O17" i="14"/>
  <c r="N18" i="14"/>
  <c r="O18" i="14"/>
  <c r="N19" i="14"/>
  <c r="O19" i="14"/>
  <c r="N20" i="14"/>
  <c r="O20" i="14"/>
  <c r="N21" i="14"/>
  <c r="O21" i="14"/>
  <c r="N22" i="14"/>
  <c r="O22" i="14"/>
  <c r="N23" i="14"/>
  <c r="O23" i="14"/>
  <c r="N24" i="14"/>
  <c r="O24" i="14"/>
  <c r="Q25" i="14"/>
  <c r="N30" i="14"/>
  <c r="O30" i="14"/>
  <c r="N31" i="14"/>
  <c r="P31" i="14" s="1"/>
  <c r="O31" i="14"/>
  <c r="N32" i="14"/>
  <c r="O32" i="14"/>
  <c r="N33" i="14"/>
  <c r="P33" i="14" s="1"/>
  <c r="O33" i="14"/>
  <c r="N34" i="14"/>
  <c r="O34" i="14"/>
  <c r="N35" i="14"/>
  <c r="O35" i="14"/>
  <c r="N36" i="14"/>
  <c r="O36" i="14"/>
  <c r="N37" i="14"/>
  <c r="O37" i="14"/>
  <c r="N38" i="14"/>
  <c r="O38" i="14"/>
  <c r="N39" i="14"/>
  <c r="O39" i="14"/>
  <c r="N40" i="14"/>
  <c r="O40" i="14"/>
  <c r="N41" i="14"/>
  <c r="O41" i="14"/>
  <c r="N42" i="14"/>
  <c r="O42" i="14"/>
  <c r="N43" i="14"/>
  <c r="O43" i="14"/>
  <c r="N44" i="14"/>
  <c r="O44" i="14"/>
  <c r="N45" i="14"/>
  <c r="O45" i="14"/>
  <c r="N46" i="14"/>
  <c r="O46" i="14"/>
  <c r="O6" i="14"/>
  <c r="N6" i="14"/>
  <c r="BI33" i="13"/>
  <c r="BC34" i="13"/>
  <c r="R35" i="13"/>
  <c r="BI36" i="13"/>
  <c r="L7" i="14"/>
  <c r="M7" i="14"/>
  <c r="L8" i="14"/>
  <c r="M8" i="14"/>
  <c r="L9" i="14"/>
  <c r="M9" i="14"/>
  <c r="L10" i="14"/>
  <c r="M10" i="14"/>
  <c r="L11" i="14"/>
  <c r="M11" i="14"/>
  <c r="L12" i="14"/>
  <c r="M12" i="14"/>
  <c r="AN12" i="14" s="1"/>
  <c r="L13" i="14"/>
  <c r="M13" i="14"/>
  <c r="L14" i="14"/>
  <c r="AR14" i="14" s="1"/>
  <c r="M14" i="14"/>
  <c r="L15" i="14"/>
  <c r="M15" i="14"/>
  <c r="L16" i="14"/>
  <c r="M16" i="14"/>
  <c r="L17" i="14"/>
  <c r="M17" i="14"/>
  <c r="L18" i="14"/>
  <c r="M18" i="14"/>
  <c r="AN18" i="14" s="1"/>
  <c r="L19" i="14"/>
  <c r="M19" i="14"/>
  <c r="L20" i="14"/>
  <c r="M20" i="14"/>
  <c r="L21" i="14"/>
  <c r="M21" i="14"/>
  <c r="L22" i="14"/>
  <c r="AN22" i="14" s="1"/>
  <c r="M22" i="14"/>
  <c r="L23" i="14"/>
  <c r="AR23" i="14" s="1"/>
  <c r="M23" i="14"/>
  <c r="L24" i="14"/>
  <c r="M24" i="14"/>
  <c r="AR24" i="14" s="1"/>
  <c r="P27" i="14"/>
  <c r="AR28" i="14"/>
  <c r="L30" i="14"/>
  <c r="M30" i="14"/>
  <c r="L31" i="14"/>
  <c r="M31" i="14"/>
  <c r="L32" i="14"/>
  <c r="M32" i="14"/>
  <c r="L33" i="14"/>
  <c r="AR33" i="14" s="1"/>
  <c r="M33" i="14"/>
  <c r="L34" i="14"/>
  <c r="M34" i="14"/>
  <c r="L35" i="14"/>
  <c r="M35" i="14"/>
  <c r="L36" i="14"/>
  <c r="M36" i="14"/>
  <c r="AR36" i="14" s="1"/>
  <c r="L37" i="14"/>
  <c r="M37" i="14"/>
  <c r="AN37" i="14" s="1"/>
  <c r="L38" i="14"/>
  <c r="M38" i="14"/>
  <c r="L39" i="14"/>
  <c r="M39" i="14"/>
  <c r="L40" i="14"/>
  <c r="M40" i="14"/>
  <c r="L41" i="14"/>
  <c r="M41" i="14"/>
  <c r="L42" i="14"/>
  <c r="M42" i="14"/>
  <c r="L43" i="14"/>
  <c r="M43" i="14"/>
  <c r="L44" i="14"/>
  <c r="M44" i="14"/>
  <c r="L45" i="14"/>
  <c r="M45" i="14"/>
  <c r="P45" i="14" s="1"/>
  <c r="L46" i="14"/>
  <c r="AR46" i="14" s="1"/>
  <c r="M46" i="14"/>
  <c r="M6" i="14"/>
  <c r="AR6" i="14" s="1"/>
  <c r="L6" i="14"/>
  <c r="BD22" i="13"/>
  <c r="AG23" i="13"/>
  <c r="AJ6" i="13"/>
  <c r="AJ7" i="13"/>
  <c r="AJ8" i="13"/>
  <c r="AJ9" i="13"/>
  <c r="AJ10" i="13"/>
  <c r="AJ11" i="13"/>
  <c r="AJ12" i="13"/>
  <c r="AJ13" i="13"/>
  <c r="AJ14" i="13"/>
  <c r="AJ15" i="13"/>
  <c r="AJ16" i="13"/>
  <c r="AJ17" i="13"/>
  <c r="AJ18" i="13"/>
  <c r="AJ19" i="13"/>
  <c r="AJ20" i="13"/>
  <c r="AJ21" i="13"/>
  <c r="AJ22" i="13"/>
  <c r="AJ23" i="13"/>
  <c r="AJ24" i="13"/>
  <c r="AJ25" i="13"/>
  <c r="AJ26" i="13"/>
  <c r="AJ27" i="13"/>
  <c r="AJ28" i="13"/>
  <c r="AJ29" i="13"/>
  <c r="AK29" i="13" s="1"/>
  <c r="AL29" i="13" s="1"/>
  <c r="AJ30" i="13"/>
  <c r="AJ31" i="13"/>
  <c r="AJ32" i="13"/>
  <c r="AJ33" i="13"/>
  <c r="AJ34" i="13"/>
  <c r="AJ35" i="13"/>
  <c r="AJ36" i="13"/>
  <c r="AJ37" i="13"/>
  <c r="AJ38" i="13"/>
  <c r="AJ39" i="13"/>
  <c r="AJ40" i="13"/>
  <c r="AJ41" i="13"/>
  <c r="AJ42" i="13"/>
  <c r="AJ43" i="13"/>
  <c r="AJ44" i="13"/>
  <c r="AJ45" i="13"/>
  <c r="AJ5" i="13"/>
  <c r="AC6" i="13"/>
  <c r="AC7" i="13"/>
  <c r="AC8" i="13"/>
  <c r="AC9" i="13"/>
  <c r="AC10" i="13"/>
  <c r="AC11" i="13"/>
  <c r="AC12" i="13"/>
  <c r="AC13" i="13"/>
  <c r="AC14" i="13"/>
  <c r="AC15" i="13"/>
  <c r="AC16" i="13"/>
  <c r="AC17" i="13"/>
  <c r="AC18" i="13"/>
  <c r="AC19" i="13"/>
  <c r="AC20" i="13"/>
  <c r="AC21" i="13"/>
  <c r="AC22" i="13"/>
  <c r="AC23" i="13"/>
  <c r="AC24" i="13"/>
  <c r="AC25" i="13"/>
  <c r="AC26" i="13"/>
  <c r="AC27" i="13"/>
  <c r="AC28" i="13"/>
  <c r="AC29" i="13"/>
  <c r="AC30" i="13"/>
  <c r="AC31" i="13"/>
  <c r="AC32" i="13"/>
  <c r="AC33" i="13"/>
  <c r="AC34" i="13"/>
  <c r="AC35" i="13"/>
  <c r="AC36" i="13"/>
  <c r="AC37" i="13"/>
  <c r="AC38" i="13"/>
  <c r="AC39" i="13"/>
  <c r="AC40" i="13"/>
  <c r="AC41" i="13"/>
  <c r="AC42" i="13"/>
  <c r="AC43" i="13"/>
  <c r="AC44" i="13"/>
  <c r="AC45" i="13"/>
  <c r="AC5" i="13"/>
  <c r="AP46" i="14"/>
  <c r="AJ46" i="14"/>
  <c r="AS46" i="14" s="1"/>
  <c r="AB46" i="14"/>
  <c r="G46" i="14"/>
  <c r="F46" i="14"/>
  <c r="AQ46" i="14"/>
  <c r="AP45" i="14"/>
  <c r="AJ45" i="14"/>
  <c r="AS45" i="14" s="1"/>
  <c r="AB45" i="14"/>
  <c r="AN45" i="14"/>
  <c r="G45" i="14"/>
  <c r="F45" i="14"/>
  <c r="AC45" i="14"/>
  <c r="AP44" i="14"/>
  <c r="AJ44" i="14"/>
  <c r="AS44" i="14" s="1"/>
  <c r="AB44" i="14"/>
  <c r="G44" i="14"/>
  <c r="F44" i="14"/>
  <c r="AC44" i="14"/>
  <c r="AP43" i="14"/>
  <c r="AN43" i="14"/>
  <c r="AJ43" i="14"/>
  <c r="AS43" i="14" s="1"/>
  <c r="AB43" i="14"/>
  <c r="G43" i="14"/>
  <c r="F43" i="14"/>
  <c r="AC43" i="14"/>
  <c r="AP42" i="14"/>
  <c r="AJ42" i="14"/>
  <c r="AS42" i="14" s="1"/>
  <c r="AB42" i="14"/>
  <c r="G42" i="14"/>
  <c r="F42" i="14"/>
  <c r="AC42" i="14"/>
  <c r="AP41" i="14"/>
  <c r="AJ41" i="14"/>
  <c r="AS41" i="14" s="1"/>
  <c r="AB41" i="14"/>
  <c r="G41" i="14"/>
  <c r="F41" i="14"/>
  <c r="R41" i="14"/>
  <c r="AP40" i="14"/>
  <c r="AJ40" i="14"/>
  <c r="AS40" i="14" s="1"/>
  <c r="AB40" i="14"/>
  <c r="G40" i="14"/>
  <c r="F40" i="14"/>
  <c r="AC40" i="14"/>
  <c r="AP39" i="14"/>
  <c r="AJ39" i="14"/>
  <c r="AS39" i="14" s="1"/>
  <c r="AB39" i="14"/>
  <c r="AN39" i="14"/>
  <c r="G39" i="14"/>
  <c r="F39" i="14"/>
  <c r="C39" i="14"/>
  <c r="AP38" i="14"/>
  <c r="AJ38" i="14"/>
  <c r="AS38" i="14" s="1"/>
  <c r="AB38" i="14"/>
  <c r="G38" i="14"/>
  <c r="F38" i="14"/>
  <c r="AC38" i="14"/>
  <c r="AP37" i="14"/>
  <c r="AJ37" i="14"/>
  <c r="AS37" i="14" s="1"/>
  <c r="AB37" i="14"/>
  <c r="G37" i="14"/>
  <c r="F37" i="14"/>
  <c r="C37" i="14"/>
  <c r="E37" i="14" s="1"/>
  <c r="K37" i="14" s="1"/>
  <c r="AE37" i="14" s="1"/>
  <c r="AU37" i="14" s="1"/>
  <c r="AP36" i="14"/>
  <c r="AJ36" i="14"/>
  <c r="AS36" i="14" s="1"/>
  <c r="AB36" i="14"/>
  <c r="G36" i="14"/>
  <c r="F36" i="14"/>
  <c r="R36" i="14"/>
  <c r="AP35" i="14"/>
  <c r="AJ35" i="14"/>
  <c r="AS35" i="14" s="1"/>
  <c r="AB35" i="14"/>
  <c r="P35" i="14"/>
  <c r="G35" i="14"/>
  <c r="F35" i="14"/>
  <c r="AS34" i="14"/>
  <c r="AP34" i="14"/>
  <c r="AJ34" i="14"/>
  <c r="AB34" i="14"/>
  <c r="G34" i="14"/>
  <c r="F34" i="14"/>
  <c r="AC34" i="14"/>
  <c r="AP33" i="14"/>
  <c r="AJ33" i="14"/>
  <c r="AS33" i="14" s="1"/>
  <c r="AB33" i="14"/>
  <c r="G33" i="14"/>
  <c r="F33" i="14"/>
  <c r="AP32" i="14"/>
  <c r="AN32" i="14"/>
  <c r="AJ32" i="14"/>
  <c r="AS32" i="14" s="1"/>
  <c r="AB32" i="14"/>
  <c r="G32" i="14"/>
  <c r="F32" i="14"/>
  <c r="AC32" i="14"/>
  <c r="AP31" i="14"/>
  <c r="AJ31" i="14"/>
  <c r="AS31" i="14" s="1"/>
  <c r="AB31" i="14"/>
  <c r="AR31" i="14"/>
  <c r="G31" i="14"/>
  <c r="F31" i="14"/>
  <c r="AQ31" i="14"/>
  <c r="AP30" i="14"/>
  <c r="AJ30" i="14"/>
  <c r="AS30" i="14" s="1"/>
  <c r="AB30" i="14"/>
  <c r="G30" i="14"/>
  <c r="F30" i="14"/>
  <c r="AP29" i="14"/>
  <c r="AJ29" i="14"/>
  <c r="AS29" i="14" s="1"/>
  <c r="AB29" i="14"/>
  <c r="G29" i="14"/>
  <c r="F29" i="14"/>
  <c r="AC29" i="14"/>
  <c r="AP28" i="14"/>
  <c r="AJ28" i="14"/>
  <c r="AS28" i="14" s="1"/>
  <c r="AB28" i="14"/>
  <c r="G28" i="14"/>
  <c r="F28" i="14"/>
  <c r="AQ28" i="14"/>
  <c r="AP27" i="14"/>
  <c r="AJ27" i="14"/>
  <c r="AS27" i="14" s="1"/>
  <c r="AB27" i="14"/>
  <c r="G27" i="14"/>
  <c r="F27" i="14"/>
  <c r="AP26" i="14"/>
  <c r="AJ26" i="14"/>
  <c r="AS26" i="14" s="1"/>
  <c r="AB26" i="14"/>
  <c r="G26" i="14"/>
  <c r="F26" i="14"/>
  <c r="C26" i="14"/>
  <c r="AP25" i="14"/>
  <c r="AJ25" i="14"/>
  <c r="AS25" i="14" s="1"/>
  <c r="AB25" i="14"/>
  <c r="AR25" i="14"/>
  <c r="G25" i="14"/>
  <c r="F25" i="14"/>
  <c r="AC25" i="14"/>
  <c r="AP24" i="14"/>
  <c r="AJ24" i="14"/>
  <c r="AS24" i="14" s="1"/>
  <c r="AB24" i="14"/>
  <c r="G24" i="14"/>
  <c r="F24" i="14"/>
  <c r="AC24" i="14"/>
  <c r="AP23" i="14"/>
  <c r="AJ23" i="14"/>
  <c r="AS23" i="14" s="1"/>
  <c r="AB23" i="14"/>
  <c r="G23" i="14"/>
  <c r="F23" i="14"/>
  <c r="AC23" i="14"/>
  <c r="AP22" i="14"/>
  <c r="AJ22" i="14"/>
  <c r="AS22" i="14" s="1"/>
  <c r="AB22" i="14"/>
  <c r="AR22" i="14"/>
  <c r="G22" i="14"/>
  <c r="F22" i="14"/>
  <c r="AQ22" i="14"/>
  <c r="AP21" i="14"/>
  <c r="AJ21" i="14"/>
  <c r="AS21" i="14" s="1"/>
  <c r="AC21" i="14"/>
  <c r="AB21" i="14"/>
  <c r="AN21" i="14"/>
  <c r="G21" i="14"/>
  <c r="F21" i="14"/>
  <c r="C21" i="14"/>
  <c r="AR20" i="14"/>
  <c r="AP20" i="14"/>
  <c r="AN20" i="14"/>
  <c r="AJ20" i="14"/>
  <c r="AS20" i="14" s="1"/>
  <c r="AB20" i="14"/>
  <c r="P20" i="14"/>
  <c r="G20" i="14"/>
  <c r="F20" i="14"/>
  <c r="AP19" i="14"/>
  <c r="AJ19" i="14"/>
  <c r="AS19" i="14" s="1"/>
  <c r="AB19" i="14"/>
  <c r="AN19" i="14"/>
  <c r="G19" i="14"/>
  <c r="F19" i="14"/>
  <c r="C19" i="14"/>
  <c r="AP18" i="14"/>
  <c r="AJ18" i="14"/>
  <c r="AS18" i="14" s="1"/>
  <c r="AB18" i="14"/>
  <c r="G18" i="14"/>
  <c r="F18" i="14"/>
  <c r="Q18" i="14"/>
  <c r="AP17" i="14"/>
  <c r="AJ17" i="14"/>
  <c r="AS17" i="14" s="1"/>
  <c r="AB17" i="14"/>
  <c r="G17" i="14"/>
  <c r="F17" i="14"/>
  <c r="AM17" i="14"/>
  <c r="AP16" i="14"/>
  <c r="AJ16" i="14"/>
  <c r="AS16" i="14" s="1"/>
  <c r="AB16" i="14"/>
  <c r="AN16" i="14"/>
  <c r="G16" i="14"/>
  <c r="F16" i="14"/>
  <c r="AQ16" i="14"/>
  <c r="AP15" i="14"/>
  <c r="AJ15" i="14"/>
  <c r="AS15" i="14" s="1"/>
  <c r="AB15" i="14"/>
  <c r="P15" i="14"/>
  <c r="AR15" i="14"/>
  <c r="G15" i="14"/>
  <c r="F15" i="14"/>
  <c r="AC15" i="14"/>
  <c r="AP14" i="14"/>
  <c r="AJ14" i="14"/>
  <c r="AS14" i="14" s="1"/>
  <c r="AB14" i="14"/>
  <c r="G14" i="14"/>
  <c r="F14" i="14"/>
  <c r="AC14" i="14"/>
  <c r="AP13" i="14"/>
  <c r="AJ13" i="14"/>
  <c r="AS13" i="14" s="1"/>
  <c r="AC13" i="14"/>
  <c r="AB13" i="14"/>
  <c r="P13" i="14"/>
  <c r="AN13" i="14"/>
  <c r="G13" i="14"/>
  <c r="F13" i="14"/>
  <c r="C13" i="14"/>
  <c r="E13" i="14" s="1"/>
  <c r="K13" i="14" s="1"/>
  <c r="AE13" i="14" s="1"/>
  <c r="AU13" i="14" s="1"/>
  <c r="AQ13" i="14"/>
  <c r="AP12" i="14"/>
  <c r="AJ12" i="14"/>
  <c r="AS12" i="14" s="1"/>
  <c r="AB12" i="14"/>
  <c r="G12" i="14"/>
  <c r="F12" i="14"/>
  <c r="Q12" i="14"/>
  <c r="AP11" i="14"/>
  <c r="AJ11" i="14"/>
  <c r="AS11" i="14" s="1"/>
  <c r="AB11" i="14"/>
  <c r="G11" i="14"/>
  <c r="F11" i="14"/>
  <c r="AC11" i="14"/>
  <c r="AP10" i="14"/>
  <c r="AJ10" i="14"/>
  <c r="AS10" i="14" s="1"/>
  <c r="AB10" i="14"/>
  <c r="G10" i="14"/>
  <c r="F10" i="14"/>
  <c r="C10" i="14"/>
  <c r="E10" i="14" s="1"/>
  <c r="K10" i="14" s="1"/>
  <c r="AE10" i="14" s="1"/>
  <c r="AU10" i="14" s="1"/>
  <c r="AP9" i="14"/>
  <c r="AL9" i="14"/>
  <c r="AJ9" i="14"/>
  <c r="AS9" i="14" s="1"/>
  <c r="AB9" i="14"/>
  <c r="P9" i="14"/>
  <c r="AN9" i="14"/>
  <c r="AR9" i="14"/>
  <c r="G9" i="14"/>
  <c r="F9" i="14"/>
  <c r="AQ9" i="14"/>
  <c r="AS8" i="14"/>
  <c r="AR8" i="14"/>
  <c r="AP8" i="14"/>
  <c r="AJ8" i="14"/>
  <c r="AB8" i="14"/>
  <c r="AN8" i="14"/>
  <c r="G8" i="14"/>
  <c r="F8" i="14"/>
  <c r="AR7" i="14"/>
  <c r="AP7" i="14"/>
  <c r="AN7" i="14"/>
  <c r="AJ7" i="14"/>
  <c r="AS7" i="14" s="1"/>
  <c r="AB7" i="14"/>
  <c r="P7" i="14"/>
  <c r="G7" i="14"/>
  <c r="F7" i="14"/>
  <c r="AM7" i="14"/>
  <c r="AP6" i="14"/>
  <c r="AJ6" i="14"/>
  <c r="AS6" i="14" s="1"/>
  <c r="AB6" i="14"/>
  <c r="G6" i="14"/>
  <c r="F6" i="14"/>
  <c r="C6" i="14"/>
  <c r="D6" i="14" s="1"/>
  <c r="J6" i="14" s="1"/>
  <c r="AD6" i="14" s="1"/>
  <c r="AT6" i="14" s="1"/>
  <c r="AC6" i="14"/>
  <c r="BB45" i="13"/>
  <c r="AI45" i="13"/>
  <c r="AE45" i="13"/>
  <c r="G45" i="13"/>
  <c r="F45" i="13"/>
  <c r="AF45" i="13"/>
  <c r="BK44" i="13"/>
  <c r="BR44" i="13" s="1"/>
  <c r="BD44" i="13"/>
  <c r="BB44" i="13"/>
  <c r="AI44" i="13"/>
  <c r="AE44" i="13"/>
  <c r="AA44" i="13"/>
  <c r="Y44" i="13"/>
  <c r="AB44" i="13" s="1"/>
  <c r="P44" i="13"/>
  <c r="W44" i="13"/>
  <c r="X44" i="13" s="1"/>
  <c r="AG44" i="13"/>
  <c r="G44" i="13"/>
  <c r="F44" i="13"/>
  <c r="BI44" i="13"/>
  <c r="BO43" i="13"/>
  <c r="BG43" i="13"/>
  <c r="BB43" i="13"/>
  <c r="AI43" i="13"/>
  <c r="AK43" i="13" s="1"/>
  <c r="AL43" i="13" s="1"/>
  <c r="AE43" i="13"/>
  <c r="G43" i="13"/>
  <c r="F43" i="13"/>
  <c r="AF43" i="13"/>
  <c r="BB42" i="13"/>
  <c r="AI42" i="13"/>
  <c r="AE42" i="13"/>
  <c r="W42" i="13"/>
  <c r="G42" i="13"/>
  <c r="F42" i="13"/>
  <c r="C42" i="13"/>
  <c r="BO41" i="13"/>
  <c r="BK41" i="13"/>
  <c r="BR41" i="13" s="1"/>
  <c r="BD41" i="13"/>
  <c r="BB41" i="13"/>
  <c r="AI41" i="13"/>
  <c r="AE41" i="13"/>
  <c r="P41" i="13"/>
  <c r="BG41" i="13"/>
  <c r="AG41" i="13"/>
  <c r="G41" i="13"/>
  <c r="F41" i="13"/>
  <c r="AF41" i="13"/>
  <c r="BO40" i="13"/>
  <c r="BG40" i="13"/>
  <c r="BB40" i="13"/>
  <c r="AI40" i="13"/>
  <c r="AK40" i="13" s="1"/>
  <c r="AL40" i="13" s="1"/>
  <c r="AE40" i="13"/>
  <c r="W40" i="13"/>
  <c r="P40" i="13"/>
  <c r="AR40" i="13" s="1"/>
  <c r="BK40" i="13"/>
  <c r="BR40" i="13" s="1"/>
  <c r="G40" i="13"/>
  <c r="F40" i="13"/>
  <c r="C40" i="13"/>
  <c r="BK39" i="13"/>
  <c r="BR39" i="13" s="1"/>
  <c r="BD39" i="13"/>
  <c r="BB39" i="13"/>
  <c r="AI39" i="13"/>
  <c r="AK39" i="13" s="1"/>
  <c r="AL39" i="13" s="1"/>
  <c r="AE39" i="13"/>
  <c r="P39" i="13"/>
  <c r="AR39" i="13" s="1"/>
  <c r="W39" i="13"/>
  <c r="X39" i="13" s="1"/>
  <c r="AA39" i="13" s="1"/>
  <c r="AG39" i="13"/>
  <c r="G39" i="13"/>
  <c r="F39" i="13"/>
  <c r="R39" i="13"/>
  <c r="BO38" i="13"/>
  <c r="BK38" i="13"/>
  <c r="BR38" i="13" s="1"/>
  <c r="BG38" i="13"/>
  <c r="BB38" i="13"/>
  <c r="AI38" i="13"/>
  <c r="AK38" i="13" s="1"/>
  <c r="AL38" i="13" s="1"/>
  <c r="AE38" i="13"/>
  <c r="P38" i="13"/>
  <c r="W38" i="13"/>
  <c r="G38" i="13"/>
  <c r="F38" i="13"/>
  <c r="BG37" i="13"/>
  <c r="BB37" i="13"/>
  <c r="AI37" i="13"/>
  <c r="AE37" i="13"/>
  <c r="BO37" i="13"/>
  <c r="G37" i="13"/>
  <c r="F37" i="13"/>
  <c r="AF37" i="13"/>
  <c r="BK36" i="13"/>
  <c r="BR36" i="13" s="1"/>
  <c r="BD36" i="13"/>
  <c r="BB36" i="13"/>
  <c r="AI36" i="13"/>
  <c r="AE36" i="13"/>
  <c r="P36" i="13"/>
  <c r="W36" i="13"/>
  <c r="X36" i="13" s="1"/>
  <c r="AA36" i="13" s="1"/>
  <c r="AG36" i="13"/>
  <c r="G36" i="13"/>
  <c r="F36" i="13"/>
  <c r="BO35" i="13"/>
  <c r="BG35" i="13"/>
  <c r="BB35" i="13"/>
  <c r="AI35" i="13"/>
  <c r="AE35" i="13"/>
  <c r="G35" i="13"/>
  <c r="F35" i="13"/>
  <c r="C35" i="13"/>
  <c r="BB34" i="13"/>
  <c r="AI34" i="13"/>
  <c r="AE34" i="13"/>
  <c r="W34" i="13"/>
  <c r="G34" i="13"/>
  <c r="F34" i="13"/>
  <c r="BO33" i="13"/>
  <c r="BK33" i="13"/>
  <c r="BR33" i="13" s="1"/>
  <c r="BB33" i="13"/>
  <c r="AI33" i="13"/>
  <c r="AK33" i="13" s="1"/>
  <c r="AL33" i="13" s="1"/>
  <c r="AE33" i="13"/>
  <c r="W33" i="13"/>
  <c r="R33" i="13"/>
  <c r="P33" i="13"/>
  <c r="AR33" i="13" s="1"/>
  <c r="BG33" i="13"/>
  <c r="G33" i="13"/>
  <c r="F33" i="13"/>
  <c r="AF33" i="13"/>
  <c r="BO32" i="13"/>
  <c r="BK32" i="13"/>
  <c r="BR32" i="13" s="1"/>
  <c r="BG32" i="13"/>
  <c r="BB32" i="13"/>
  <c r="AI32" i="13"/>
  <c r="AK32" i="13" s="1"/>
  <c r="AL32" i="13" s="1"/>
  <c r="AE32" i="13"/>
  <c r="W32" i="13"/>
  <c r="Y32" i="13" s="1"/>
  <c r="AB32" i="13" s="1"/>
  <c r="P32" i="13"/>
  <c r="BD32" i="13"/>
  <c r="G32" i="13"/>
  <c r="F32" i="13"/>
  <c r="BG31" i="13"/>
  <c r="BD31" i="13"/>
  <c r="BB31" i="13"/>
  <c r="AI31" i="13"/>
  <c r="AK31" i="13" s="1"/>
  <c r="AL31" i="13" s="1"/>
  <c r="AG31" i="13"/>
  <c r="AF31" i="13"/>
  <c r="AE31" i="13"/>
  <c r="R31" i="13"/>
  <c r="BO31" i="13"/>
  <c r="BK31" i="13"/>
  <c r="BR31" i="13" s="1"/>
  <c r="G31" i="13"/>
  <c r="F31" i="13"/>
  <c r="BI31" i="13"/>
  <c r="BO30" i="13"/>
  <c r="BB30" i="13"/>
  <c r="AI30" i="13"/>
  <c r="AK30" i="13" s="1"/>
  <c r="AL30" i="13" s="1"/>
  <c r="AE30" i="13"/>
  <c r="R30" i="13"/>
  <c r="BG30" i="13"/>
  <c r="P30" i="13"/>
  <c r="AP30" i="13" s="1"/>
  <c r="G30" i="13"/>
  <c r="F30" i="13"/>
  <c r="BI30" i="13"/>
  <c r="BB29" i="13"/>
  <c r="AI29" i="13"/>
  <c r="AE29" i="13"/>
  <c r="G29" i="13"/>
  <c r="F29" i="13"/>
  <c r="AF29" i="13"/>
  <c r="BO28" i="13"/>
  <c r="BG28" i="13"/>
  <c r="BB28" i="13"/>
  <c r="AI28" i="13"/>
  <c r="AG28" i="13"/>
  <c r="AE28" i="13"/>
  <c r="W28" i="13"/>
  <c r="P28" i="13"/>
  <c r="BK28" i="13"/>
  <c r="BR28" i="13" s="1"/>
  <c r="G28" i="13"/>
  <c r="F28" i="13"/>
  <c r="C28" i="13"/>
  <c r="BB27" i="13"/>
  <c r="AI27" i="13"/>
  <c r="AE27" i="13"/>
  <c r="G27" i="13"/>
  <c r="F27" i="13"/>
  <c r="BI27" i="13"/>
  <c r="BK26" i="13"/>
  <c r="BR26" i="13" s="1"/>
  <c r="BD26" i="13"/>
  <c r="BB26" i="13"/>
  <c r="AI26" i="13"/>
  <c r="AE26" i="13"/>
  <c r="P26" i="13"/>
  <c r="AR26" i="13" s="1"/>
  <c r="W26" i="13"/>
  <c r="AG26" i="13"/>
  <c r="G26" i="13"/>
  <c r="F26" i="13"/>
  <c r="C26" i="13"/>
  <c r="E26" i="13" s="1"/>
  <c r="K26" i="13" s="1"/>
  <c r="BB25" i="13"/>
  <c r="AI25" i="13"/>
  <c r="AK25" i="13" s="1"/>
  <c r="AL25" i="13" s="1"/>
  <c r="AE25" i="13"/>
  <c r="W25" i="13"/>
  <c r="X25" i="13" s="1"/>
  <c r="AA25" i="13" s="1"/>
  <c r="BO25" i="13"/>
  <c r="G25" i="13"/>
  <c r="F25" i="13"/>
  <c r="Q25" i="13"/>
  <c r="BG24" i="13"/>
  <c r="BB24" i="13"/>
  <c r="AI24" i="13"/>
  <c r="AK24" i="13" s="1"/>
  <c r="AL24" i="13" s="1"/>
  <c r="AE24" i="13"/>
  <c r="W24" i="13"/>
  <c r="Y24" i="13" s="1"/>
  <c r="AB24" i="13" s="1"/>
  <c r="BO24" i="13"/>
  <c r="P24" i="13"/>
  <c r="AP24" i="13" s="1"/>
  <c r="BK24" i="13"/>
  <c r="BR24" i="13" s="1"/>
  <c r="G24" i="13"/>
  <c r="F24" i="13"/>
  <c r="R24" i="13"/>
  <c r="BK23" i="13"/>
  <c r="BR23" i="13" s="1"/>
  <c r="BB23" i="13"/>
  <c r="AI23" i="13"/>
  <c r="AK23" i="13" s="1"/>
  <c r="AL23" i="13" s="1"/>
  <c r="AE23" i="13"/>
  <c r="W23" i="13"/>
  <c r="P23" i="13"/>
  <c r="BG23" i="13"/>
  <c r="G23" i="13"/>
  <c r="F23" i="13"/>
  <c r="AF23" i="13"/>
  <c r="BO22" i="13"/>
  <c r="BG22" i="13"/>
  <c r="BB22" i="13"/>
  <c r="AI22" i="13"/>
  <c r="AK22" i="13" s="1"/>
  <c r="AL22" i="13" s="1"/>
  <c r="AE22" i="13"/>
  <c r="P22" i="13"/>
  <c r="G22" i="13"/>
  <c r="F22" i="13"/>
  <c r="C22" i="13"/>
  <c r="BB21" i="13"/>
  <c r="AI21" i="13"/>
  <c r="AE21" i="13"/>
  <c r="BO21" i="13"/>
  <c r="P21" i="13"/>
  <c r="AG21" i="13"/>
  <c r="G21" i="13"/>
  <c r="F21" i="13"/>
  <c r="BK20" i="13"/>
  <c r="BR20" i="13" s="1"/>
  <c r="BB20" i="13"/>
  <c r="AI20" i="13"/>
  <c r="AE20" i="13"/>
  <c r="BO20" i="13"/>
  <c r="P20" i="13"/>
  <c r="W20" i="13"/>
  <c r="G20" i="13"/>
  <c r="F20" i="13"/>
  <c r="AF20" i="13"/>
  <c r="BB19" i="13"/>
  <c r="AI19" i="13"/>
  <c r="AG19" i="13"/>
  <c r="AE19" i="13"/>
  <c r="BK19" i="13"/>
  <c r="BR19" i="13" s="1"/>
  <c r="BD19" i="13"/>
  <c r="G19" i="13"/>
  <c r="F19" i="13"/>
  <c r="BC19" i="13"/>
  <c r="BG18" i="13"/>
  <c r="BB18" i="13"/>
  <c r="AI18" i="13"/>
  <c r="AE18" i="13"/>
  <c r="P18" i="13"/>
  <c r="BO18" i="13"/>
  <c r="AG18" i="13"/>
  <c r="G18" i="13"/>
  <c r="F18" i="13"/>
  <c r="Q18" i="13"/>
  <c r="BK17" i="13"/>
  <c r="BR17" i="13" s="1"/>
  <c r="BB17" i="13"/>
  <c r="AI17" i="13"/>
  <c r="AK17" i="13" s="1"/>
  <c r="AL17" i="13" s="1"/>
  <c r="AE17" i="13"/>
  <c r="W17" i="13"/>
  <c r="X17" i="13" s="1"/>
  <c r="AA17" i="13" s="1"/>
  <c r="P17" i="13"/>
  <c r="BG17" i="13"/>
  <c r="AG17" i="13"/>
  <c r="G17" i="13"/>
  <c r="F17" i="13"/>
  <c r="R17" i="13"/>
  <c r="BO16" i="13"/>
  <c r="BK16" i="13"/>
  <c r="BR16" i="13" s="1"/>
  <c r="BB16" i="13"/>
  <c r="AI16" i="13"/>
  <c r="AK16" i="13" s="1"/>
  <c r="AL16" i="13" s="1"/>
  <c r="AE16" i="13"/>
  <c r="W16" i="13"/>
  <c r="X16" i="13" s="1"/>
  <c r="AA16" i="13" s="1"/>
  <c r="P16" i="13"/>
  <c r="BG16" i="13"/>
  <c r="G16" i="13"/>
  <c r="F16" i="13"/>
  <c r="BC16" i="13"/>
  <c r="BB15" i="13"/>
  <c r="AK15" i="13"/>
  <c r="AL15" i="13" s="1"/>
  <c r="AI15" i="13"/>
  <c r="AG15" i="13"/>
  <c r="AE15" i="13"/>
  <c r="P15" i="13"/>
  <c r="W15" i="13"/>
  <c r="Y15" i="13" s="1"/>
  <c r="AB15" i="13" s="1"/>
  <c r="G15" i="13"/>
  <c r="F15" i="13"/>
  <c r="AF15" i="13"/>
  <c r="BO14" i="13"/>
  <c r="BK14" i="13"/>
  <c r="BR14" i="13" s="1"/>
  <c r="BG14" i="13"/>
  <c r="BD14" i="13"/>
  <c r="BB14" i="13"/>
  <c r="AI14" i="13"/>
  <c r="AK14" i="13" s="1"/>
  <c r="AL14" i="13" s="1"/>
  <c r="AE14" i="13"/>
  <c r="W14" i="13"/>
  <c r="Y14" i="13" s="1"/>
  <c r="AB14" i="13" s="1"/>
  <c r="P14" i="13"/>
  <c r="AP14" i="13" s="1"/>
  <c r="AG14" i="13"/>
  <c r="G14" i="13"/>
  <c r="F14" i="13"/>
  <c r="BU13" i="13"/>
  <c r="BV13" i="13" s="1"/>
  <c r="BO13" i="13"/>
  <c r="BB13" i="13"/>
  <c r="AI13" i="13"/>
  <c r="AE13" i="13"/>
  <c r="Q13" i="13"/>
  <c r="BG13" i="13"/>
  <c r="P13" i="13"/>
  <c r="BD13" i="13"/>
  <c r="G13" i="13"/>
  <c r="F13" i="13"/>
  <c r="BC13" i="13"/>
  <c r="BV12" i="13"/>
  <c r="BU12" i="13"/>
  <c r="BO12" i="13"/>
  <c r="BK12" i="13"/>
  <c r="BR12" i="13" s="1"/>
  <c r="BB12" i="13"/>
  <c r="AI12" i="13"/>
  <c r="AK12" i="13" s="1"/>
  <c r="AL12" i="13" s="1"/>
  <c r="AE12" i="13"/>
  <c r="BG12" i="13"/>
  <c r="G12" i="13"/>
  <c r="F12" i="13"/>
  <c r="C12" i="13"/>
  <c r="BU11" i="13"/>
  <c r="BV11" i="13" s="1"/>
  <c r="BO11" i="13"/>
  <c r="BK11" i="13"/>
  <c r="BR11" i="13" s="1"/>
  <c r="BG11" i="13"/>
  <c r="BB11" i="13"/>
  <c r="AI11" i="13"/>
  <c r="AE11" i="13"/>
  <c r="W11" i="13"/>
  <c r="Y11" i="13" s="1"/>
  <c r="AB11" i="13" s="1"/>
  <c r="P11" i="13"/>
  <c r="AR11" i="13" s="1"/>
  <c r="BD11" i="13"/>
  <c r="G11" i="13"/>
  <c r="F11" i="13"/>
  <c r="BC11" i="13"/>
  <c r="BU10" i="13"/>
  <c r="BV10" i="13" s="1"/>
  <c r="BG10" i="13"/>
  <c r="BB10" i="13"/>
  <c r="AI10" i="13"/>
  <c r="AE10" i="13"/>
  <c r="BO10" i="13"/>
  <c r="G10" i="13"/>
  <c r="F10" i="13"/>
  <c r="BI10" i="13"/>
  <c r="BU9" i="13"/>
  <c r="BV9" i="13" s="1"/>
  <c r="BO9" i="13"/>
  <c r="BK9" i="13"/>
  <c r="BR9" i="13" s="1"/>
  <c r="BB9" i="13"/>
  <c r="AI9" i="13"/>
  <c r="AK9" i="13" s="1"/>
  <c r="AL9" i="13" s="1"/>
  <c r="AE9" i="13"/>
  <c r="P9" i="13"/>
  <c r="BG9" i="13"/>
  <c r="W9" i="13"/>
  <c r="X9" i="13" s="1"/>
  <c r="AA9" i="13" s="1"/>
  <c r="BD9" i="13"/>
  <c r="G9" i="13"/>
  <c r="F9" i="13"/>
  <c r="BI9" i="13"/>
  <c r="BU8" i="13"/>
  <c r="BV8" i="13" s="1"/>
  <c r="BG8" i="13"/>
  <c r="BB8" i="13"/>
  <c r="AI8" i="13"/>
  <c r="AK8" i="13" s="1"/>
  <c r="AL8" i="13" s="1"/>
  <c r="AG8" i="13"/>
  <c r="AE8" i="13"/>
  <c r="BO8" i="13"/>
  <c r="P8" i="13"/>
  <c r="AR8" i="13" s="1"/>
  <c r="BD8" i="13"/>
  <c r="G8" i="13"/>
  <c r="F8" i="13"/>
  <c r="Q8" i="13"/>
  <c r="BV7" i="13"/>
  <c r="BU7" i="13"/>
  <c r="BO7" i="13"/>
  <c r="BG7" i="13"/>
  <c r="BB7" i="13"/>
  <c r="AI7" i="13"/>
  <c r="AK7" i="13" s="1"/>
  <c r="AL7" i="13" s="1"/>
  <c r="AE7" i="13"/>
  <c r="G7" i="13"/>
  <c r="F7" i="13"/>
  <c r="Q7" i="13"/>
  <c r="BU6" i="13"/>
  <c r="BV6" i="13" s="1"/>
  <c r="BR6" i="13"/>
  <c r="BO6" i="13"/>
  <c r="BB6" i="13"/>
  <c r="AI6" i="13"/>
  <c r="AK6" i="13" s="1"/>
  <c r="AL6" i="13" s="1"/>
  <c r="AE6" i="13"/>
  <c r="W6" i="13"/>
  <c r="X6" i="13" s="1"/>
  <c r="AA6" i="13" s="1"/>
  <c r="BG6" i="13"/>
  <c r="P6" i="13"/>
  <c r="AP6" i="13" s="1"/>
  <c r="BK6" i="13"/>
  <c r="BD6" i="13"/>
  <c r="G6" i="13"/>
  <c r="F6" i="13"/>
  <c r="BC6" i="13"/>
  <c r="BV5" i="13"/>
  <c r="BU5" i="13"/>
  <c r="BO5" i="13"/>
  <c r="BK5" i="13"/>
  <c r="BR5" i="13" s="1"/>
  <c r="BB5" i="13"/>
  <c r="AI5" i="13"/>
  <c r="AK5" i="13" s="1"/>
  <c r="AL5" i="13" s="1"/>
  <c r="AE5" i="13"/>
  <c r="W5" i="13"/>
  <c r="P5" i="13"/>
  <c r="BG5" i="13"/>
  <c r="G5" i="13"/>
  <c r="F5" i="13"/>
  <c r="AF5" i="13"/>
  <c r="AJ8" i="5"/>
  <c r="AJ9" i="5"/>
  <c r="AJ10" i="5"/>
  <c r="AJ11" i="5"/>
  <c r="AJ12" i="5"/>
  <c r="AJ13" i="5"/>
  <c r="AJ14" i="5"/>
  <c r="AJ15" i="5"/>
  <c r="AJ16" i="5"/>
  <c r="AJ17" i="5"/>
  <c r="AJ18" i="5"/>
  <c r="AJ19" i="5"/>
  <c r="AJ20" i="5"/>
  <c r="AJ21" i="5"/>
  <c r="AJ22" i="5"/>
  <c r="AJ23" i="5"/>
  <c r="AJ24" i="5"/>
  <c r="AJ25" i="5"/>
  <c r="AJ26" i="5"/>
  <c r="AJ27" i="5"/>
  <c r="AJ28" i="5"/>
  <c r="AJ29" i="5"/>
  <c r="AJ30" i="5"/>
  <c r="AJ31" i="5"/>
  <c r="AJ32" i="5"/>
  <c r="AJ33" i="5"/>
  <c r="AJ34" i="5"/>
  <c r="AJ35" i="5"/>
  <c r="AJ36" i="5"/>
  <c r="AJ37" i="5"/>
  <c r="AJ38" i="5"/>
  <c r="AJ39" i="5"/>
  <c r="AJ40" i="5"/>
  <c r="AJ41" i="5"/>
  <c r="AJ42" i="5"/>
  <c r="AJ43" i="5"/>
  <c r="AJ44" i="5"/>
  <c r="AJ45" i="5"/>
  <c r="AJ46" i="5"/>
  <c r="AJ7" i="5"/>
  <c r="AJ6" i="5"/>
  <c r="AN33" i="14" l="1"/>
  <c r="AN6" i="14"/>
  <c r="AN28" i="14"/>
  <c r="AR41" i="14"/>
  <c r="AN35" i="14"/>
  <c r="P17" i="14"/>
  <c r="AG17" i="14" s="1"/>
  <c r="Q13" i="14"/>
  <c r="R7" i="14"/>
  <c r="T7" i="14" s="1"/>
  <c r="W7" i="14" s="1"/>
  <c r="AM42" i="14"/>
  <c r="BC33" i="13"/>
  <c r="AM32" i="14"/>
  <c r="C34" i="13"/>
  <c r="D34" i="13" s="1"/>
  <c r="AC10" i="14"/>
  <c r="BQ31" i="13"/>
  <c r="R41" i="13"/>
  <c r="AS41" i="13" s="1"/>
  <c r="AC12" i="14"/>
  <c r="Q33" i="13"/>
  <c r="AQ33" i="13" s="1"/>
  <c r="BI42" i="13"/>
  <c r="BI12" i="13"/>
  <c r="BI34" i="13"/>
  <c r="R17" i="14"/>
  <c r="T17" i="14" s="1"/>
  <c r="AA17" i="14" s="1"/>
  <c r="AQ25" i="14"/>
  <c r="BI37" i="13"/>
  <c r="BJ37" i="13" s="1"/>
  <c r="C33" i="13"/>
  <c r="E33" i="13" s="1"/>
  <c r="K33" i="13" s="1"/>
  <c r="AM45" i="14"/>
  <c r="AM41" i="14"/>
  <c r="BI45" i="13"/>
  <c r="C45" i="13"/>
  <c r="E45" i="13" s="1"/>
  <c r="K45" i="13" s="1"/>
  <c r="C41" i="14"/>
  <c r="E41" i="14" s="1"/>
  <c r="K41" i="14" s="1"/>
  <c r="AE41" i="14" s="1"/>
  <c r="AU41" i="14" s="1"/>
  <c r="D26" i="13"/>
  <c r="J26" i="13" s="1"/>
  <c r="BI28" i="13"/>
  <c r="BJ28" i="13" s="1"/>
  <c r="D37" i="14"/>
  <c r="J37" i="14" s="1"/>
  <c r="AD37" i="14" s="1"/>
  <c r="AT37" i="14" s="1"/>
  <c r="BC44" i="13"/>
  <c r="BI26" i="13"/>
  <c r="BJ30" i="13"/>
  <c r="Q31" i="13"/>
  <c r="BC42" i="13"/>
  <c r="AQ10" i="14"/>
  <c r="AC18" i="14"/>
  <c r="C42" i="14"/>
  <c r="D42" i="14" s="1"/>
  <c r="J42" i="14" s="1"/>
  <c r="AD42" i="14" s="1"/>
  <c r="AT42" i="14" s="1"/>
  <c r="R45" i="14"/>
  <c r="BI16" i="13"/>
  <c r="BJ16" i="13" s="1"/>
  <c r="R28" i="13"/>
  <c r="C41" i="13"/>
  <c r="E41" i="13" s="1"/>
  <c r="K41" i="13" s="1"/>
  <c r="AM9" i="14"/>
  <c r="C14" i="14"/>
  <c r="E14" i="14" s="1"/>
  <c r="K14" i="14" s="1"/>
  <c r="AE14" i="14" s="1"/>
  <c r="AU14" i="14" s="1"/>
  <c r="BC5" i="13"/>
  <c r="Q6" i="13"/>
  <c r="AQ6" i="13" s="1"/>
  <c r="AO6" i="13" s="1"/>
  <c r="R23" i="14"/>
  <c r="Q26" i="14"/>
  <c r="C13" i="13"/>
  <c r="E13" i="13" s="1"/>
  <c r="BC15" i="13"/>
  <c r="Q44" i="13"/>
  <c r="D45" i="13"/>
  <c r="J45" i="13" s="1"/>
  <c r="AM45" i="13" s="1"/>
  <c r="C25" i="14"/>
  <c r="E25" i="14" s="1"/>
  <c r="K25" i="14" s="1"/>
  <c r="AE25" i="14" s="1"/>
  <c r="AU25" i="14" s="1"/>
  <c r="Q44" i="14"/>
  <c r="C11" i="13"/>
  <c r="R9" i="13"/>
  <c r="R26" i="13"/>
  <c r="BQ30" i="13"/>
  <c r="R44" i="13"/>
  <c r="AS44" i="13" s="1"/>
  <c r="C9" i="14"/>
  <c r="E9" i="14" s="1"/>
  <c r="K9" i="14" s="1"/>
  <c r="AE9" i="14" s="1"/>
  <c r="AU9" i="14" s="1"/>
  <c r="AC26" i="14"/>
  <c r="BI11" i="13"/>
  <c r="BQ11" i="13" s="1"/>
  <c r="AF11" i="13"/>
  <c r="R12" i="13"/>
  <c r="C15" i="13"/>
  <c r="E15" i="13" s="1"/>
  <c r="C17" i="13"/>
  <c r="D17" i="13" s="1"/>
  <c r="J17" i="13" s="1"/>
  <c r="Q26" i="13"/>
  <c r="AQ26" i="13" s="1"/>
  <c r="AM23" i="14"/>
  <c r="C40" i="14"/>
  <c r="E40" i="14" s="1"/>
  <c r="K40" i="14" s="1"/>
  <c r="AE40" i="14" s="1"/>
  <c r="AU40" i="14" s="1"/>
  <c r="C30" i="13"/>
  <c r="C31" i="13"/>
  <c r="D31" i="13" s="1"/>
  <c r="J31" i="13" s="1"/>
  <c r="Q19" i="14"/>
  <c r="AF26" i="13"/>
  <c r="BC28" i="13"/>
  <c r="BJ31" i="13"/>
  <c r="Q39" i="13"/>
  <c r="AQ39" i="13" s="1"/>
  <c r="Q41" i="13"/>
  <c r="AQ41" i="13" s="1"/>
  <c r="AM6" i="14"/>
  <c r="C32" i="14"/>
  <c r="E32" i="14" s="1"/>
  <c r="K32" i="14" s="1"/>
  <c r="AE32" i="14" s="1"/>
  <c r="AU32" i="14" s="1"/>
  <c r="E40" i="13"/>
  <c r="K40" i="13" s="1"/>
  <c r="AN40" i="13" s="1"/>
  <c r="D40" i="13"/>
  <c r="J40" i="13" s="1"/>
  <c r="AM40" i="13" s="1"/>
  <c r="D19" i="14"/>
  <c r="J19" i="14" s="1"/>
  <c r="AD19" i="14" s="1"/>
  <c r="AT19" i="14" s="1"/>
  <c r="E19" i="14"/>
  <c r="K19" i="14" s="1"/>
  <c r="AE19" i="14" s="1"/>
  <c r="AU19" i="14" s="1"/>
  <c r="D12" i="13"/>
  <c r="J12" i="13" s="1"/>
  <c r="AM12" i="13" s="1"/>
  <c r="E12" i="13"/>
  <c r="D21" i="14"/>
  <c r="J21" i="14" s="1"/>
  <c r="AD21" i="14" s="1"/>
  <c r="AT21" i="14" s="1"/>
  <c r="E21" i="14"/>
  <c r="K21" i="14" s="1"/>
  <c r="AE21" i="14" s="1"/>
  <c r="AU21" i="14" s="1"/>
  <c r="R6" i="13"/>
  <c r="AS6" i="13" s="1"/>
  <c r="BJ10" i="13"/>
  <c r="AF19" i="13"/>
  <c r="C23" i="13"/>
  <c r="BC29" i="13"/>
  <c r="X32" i="13"/>
  <c r="AA32" i="13" s="1"/>
  <c r="J34" i="13"/>
  <c r="Q36" i="13"/>
  <c r="AQ36" i="13" s="1"/>
  <c r="BI41" i="13"/>
  <c r="BQ41" i="13" s="1"/>
  <c r="AQ6" i="14"/>
  <c r="AQ7" i="14"/>
  <c r="C15" i="14"/>
  <c r="C22" i="14"/>
  <c r="D25" i="14"/>
  <c r="J25" i="14" s="1"/>
  <c r="AD25" i="14" s="1"/>
  <c r="AT25" i="14" s="1"/>
  <c r="AM29" i="14"/>
  <c r="C34" i="14"/>
  <c r="AQ40" i="14"/>
  <c r="Q45" i="14"/>
  <c r="AR42" i="14"/>
  <c r="AR18" i="14"/>
  <c r="AM12" i="14"/>
  <c r="AF13" i="13"/>
  <c r="BC23" i="13"/>
  <c r="BI29" i="13"/>
  <c r="AM18" i="14"/>
  <c r="AQ23" i="14"/>
  <c r="R24" i="14"/>
  <c r="R18" i="14"/>
  <c r="R12" i="14"/>
  <c r="BQ12" i="13"/>
  <c r="Y6" i="13"/>
  <c r="AB6" i="13" s="1"/>
  <c r="BC17" i="13"/>
  <c r="BC18" i="13"/>
  <c r="BI23" i="13"/>
  <c r="BJ23" i="13" s="1"/>
  <c r="E6" i="14"/>
  <c r="K6" i="14" s="1"/>
  <c r="AE6" i="14" s="1"/>
  <c r="AU6" i="14" s="1"/>
  <c r="C23" i="14"/>
  <c r="E23" i="14" s="1"/>
  <c r="K23" i="14" s="1"/>
  <c r="AE23" i="14" s="1"/>
  <c r="AU23" i="14" s="1"/>
  <c r="C28" i="14"/>
  <c r="C29" i="14"/>
  <c r="AQ29" i="14"/>
  <c r="AQ32" i="14"/>
  <c r="AK26" i="13"/>
  <c r="AL26" i="13" s="1"/>
  <c r="AN23" i="14"/>
  <c r="AM10" i="14"/>
  <c r="BJ12" i="13"/>
  <c r="Q15" i="13"/>
  <c r="AQ15" i="13" s="1"/>
  <c r="AQ19" i="14"/>
  <c r="AK37" i="13"/>
  <c r="AL37" i="13" s="1"/>
  <c r="AK13" i="13"/>
  <c r="AL13" i="13" s="1"/>
  <c r="AR34" i="14"/>
  <c r="Q29" i="14"/>
  <c r="AF6" i="13"/>
  <c r="BI13" i="13"/>
  <c r="BQ13" i="13" s="1"/>
  <c r="R16" i="13"/>
  <c r="BI19" i="13"/>
  <c r="BC36" i="13"/>
  <c r="BC39" i="13"/>
  <c r="AQ18" i="14"/>
  <c r="AK36" i="13"/>
  <c r="AL36" i="13" s="1"/>
  <c r="P29" i="14"/>
  <c r="AL20" i="14"/>
  <c r="C19" i="13"/>
  <c r="C18" i="14"/>
  <c r="AK35" i="13"/>
  <c r="AL35" i="13" s="1"/>
  <c r="R46" i="14"/>
  <c r="R34" i="14"/>
  <c r="R28" i="14"/>
  <c r="R10" i="14"/>
  <c r="AM19" i="14"/>
  <c r="AM36" i="14"/>
  <c r="AF12" i="13"/>
  <c r="Y16" i="13"/>
  <c r="AB16" i="13" s="1"/>
  <c r="C29" i="13"/>
  <c r="E29" i="13" s="1"/>
  <c r="K29" i="13" s="1"/>
  <c r="BI39" i="13"/>
  <c r="Q22" i="14"/>
  <c r="AQ26" i="14"/>
  <c r="C36" i="14"/>
  <c r="D36" i="14" s="1"/>
  <c r="J36" i="14" s="1"/>
  <c r="AD36" i="14" s="1"/>
  <c r="AT36" i="14" s="1"/>
  <c r="C45" i="14"/>
  <c r="AQ45" i="14"/>
  <c r="AK10" i="13"/>
  <c r="AL10" i="13" s="1"/>
  <c r="AM35" i="14"/>
  <c r="BI6" i="13"/>
  <c r="BQ6" i="13" s="1"/>
  <c r="R6" i="14"/>
  <c r="AC7" i="14"/>
  <c r="R9" i="14"/>
  <c r="T9" i="14" s="1"/>
  <c r="AA9" i="14" s="1"/>
  <c r="C12" i="14"/>
  <c r="E12" i="14" s="1"/>
  <c r="K12" i="14" s="1"/>
  <c r="AE12" i="14" s="1"/>
  <c r="AU12" i="14" s="1"/>
  <c r="R15" i="14"/>
  <c r="T15" i="14" s="1"/>
  <c r="Y15" i="14" s="1"/>
  <c r="Q23" i="14"/>
  <c r="R29" i="14"/>
  <c r="T29" i="14" s="1"/>
  <c r="Y29" i="14" s="1"/>
  <c r="AK45" i="13"/>
  <c r="AL45" i="13" s="1"/>
  <c r="AK21" i="13"/>
  <c r="AL21" i="13" s="1"/>
  <c r="AR32" i="14"/>
  <c r="Q21" i="14"/>
  <c r="Q9" i="14"/>
  <c r="Q9" i="13"/>
  <c r="AQ9" i="13" s="1"/>
  <c r="R23" i="13"/>
  <c r="AS23" i="13" s="1"/>
  <c r="AK41" i="13"/>
  <c r="AL41" i="13" s="1"/>
  <c r="AQ34" i="14"/>
  <c r="AK44" i="13"/>
  <c r="AL44" i="13" s="1"/>
  <c r="AM28" i="14"/>
  <c r="AQ15" i="14"/>
  <c r="BQ33" i="13"/>
  <c r="AC28" i="14"/>
  <c r="Q31" i="14"/>
  <c r="S31" i="14" s="1"/>
  <c r="Z31" i="14" s="1"/>
  <c r="AM31" i="14"/>
  <c r="C44" i="14"/>
  <c r="AK19" i="13"/>
  <c r="AL19" i="13" s="1"/>
  <c r="R44" i="14"/>
  <c r="R38" i="14"/>
  <c r="Q32" i="14"/>
  <c r="R14" i="14"/>
  <c r="D15" i="13"/>
  <c r="J15" i="13" s="1"/>
  <c r="BI15" i="13"/>
  <c r="BC41" i="13"/>
  <c r="C31" i="14"/>
  <c r="AC41" i="14"/>
  <c r="AQ42" i="14"/>
  <c r="AR43" i="14"/>
  <c r="P32" i="14"/>
  <c r="AM26" i="14"/>
  <c r="AM43" i="14"/>
  <c r="P37" i="14"/>
  <c r="AR30" i="14"/>
  <c r="Q28" i="14"/>
  <c r="AN27" i="14"/>
  <c r="P42" i="14"/>
  <c r="AG42" i="14" s="1"/>
  <c r="P26" i="14"/>
  <c r="AG26" i="14" s="1"/>
  <c r="P22" i="14"/>
  <c r="P18" i="14"/>
  <c r="AL18" i="14" s="1"/>
  <c r="Q10" i="14"/>
  <c r="Q8" i="14"/>
  <c r="Q46" i="14"/>
  <c r="P16" i="14"/>
  <c r="AG16" i="14" s="1"/>
  <c r="P12" i="14"/>
  <c r="AL12" i="14" s="1"/>
  <c r="P8" i="14"/>
  <c r="AL8" i="14" s="1"/>
  <c r="AL31" i="14"/>
  <c r="Q37" i="14"/>
  <c r="S37" i="14" s="1"/>
  <c r="X37" i="14" s="1"/>
  <c r="BJ33" i="13"/>
  <c r="D33" i="13"/>
  <c r="J33" i="13" s="1"/>
  <c r="AM33" i="13" s="1"/>
  <c r="AR35" i="14"/>
  <c r="Y39" i="13"/>
  <c r="AB39" i="13" s="1"/>
  <c r="P41" i="14"/>
  <c r="AL41" i="14" s="1"/>
  <c r="AR38" i="14"/>
  <c r="AN36" i="14"/>
  <c r="P36" i="14"/>
  <c r="T36" i="14" s="1"/>
  <c r="AL29" i="14"/>
  <c r="P10" i="14"/>
  <c r="P25" i="14"/>
  <c r="S25" i="14" s="1"/>
  <c r="Z25" i="14" s="1"/>
  <c r="P28" i="14"/>
  <c r="AG28" i="14" s="1"/>
  <c r="AN42" i="14"/>
  <c r="P43" i="14"/>
  <c r="AG43" i="14" s="1"/>
  <c r="AL15" i="14"/>
  <c r="AR37" i="14"/>
  <c r="P40" i="14"/>
  <c r="AL40" i="14" s="1"/>
  <c r="AN41" i="14"/>
  <c r="AN14" i="14"/>
  <c r="AR17" i="14"/>
  <c r="AN46" i="14"/>
  <c r="P46" i="14"/>
  <c r="BQ9" i="13"/>
  <c r="AP40" i="13"/>
  <c r="AP11" i="13"/>
  <c r="AQ8" i="13"/>
  <c r="Y36" i="13"/>
  <c r="AB36" i="13" s="1"/>
  <c r="AS39" i="13"/>
  <c r="AT39" i="13" s="1"/>
  <c r="AS26" i="13"/>
  <c r="AT26" i="13" s="1"/>
  <c r="AS24" i="13"/>
  <c r="Y17" i="13"/>
  <c r="AB17" i="13" s="1"/>
  <c r="X15" i="13"/>
  <c r="AA15" i="13" s="1"/>
  <c r="X14" i="13"/>
  <c r="AA14" i="13" s="1"/>
  <c r="X11" i="13"/>
  <c r="AA11" i="13" s="1"/>
  <c r="Y9" i="13"/>
  <c r="AB9" i="13" s="1"/>
  <c r="BD23" i="13"/>
  <c r="AK20" i="13"/>
  <c r="AL20" i="13" s="1"/>
  <c r="AK18" i="13"/>
  <c r="AL18" i="13" s="1"/>
  <c r="AK42" i="13"/>
  <c r="AL42" i="13" s="1"/>
  <c r="AK27" i="13"/>
  <c r="AL27" i="13" s="1"/>
  <c r="AK28" i="13"/>
  <c r="AL28" i="13" s="1"/>
  <c r="AK34" i="13"/>
  <c r="AL34" i="13" s="1"/>
  <c r="AK11" i="13"/>
  <c r="AL11" i="13" s="1"/>
  <c r="E39" i="14"/>
  <c r="K39" i="14" s="1"/>
  <c r="AE39" i="14" s="1"/>
  <c r="AU39" i="14" s="1"/>
  <c r="D39" i="14"/>
  <c r="J39" i="14" s="1"/>
  <c r="AD39" i="14" s="1"/>
  <c r="AT39" i="14" s="1"/>
  <c r="AL7" i="14"/>
  <c r="AG7" i="14"/>
  <c r="AM8" i="14"/>
  <c r="AR11" i="14"/>
  <c r="AN11" i="14"/>
  <c r="AM11" i="14"/>
  <c r="S12" i="14"/>
  <c r="X12" i="14" s="1"/>
  <c r="AN24" i="14"/>
  <c r="P44" i="14"/>
  <c r="AR44" i="14"/>
  <c r="AR10" i="14"/>
  <c r="AN10" i="14"/>
  <c r="AR13" i="14"/>
  <c r="AR16" i="14"/>
  <c r="C20" i="14"/>
  <c r="Q20" i="14"/>
  <c r="S20" i="14" s="1"/>
  <c r="AC20" i="14"/>
  <c r="R20" i="14"/>
  <c r="T20" i="14" s="1"/>
  <c r="AM20" i="14"/>
  <c r="AG20" i="14"/>
  <c r="AC30" i="14"/>
  <c r="AQ30" i="14"/>
  <c r="R30" i="14"/>
  <c r="Q30" i="14"/>
  <c r="AM34" i="14"/>
  <c r="AR39" i="14"/>
  <c r="P6" i="14"/>
  <c r="AL6" i="14" s="1"/>
  <c r="AQ11" i="14"/>
  <c r="AG15" i="14"/>
  <c r="AN17" i="14"/>
  <c r="AR21" i="14"/>
  <c r="C30" i="14"/>
  <c r="AM38" i="14"/>
  <c r="Q38" i="14"/>
  <c r="C38" i="14"/>
  <c r="AQ38" i="14"/>
  <c r="AN40" i="14"/>
  <c r="AR40" i="14"/>
  <c r="AL27" i="14"/>
  <c r="Q6" i="14"/>
  <c r="Q11" i="14"/>
  <c r="Q15" i="14"/>
  <c r="E26" i="14"/>
  <c r="K26" i="14" s="1"/>
  <c r="AE26" i="14" s="1"/>
  <c r="AU26" i="14" s="1"/>
  <c r="D26" i="14"/>
  <c r="J26" i="14" s="1"/>
  <c r="AD26" i="14" s="1"/>
  <c r="AT26" i="14" s="1"/>
  <c r="AQ27" i="14"/>
  <c r="AC27" i="14"/>
  <c r="R27" i="14"/>
  <c r="T27" i="14" s="1"/>
  <c r="AA27" i="14" s="1"/>
  <c r="AM27" i="14"/>
  <c r="Q27" i="14"/>
  <c r="C27" i="14"/>
  <c r="AG33" i="14"/>
  <c r="S9" i="14"/>
  <c r="V9" i="14" s="1"/>
  <c r="AG9" i="14"/>
  <c r="D10" i="14"/>
  <c r="J10" i="14" s="1"/>
  <c r="AD10" i="14" s="1"/>
  <c r="AT10" i="14" s="1"/>
  <c r="R11" i="14"/>
  <c r="AR12" i="14"/>
  <c r="D13" i="14"/>
  <c r="J13" i="14" s="1"/>
  <c r="AD13" i="14" s="1"/>
  <c r="AT13" i="14" s="1"/>
  <c r="P14" i="14"/>
  <c r="AM16" i="14"/>
  <c r="AG18" i="14"/>
  <c r="T18" i="14"/>
  <c r="Y18" i="14" s="1"/>
  <c r="X20" i="14"/>
  <c r="AM21" i="14"/>
  <c r="AM30" i="14"/>
  <c r="AG35" i="14"/>
  <c r="R8" i="14"/>
  <c r="T8" i="14" s="1"/>
  <c r="Y8" i="14" s="1"/>
  <c r="AQ8" i="14"/>
  <c r="S13" i="14"/>
  <c r="Z13" i="14" s="1"/>
  <c r="AG13" i="14"/>
  <c r="AC8" i="14"/>
  <c r="AM15" i="14"/>
  <c r="AR19" i="14"/>
  <c r="AM40" i="14"/>
  <c r="AG8" i="14"/>
  <c r="AL13" i="14"/>
  <c r="AM13" i="14"/>
  <c r="Q14" i="14"/>
  <c r="AQ14" i="14"/>
  <c r="AL16" i="14"/>
  <c r="AC19" i="14"/>
  <c r="R19" i="14"/>
  <c r="P21" i="14"/>
  <c r="AL22" i="14"/>
  <c r="AQ24" i="14"/>
  <c r="C24" i="14"/>
  <c r="Q24" i="14"/>
  <c r="AR29" i="14"/>
  <c r="AN29" i="14"/>
  <c r="AQ33" i="14"/>
  <c r="Q33" i="14"/>
  <c r="R33" i="14"/>
  <c r="T33" i="14" s="1"/>
  <c r="C33" i="14"/>
  <c r="AC33" i="14"/>
  <c r="C35" i="14"/>
  <c r="AQ35" i="14"/>
  <c r="AC35" i="14"/>
  <c r="R35" i="14"/>
  <c r="Q35" i="14"/>
  <c r="AG37" i="14"/>
  <c r="AL37" i="14"/>
  <c r="Q39" i="14"/>
  <c r="AC39" i="14"/>
  <c r="R39" i="14"/>
  <c r="AM39" i="14"/>
  <c r="AQ39" i="14"/>
  <c r="C8" i="14"/>
  <c r="C11" i="14"/>
  <c r="C16" i="14"/>
  <c r="AC16" i="14"/>
  <c r="R16" i="14"/>
  <c r="T16" i="14" s="1"/>
  <c r="Q16" i="14"/>
  <c r="AL17" i="14"/>
  <c r="P24" i="14"/>
  <c r="Q7" i="14"/>
  <c r="S7" i="14" s="1"/>
  <c r="V7" i="14" s="1"/>
  <c r="C7" i="14"/>
  <c r="AG12" i="14"/>
  <c r="AQ17" i="14"/>
  <c r="C17" i="14"/>
  <c r="AC17" i="14"/>
  <c r="Q17" i="14"/>
  <c r="S17" i="14" s="1"/>
  <c r="V17" i="14" s="1"/>
  <c r="S18" i="14"/>
  <c r="Z18" i="14" s="1"/>
  <c r="AQ20" i="14"/>
  <c r="AR27" i="14"/>
  <c r="AG27" i="14"/>
  <c r="R13" i="14"/>
  <c r="P19" i="14"/>
  <c r="AQ21" i="14"/>
  <c r="R21" i="14"/>
  <c r="R22" i="14"/>
  <c r="AC22" i="14"/>
  <c r="P30" i="14"/>
  <c r="AL30" i="14" s="1"/>
  <c r="AG32" i="14"/>
  <c r="P39" i="14"/>
  <c r="AR26" i="14"/>
  <c r="AN26" i="14"/>
  <c r="AM33" i="14"/>
  <c r="AL33" i="14"/>
  <c r="AN38" i="14"/>
  <c r="T45" i="14"/>
  <c r="AA45" i="14" s="1"/>
  <c r="S45" i="14"/>
  <c r="Z45" i="14" s="1"/>
  <c r="AG45" i="14"/>
  <c r="AL45" i="14"/>
  <c r="AM46" i="14"/>
  <c r="AC9" i="14"/>
  <c r="P11" i="14"/>
  <c r="AM14" i="14"/>
  <c r="AN15" i="14"/>
  <c r="AM22" i="14"/>
  <c r="P23" i="14"/>
  <c r="AL23" i="14" s="1"/>
  <c r="R25" i="14"/>
  <c r="AG29" i="14"/>
  <c r="AG31" i="14"/>
  <c r="P34" i="14"/>
  <c r="AL34" i="14" s="1"/>
  <c r="AQ12" i="14"/>
  <c r="AM25" i="14"/>
  <c r="AL35" i="14"/>
  <c r="AQ36" i="14"/>
  <c r="AC36" i="14"/>
  <c r="Q36" i="14"/>
  <c r="AM24" i="14"/>
  <c r="AN25" i="14"/>
  <c r="R26" i="14"/>
  <c r="R31" i="14"/>
  <c r="AC31" i="14"/>
  <c r="AN31" i="14"/>
  <c r="AN34" i="14"/>
  <c r="R37" i="14"/>
  <c r="T37" i="14" s="1"/>
  <c r="AA37" i="14" s="1"/>
  <c r="AC37" i="14"/>
  <c r="AQ37" i="14"/>
  <c r="R40" i="14"/>
  <c r="Q40" i="14"/>
  <c r="R42" i="14"/>
  <c r="T42" i="14" s="1"/>
  <c r="Q42" i="14"/>
  <c r="S42" i="14" s="1"/>
  <c r="AN44" i="14"/>
  <c r="R43" i="14"/>
  <c r="Q43" i="14"/>
  <c r="C43" i="14"/>
  <c r="AL32" i="14"/>
  <c r="Q34" i="14"/>
  <c r="AM37" i="14"/>
  <c r="Q41" i="14"/>
  <c r="AQ41" i="14"/>
  <c r="AM44" i="14"/>
  <c r="AL44" i="14"/>
  <c r="AN30" i="14"/>
  <c r="AQ43" i="14"/>
  <c r="R32" i="14"/>
  <c r="P38" i="14"/>
  <c r="AL38" i="14" s="1"/>
  <c r="AQ44" i="14"/>
  <c r="AR45" i="14"/>
  <c r="AC46" i="14"/>
  <c r="C46" i="14"/>
  <c r="Q14" i="13"/>
  <c r="AQ14" i="13" s="1"/>
  <c r="AO14" i="13" s="1"/>
  <c r="BI14" i="13"/>
  <c r="BJ14" i="13" s="1"/>
  <c r="AF14" i="13"/>
  <c r="R14" i="13"/>
  <c r="AS14" i="13" s="1"/>
  <c r="BC14" i="13"/>
  <c r="C14" i="13"/>
  <c r="X20" i="13"/>
  <c r="AA20" i="13" s="1"/>
  <c r="Y20" i="13"/>
  <c r="AB20" i="13" s="1"/>
  <c r="E22" i="13"/>
  <c r="K22" i="13" s="1"/>
  <c r="D22" i="13"/>
  <c r="J22" i="13" s="1"/>
  <c r="AP5" i="13"/>
  <c r="K15" i="13"/>
  <c r="Y5" i="13"/>
  <c r="AB5" i="13" s="1"/>
  <c r="X5" i="13"/>
  <c r="AA5" i="13" s="1"/>
  <c r="BI8" i="13"/>
  <c r="BJ8" i="13" s="1"/>
  <c r="C8" i="13"/>
  <c r="R8" i="13"/>
  <c r="AS8" i="13" s="1"/>
  <c r="AT8" i="13" s="1"/>
  <c r="AF8" i="13"/>
  <c r="BC8" i="13"/>
  <c r="AP32" i="13"/>
  <c r="AR32" i="13"/>
  <c r="BD5" i="13"/>
  <c r="AG5" i="13"/>
  <c r="AG7" i="13"/>
  <c r="BK10" i="13"/>
  <c r="BR10" i="13" s="1"/>
  <c r="W10" i="13"/>
  <c r="BG34" i="13"/>
  <c r="BO34" i="13"/>
  <c r="R34" i="13"/>
  <c r="AR5" i="13"/>
  <c r="BK7" i="13"/>
  <c r="BR7" i="13" s="1"/>
  <c r="P7" i="13"/>
  <c r="W7" i="13"/>
  <c r="Q34" i="13"/>
  <c r="AR22" i="13"/>
  <c r="AP22" i="13"/>
  <c r="BG27" i="13"/>
  <c r="BJ27" i="13" s="1"/>
  <c r="BO27" i="13"/>
  <c r="BQ27" i="13" s="1"/>
  <c r="BD43" i="13"/>
  <c r="AG43" i="13"/>
  <c r="P10" i="13"/>
  <c r="AR16" i="13"/>
  <c r="AS16" i="13"/>
  <c r="AP16" i="13"/>
  <c r="BD17" i="13"/>
  <c r="BO19" i="13"/>
  <c r="BQ19" i="13" s="1"/>
  <c r="BG19" i="13"/>
  <c r="BJ19" i="13" s="1"/>
  <c r="R19" i="13"/>
  <c r="R21" i="13"/>
  <c r="AS21" i="13" s="1"/>
  <c r="Q21" i="13"/>
  <c r="AQ21" i="13" s="1"/>
  <c r="BC21" i="13"/>
  <c r="AF21" i="13"/>
  <c r="C21" i="13"/>
  <c r="BI21" i="13"/>
  <c r="BQ21" i="13" s="1"/>
  <c r="X23" i="13"/>
  <c r="AA23" i="13" s="1"/>
  <c r="Y23" i="13"/>
  <c r="AB23" i="13" s="1"/>
  <c r="R27" i="13"/>
  <c r="AF27" i="13"/>
  <c r="Q27" i="13"/>
  <c r="AP41" i="13"/>
  <c r="AR41" i="13"/>
  <c r="BK43" i="13"/>
  <c r="BR43" i="13" s="1"/>
  <c r="P43" i="13"/>
  <c r="W43" i="13"/>
  <c r="AR6" i="13"/>
  <c r="BQ10" i="13"/>
  <c r="BC22" i="13"/>
  <c r="AF22" i="13"/>
  <c r="R22" i="13"/>
  <c r="AS22" i="13" s="1"/>
  <c r="Q22" i="13"/>
  <c r="AQ22" i="13" s="1"/>
  <c r="BI22" i="13"/>
  <c r="BQ22" i="13" s="1"/>
  <c r="X24" i="13"/>
  <c r="AA24" i="13" s="1"/>
  <c r="C27" i="13"/>
  <c r="BD29" i="13"/>
  <c r="AG29" i="13"/>
  <c r="BK29" i="13"/>
  <c r="BR29" i="13" s="1"/>
  <c r="W29" i="13"/>
  <c r="AN41" i="13"/>
  <c r="AF10" i="13"/>
  <c r="BC10" i="13"/>
  <c r="Q10" i="13"/>
  <c r="C10" i="13"/>
  <c r="R10" i="13"/>
  <c r="AR18" i="13"/>
  <c r="AQ18" i="13"/>
  <c r="AP18" i="13"/>
  <c r="AR20" i="13"/>
  <c r="AP20" i="13"/>
  <c r="BD24" i="13"/>
  <c r="AG24" i="13"/>
  <c r="AP9" i="13"/>
  <c r="AS9" i="13"/>
  <c r="AR9" i="13"/>
  <c r="BJ9" i="13"/>
  <c r="BK13" i="13"/>
  <c r="BR13" i="13" s="1"/>
  <c r="W13" i="13"/>
  <c r="AG13" i="13"/>
  <c r="BK21" i="13"/>
  <c r="BR21" i="13" s="1"/>
  <c r="BD21" i="13"/>
  <c r="W21" i="13"/>
  <c r="E34" i="13"/>
  <c r="K34" i="13" s="1"/>
  <c r="X34" i="13"/>
  <c r="AA34" i="13" s="1"/>
  <c r="Y34" i="13"/>
  <c r="AB34" i="13" s="1"/>
  <c r="BD45" i="13"/>
  <c r="AG45" i="13"/>
  <c r="AR14" i="13"/>
  <c r="AQ13" i="13"/>
  <c r="AR13" i="13"/>
  <c r="AP13" i="13"/>
  <c r="AR21" i="13"/>
  <c r="AP21" i="13"/>
  <c r="BC25" i="13"/>
  <c r="C25" i="13"/>
  <c r="AF25" i="13"/>
  <c r="R25" i="13"/>
  <c r="BK27" i="13"/>
  <c r="BR27" i="13" s="1"/>
  <c r="W27" i="13"/>
  <c r="BD27" i="13"/>
  <c r="Y28" i="13"/>
  <c r="AB28" i="13" s="1"/>
  <c r="X28" i="13"/>
  <c r="AA28" i="13" s="1"/>
  <c r="AM34" i="13"/>
  <c r="Q5" i="13"/>
  <c r="AQ5" i="13" s="1"/>
  <c r="C5" i="13"/>
  <c r="BI5" i="13"/>
  <c r="BQ5" i="13" s="1"/>
  <c r="R5" i="13"/>
  <c r="AS5" i="13" s="1"/>
  <c r="BI7" i="13"/>
  <c r="BJ7" i="13" s="1"/>
  <c r="AF7" i="13"/>
  <c r="R7" i="13"/>
  <c r="C7" i="13"/>
  <c r="BC7" i="13"/>
  <c r="W8" i="13"/>
  <c r="AP8" i="13"/>
  <c r="BK8" i="13"/>
  <c r="BR8" i="13" s="1"/>
  <c r="BD10" i="13"/>
  <c r="AG10" i="13"/>
  <c r="W12" i="13"/>
  <c r="P12" i="13"/>
  <c r="AG12" i="13"/>
  <c r="AP15" i="13"/>
  <c r="AR15" i="13"/>
  <c r="C20" i="13"/>
  <c r="BC20" i="13"/>
  <c r="R20" i="13"/>
  <c r="AS20" i="13" s="1"/>
  <c r="Q20" i="13"/>
  <c r="AQ20" i="13" s="1"/>
  <c r="BI20" i="13"/>
  <c r="BQ20" i="13" s="1"/>
  <c r="BK22" i="13"/>
  <c r="BR22" i="13" s="1"/>
  <c r="W22" i="13"/>
  <c r="BI25" i="13"/>
  <c r="BQ25" i="13" s="1"/>
  <c r="P27" i="13"/>
  <c r="BC27" i="13"/>
  <c r="Y33" i="13"/>
  <c r="AB33" i="13" s="1"/>
  <c r="X33" i="13"/>
  <c r="AA33" i="13" s="1"/>
  <c r="BK37" i="13"/>
  <c r="BR37" i="13" s="1"/>
  <c r="W37" i="13"/>
  <c r="E42" i="13"/>
  <c r="K42" i="13" s="1"/>
  <c r="D42" i="13"/>
  <c r="J42" i="13" s="1"/>
  <c r="BG15" i="13"/>
  <c r="R15" i="13"/>
  <c r="AS15" i="13" s="1"/>
  <c r="AR17" i="13"/>
  <c r="AP17" i="13"/>
  <c r="AS28" i="13"/>
  <c r="AP28" i="13"/>
  <c r="AR28" i="13"/>
  <c r="AR30" i="13"/>
  <c r="AS30" i="13"/>
  <c r="AF32" i="13"/>
  <c r="R32" i="13"/>
  <c r="AS32" i="13" s="1"/>
  <c r="BC32" i="13"/>
  <c r="Q32" i="13"/>
  <c r="AQ32" i="13" s="1"/>
  <c r="AG34" i="13"/>
  <c r="BK34" i="13"/>
  <c r="BR34" i="13" s="1"/>
  <c r="Y40" i="13"/>
  <c r="AB40" i="13" s="1"/>
  <c r="X40" i="13"/>
  <c r="AA40" i="13" s="1"/>
  <c r="BG42" i="13"/>
  <c r="BO42" i="13"/>
  <c r="R42" i="13"/>
  <c r="BD7" i="13"/>
  <c r="BD15" i="13"/>
  <c r="Q16" i="13"/>
  <c r="AQ16" i="13" s="1"/>
  <c r="C16" i="13"/>
  <c r="AF16" i="13"/>
  <c r="AF18" i="13"/>
  <c r="BI18" i="13"/>
  <c r="BQ18" i="13" s="1"/>
  <c r="R18" i="13"/>
  <c r="AS18" i="13" s="1"/>
  <c r="C18" i="13"/>
  <c r="BK25" i="13"/>
  <c r="BR25" i="13" s="1"/>
  <c r="P25" i="13"/>
  <c r="AN26" i="13"/>
  <c r="T26" i="13"/>
  <c r="C32" i="13"/>
  <c r="S33" i="13"/>
  <c r="Q42" i="13"/>
  <c r="AG6" i="13"/>
  <c r="AG9" i="13"/>
  <c r="AG11" i="13"/>
  <c r="BK15" i="13"/>
  <c r="BR15" i="13" s="1"/>
  <c r="Y26" i="13"/>
  <c r="AB26" i="13" s="1"/>
  <c r="X26" i="13"/>
  <c r="AA26" i="13" s="1"/>
  <c r="E31" i="13"/>
  <c r="K31" i="13" s="1"/>
  <c r="BD16" i="13"/>
  <c r="AG16" i="13"/>
  <c r="AS17" i="13"/>
  <c r="BD30" i="13"/>
  <c r="AG30" i="13"/>
  <c r="BI32" i="13"/>
  <c r="BQ32" i="13" s="1"/>
  <c r="AP33" i="13"/>
  <c r="AS33" i="13"/>
  <c r="AT33" i="13" s="1"/>
  <c r="BK35" i="13"/>
  <c r="BR35" i="13" s="1"/>
  <c r="P35" i="13"/>
  <c r="W35" i="13"/>
  <c r="C6" i="13"/>
  <c r="AF9" i="13"/>
  <c r="BC9" i="13"/>
  <c r="C9" i="13"/>
  <c r="R11" i="13"/>
  <c r="AS11" i="13" s="1"/>
  <c r="AT11" i="13" s="1"/>
  <c r="Q11" i="13"/>
  <c r="R13" i="13"/>
  <c r="AS13" i="13" s="1"/>
  <c r="BO15" i="13"/>
  <c r="BI17" i="13"/>
  <c r="BJ17" i="13" s="1"/>
  <c r="Q17" i="13"/>
  <c r="AQ17" i="13" s="1"/>
  <c r="AF17" i="13"/>
  <c r="BK18" i="13"/>
  <c r="BR18" i="13" s="1"/>
  <c r="W18" i="13"/>
  <c r="BG20" i="13"/>
  <c r="BG21" i="13"/>
  <c r="AP23" i="13"/>
  <c r="AR23" i="13"/>
  <c r="Q24" i="13"/>
  <c r="AQ24" i="13" s="1"/>
  <c r="AO24" i="13" s="1"/>
  <c r="BI24" i="13"/>
  <c r="BQ24" i="13" s="1"/>
  <c r="C24" i="13"/>
  <c r="BC24" i="13"/>
  <c r="AF24" i="13"/>
  <c r="Y25" i="13"/>
  <c r="AB25" i="13" s="1"/>
  <c r="BG26" i="13"/>
  <c r="BO26" i="13"/>
  <c r="E28" i="13"/>
  <c r="K28" i="13" s="1"/>
  <c r="D28" i="13"/>
  <c r="J28" i="13" s="1"/>
  <c r="BK30" i="13"/>
  <c r="BR30" i="13" s="1"/>
  <c r="W30" i="13"/>
  <c r="Y42" i="13"/>
  <c r="AB42" i="13" s="1"/>
  <c r="X42" i="13"/>
  <c r="AA42" i="13" s="1"/>
  <c r="BD18" i="13"/>
  <c r="Q19" i="13"/>
  <c r="AG20" i="13"/>
  <c r="BD20" i="13"/>
  <c r="AG22" i="13"/>
  <c r="Q23" i="13"/>
  <c r="AQ23" i="13" s="1"/>
  <c r="BO23" i="13"/>
  <c r="AR24" i="13"/>
  <c r="BG25" i="13"/>
  <c r="AP26" i="13"/>
  <c r="BC26" i="13"/>
  <c r="Q28" i="13"/>
  <c r="AQ28" i="13" s="1"/>
  <c r="AF28" i="13"/>
  <c r="BD28" i="13"/>
  <c r="P31" i="13"/>
  <c r="BC31" i="13"/>
  <c r="P34" i="13"/>
  <c r="BD35" i="13"/>
  <c r="AG35" i="13"/>
  <c r="BD37" i="13"/>
  <c r="AG37" i="13"/>
  <c r="P42" i="13"/>
  <c r="BO17" i="13"/>
  <c r="W19" i="13"/>
  <c r="P29" i="13"/>
  <c r="Q30" i="13"/>
  <c r="AQ30" i="13" s="1"/>
  <c r="AO30" i="13" s="1"/>
  <c r="BC30" i="13"/>
  <c r="W31" i="13"/>
  <c r="BD33" i="13"/>
  <c r="AG33" i="13"/>
  <c r="D35" i="13"/>
  <c r="J35" i="13" s="1"/>
  <c r="E35" i="13"/>
  <c r="K35" i="13" s="1"/>
  <c r="AR38" i="13"/>
  <c r="AP38" i="13"/>
  <c r="AG42" i="13"/>
  <c r="BK42" i="13"/>
  <c r="BR42" i="13" s="1"/>
  <c r="BG29" i="13"/>
  <c r="BO29" i="13"/>
  <c r="R29" i="13"/>
  <c r="AN45" i="13"/>
  <c r="Q12" i="13"/>
  <c r="BD12" i="13"/>
  <c r="BC12" i="13"/>
  <c r="P19" i="13"/>
  <c r="Q29" i="13"/>
  <c r="AF30" i="13"/>
  <c r="C38" i="13"/>
  <c r="BC38" i="13"/>
  <c r="BI38" i="13"/>
  <c r="BQ38" i="13" s="1"/>
  <c r="R38" i="13"/>
  <c r="AS38" i="13" s="1"/>
  <c r="Q38" i="13"/>
  <c r="AQ38" i="13" s="1"/>
  <c r="AF38" i="13"/>
  <c r="BI43" i="13"/>
  <c r="BJ43" i="13" s="1"/>
  <c r="Q43" i="13"/>
  <c r="BC43" i="13"/>
  <c r="R43" i="13"/>
  <c r="C43" i="13"/>
  <c r="BD25" i="13"/>
  <c r="AG25" i="13"/>
  <c r="AG27" i="13"/>
  <c r="P37" i="13"/>
  <c r="AG38" i="13"/>
  <c r="BD38" i="13"/>
  <c r="BD40" i="13"/>
  <c r="AG40" i="13"/>
  <c r="BK45" i="13"/>
  <c r="BR45" i="13" s="1"/>
  <c r="W45" i="13"/>
  <c r="BO36" i="13"/>
  <c r="BQ36" i="13" s="1"/>
  <c r="BG36" i="13"/>
  <c r="BJ36" i="13" s="1"/>
  <c r="R36" i="13"/>
  <c r="AS36" i="13" s="1"/>
  <c r="BC37" i="13"/>
  <c r="R37" i="13"/>
  <c r="Q37" i="13"/>
  <c r="C37" i="13"/>
  <c r="BC45" i="13"/>
  <c r="R45" i="13"/>
  <c r="Q45" i="13"/>
  <c r="P45" i="13"/>
  <c r="BD34" i="13"/>
  <c r="AR36" i="13"/>
  <c r="AP36" i="13"/>
  <c r="AP39" i="13"/>
  <c r="R40" i="13"/>
  <c r="Q40" i="13"/>
  <c r="AQ40" i="13" s="1"/>
  <c r="BC40" i="13"/>
  <c r="BI40" i="13"/>
  <c r="BQ40" i="13" s="1"/>
  <c r="AF40" i="13"/>
  <c r="BO44" i="13"/>
  <c r="BQ44" i="13" s="1"/>
  <c r="BG44" i="13"/>
  <c r="BJ44" i="13" s="1"/>
  <c r="BO45" i="13"/>
  <c r="BG45" i="13"/>
  <c r="BG39" i="13"/>
  <c r="BO39" i="13"/>
  <c r="AR44" i="13"/>
  <c r="AQ44" i="13"/>
  <c r="AP44" i="13"/>
  <c r="AG32" i="13"/>
  <c r="BI35" i="13"/>
  <c r="BQ35" i="13" s="1"/>
  <c r="Q35" i="13"/>
  <c r="BC35" i="13"/>
  <c r="AF35" i="13"/>
  <c r="Y38" i="13"/>
  <c r="AB38" i="13" s="1"/>
  <c r="X38" i="13"/>
  <c r="AA38" i="13" s="1"/>
  <c r="BD42" i="13"/>
  <c r="AF36" i="13"/>
  <c r="W41" i="13"/>
  <c r="AF44" i="13"/>
  <c r="C36" i="13"/>
  <c r="AF39" i="13"/>
  <c r="C44" i="13"/>
  <c r="AF34" i="13"/>
  <c r="C39" i="13"/>
  <c r="AF42" i="13"/>
  <c r="AN17" i="5"/>
  <c r="BG6" i="12"/>
  <c r="P7" i="12"/>
  <c r="BO7" i="12"/>
  <c r="BO9" i="12"/>
  <c r="BO11" i="12"/>
  <c r="BG12" i="12"/>
  <c r="BO14" i="12"/>
  <c r="BG15" i="12"/>
  <c r="P16" i="12"/>
  <c r="AR16" i="12" s="1"/>
  <c r="BG16" i="12"/>
  <c r="BO18" i="12"/>
  <c r="BO19" i="12"/>
  <c r="BG21" i="12"/>
  <c r="BO22" i="12"/>
  <c r="BG23" i="12"/>
  <c r="P24" i="12"/>
  <c r="AP24" i="12" s="1"/>
  <c r="BO25" i="12"/>
  <c r="BG26" i="12"/>
  <c r="BO27" i="12"/>
  <c r="BG28" i="12"/>
  <c r="BO29" i="12"/>
  <c r="BG31" i="12"/>
  <c r="BO32" i="12"/>
  <c r="BO33" i="12"/>
  <c r="BO34" i="12"/>
  <c r="BG35" i="12"/>
  <c r="P36" i="12"/>
  <c r="BO37" i="12"/>
  <c r="BO38" i="12"/>
  <c r="BG39" i="12"/>
  <c r="BG41" i="12"/>
  <c r="BG42" i="12"/>
  <c r="BO43" i="12"/>
  <c r="BG45" i="12"/>
  <c r="BG5" i="12"/>
  <c r="BK6" i="12"/>
  <c r="BR6" i="12" s="1"/>
  <c r="BK8" i="12"/>
  <c r="BR8" i="12" s="1"/>
  <c r="BK10" i="12"/>
  <c r="BR10" i="12" s="1"/>
  <c r="BK11" i="12"/>
  <c r="BR11" i="12" s="1"/>
  <c r="W13" i="12"/>
  <c r="BK14" i="12"/>
  <c r="BR14" i="12" s="1"/>
  <c r="W15" i="12"/>
  <c r="X15" i="12" s="1"/>
  <c r="AA15" i="12" s="1"/>
  <c r="W16" i="12"/>
  <c r="BK17" i="12"/>
  <c r="BR17" i="12" s="1"/>
  <c r="BK18" i="12"/>
  <c r="BR18" i="12" s="1"/>
  <c r="W19" i="12"/>
  <c r="BK20" i="12"/>
  <c r="BR20" i="12" s="1"/>
  <c r="BK21" i="12"/>
  <c r="BR21" i="12" s="1"/>
  <c r="W23" i="12"/>
  <c r="W24" i="12"/>
  <c r="X24" i="12" s="1"/>
  <c r="AA24" i="12" s="1"/>
  <c r="W25" i="12"/>
  <c r="BK26" i="12"/>
  <c r="BR26" i="12" s="1"/>
  <c r="W27" i="12"/>
  <c r="P28" i="12"/>
  <c r="AP28" i="12" s="1"/>
  <c r="BK30" i="12"/>
  <c r="BR30" i="12" s="1"/>
  <c r="W31" i="12"/>
  <c r="X31" i="12" s="1"/>
  <c r="AA31" i="12" s="1"/>
  <c r="W32" i="12"/>
  <c r="X32" i="12" s="1"/>
  <c r="AA32" i="12" s="1"/>
  <c r="BK35" i="12"/>
  <c r="BR35" i="12" s="1"/>
  <c r="BK36" i="12"/>
  <c r="BR36" i="12" s="1"/>
  <c r="BK37" i="12"/>
  <c r="BR37" i="12" s="1"/>
  <c r="W38" i="12"/>
  <c r="BK39" i="12"/>
  <c r="BR39" i="12" s="1"/>
  <c r="BK40" i="12"/>
  <c r="BR40" i="12" s="1"/>
  <c r="BK41" i="12"/>
  <c r="BR41" i="12" s="1"/>
  <c r="BK42" i="12"/>
  <c r="BR42" i="12" s="1"/>
  <c r="BK43" i="12"/>
  <c r="BR43" i="12" s="1"/>
  <c r="BK44" i="12"/>
  <c r="BR44" i="12" s="1"/>
  <c r="W5" i="12"/>
  <c r="Y5" i="12" s="1"/>
  <c r="AB5" i="12" s="1"/>
  <c r="AG7" i="12"/>
  <c r="BD12" i="12"/>
  <c r="AG14" i="12"/>
  <c r="BD17" i="12"/>
  <c r="BD24" i="12"/>
  <c r="AG36" i="12"/>
  <c r="R6" i="12"/>
  <c r="AF7" i="12"/>
  <c r="BI8" i="12"/>
  <c r="C9" i="12"/>
  <c r="E9" i="12" s="1"/>
  <c r="BI10" i="12"/>
  <c r="C12" i="12"/>
  <c r="E12" i="12" s="1"/>
  <c r="C13" i="12"/>
  <c r="AF14" i="12"/>
  <c r="BC15" i="12"/>
  <c r="BC16" i="12"/>
  <c r="BC17" i="12"/>
  <c r="AF19" i="12"/>
  <c r="BC20" i="12"/>
  <c r="AF21" i="12"/>
  <c r="AF22" i="12"/>
  <c r="C23" i="12"/>
  <c r="D23" i="12" s="1"/>
  <c r="BI24" i="12"/>
  <c r="R25" i="12"/>
  <c r="C27" i="12"/>
  <c r="BI28" i="12"/>
  <c r="BC29" i="12"/>
  <c r="C30" i="12"/>
  <c r="C31" i="12"/>
  <c r="AF32" i="12"/>
  <c r="C33" i="12"/>
  <c r="AF36" i="12"/>
  <c r="Q37" i="12"/>
  <c r="BI38" i="12"/>
  <c r="BC39" i="12"/>
  <c r="BI40" i="12"/>
  <c r="BC41" i="12"/>
  <c r="BC42" i="12"/>
  <c r="C44" i="12"/>
  <c r="E44" i="12" s="1"/>
  <c r="BC45" i="12"/>
  <c r="AF5" i="12"/>
  <c r="AI6" i="12"/>
  <c r="AK6" i="12" s="1"/>
  <c r="AL6" i="12" s="1"/>
  <c r="AI7" i="12"/>
  <c r="AI8" i="12"/>
  <c r="AI9" i="12"/>
  <c r="AI10" i="12"/>
  <c r="AI11" i="12"/>
  <c r="AI12" i="12"/>
  <c r="AK12" i="12" s="1"/>
  <c r="AL12" i="12" s="1"/>
  <c r="AI13" i="12"/>
  <c r="AK13" i="12" s="1"/>
  <c r="AL13" i="12" s="1"/>
  <c r="AI14" i="12"/>
  <c r="AI15" i="12"/>
  <c r="AI16" i="12"/>
  <c r="AI17" i="12"/>
  <c r="AK17" i="12" s="1"/>
  <c r="AL17" i="12" s="1"/>
  <c r="AI18" i="12"/>
  <c r="AK18" i="12" s="1"/>
  <c r="AL18" i="12" s="1"/>
  <c r="AI19" i="12"/>
  <c r="AK19" i="12" s="1"/>
  <c r="AL19" i="12" s="1"/>
  <c r="AI20" i="12"/>
  <c r="AK20" i="12" s="1"/>
  <c r="AL20" i="12" s="1"/>
  <c r="AI21" i="12"/>
  <c r="AK21" i="12" s="1"/>
  <c r="AL21" i="12" s="1"/>
  <c r="AI22" i="12"/>
  <c r="AK22" i="12" s="1"/>
  <c r="AL22" i="12" s="1"/>
  <c r="AI23" i="12"/>
  <c r="AI24" i="12"/>
  <c r="AK24" i="12" s="1"/>
  <c r="AL24" i="12" s="1"/>
  <c r="AI25" i="12"/>
  <c r="AK25" i="12" s="1"/>
  <c r="AL25" i="12" s="1"/>
  <c r="AI26" i="12"/>
  <c r="AK26" i="12" s="1"/>
  <c r="AL26" i="12" s="1"/>
  <c r="AI27" i="12"/>
  <c r="AK27" i="12" s="1"/>
  <c r="AL27" i="12" s="1"/>
  <c r="AI28" i="12"/>
  <c r="AK28" i="12" s="1"/>
  <c r="AL28" i="12" s="1"/>
  <c r="AI29" i="12"/>
  <c r="AK29" i="12" s="1"/>
  <c r="AL29" i="12" s="1"/>
  <c r="AI30" i="12"/>
  <c r="AK30" i="12" s="1"/>
  <c r="AL30" i="12" s="1"/>
  <c r="AI31" i="12"/>
  <c r="AI32" i="12"/>
  <c r="AK32" i="12" s="1"/>
  <c r="AL32" i="12" s="1"/>
  <c r="AI33" i="12"/>
  <c r="AI34" i="12"/>
  <c r="AK34" i="12" s="1"/>
  <c r="AL34" i="12" s="1"/>
  <c r="AI35" i="12"/>
  <c r="AK35" i="12" s="1"/>
  <c r="AL35" i="12" s="1"/>
  <c r="AI36" i="12"/>
  <c r="AK36" i="12" s="1"/>
  <c r="AL36" i="12" s="1"/>
  <c r="AI37" i="12"/>
  <c r="AK37" i="12" s="1"/>
  <c r="AL37" i="12" s="1"/>
  <c r="AI38" i="12"/>
  <c r="AK38" i="12" s="1"/>
  <c r="AL38" i="12" s="1"/>
  <c r="AI39" i="12"/>
  <c r="AK39" i="12" s="1"/>
  <c r="AL39" i="12" s="1"/>
  <c r="AI40" i="12"/>
  <c r="AI41" i="12"/>
  <c r="AK41" i="12" s="1"/>
  <c r="AL41" i="12" s="1"/>
  <c r="AI42" i="12"/>
  <c r="AK42" i="12" s="1"/>
  <c r="AL42" i="12" s="1"/>
  <c r="AI43" i="12"/>
  <c r="AI44" i="12"/>
  <c r="AK44" i="12" s="1"/>
  <c r="AL44" i="12" s="1"/>
  <c r="AI45" i="12"/>
  <c r="AK45" i="12" s="1"/>
  <c r="AL45" i="12" s="1"/>
  <c r="AI5" i="12"/>
  <c r="AK5" i="12" s="1"/>
  <c r="AL5" i="12" s="1"/>
  <c r="BB45" i="12"/>
  <c r="AE45" i="12"/>
  <c r="AC45" i="12"/>
  <c r="G45" i="12"/>
  <c r="F45" i="12"/>
  <c r="BB44" i="12"/>
  <c r="AE44" i="12"/>
  <c r="AC44" i="12"/>
  <c r="G44" i="12"/>
  <c r="F44" i="12"/>
  <c r="BB43" i="12"/>
  <c r="AK43" i="12"/>
  <c r="AL43" i="12" s="1"/>
  <c r="AE43" i="12"/>
  <c r="AC43" i="12"/>
  <c r="G43" i="12"/>
  <c r="F43" i="12"/>
  <c r="BO42" i="12"/>
  <c r="BB42" i="12"/>
  <c r="AE42" i="12"/>
  <c r="AC42" i="12"/>
  <c r="G42" i="12"/>
  <c r="F42" i="12"/>
  <c r="BD41" i="12"/>
  <c r="BB41" i="12"/>
  <c r="AE41" i="12"/>
  <c r="AC41" i="12"/>
  <c r="G41" i="12"/>
  <c r="F41" i="12"/>
  <c r="BB40" i="12"/>
  <c r="AK40" i="12"/>
  <c r="AL40" i="12" s="1"/>
  <c r="AG40" i="12"/>
  <c r="AE40" i="12"/>
  <c r="AC40" i="12"/>
  <c r="W40" i="12"/>
  <c r="X40" i="12" s="1"/>
  <c r="AA40" i="12" s="1"/>
  <c r="G40" i="12"/>
  <c r="F40" i="12"/>
  <c r="BB39" i="12"/>
  <c r="AE39" i="12"/>
  <c r="AC39" i="12"/>
  <c r="G39" i="12"/>
  <c r="F39" i="12"/>
  <c r="BK38" i="12"/>
  <c r="BR38" i="12" s="1"/>
  <c r="BC38" i="12"/>
  <c r="BB38" i="12"/>
  <c r="AF38" i="12"/>
  <c r="AE38" i="12"/>
  <c r="AC38" i="12"/>
  <c r="G38" i="12"/>
  <c r="F38" i="12"/>
  <c r="BB37" i="12"/>
  <c r="AF37" i="12"/>
  <c r="AE37" i="12"/>
  <c r="AC37" i="12"/>
  <c r="G37" i="12"/>
  <c r="F37" i="12"/>
  <c r="C37" i="12"/>
  <c r="D37" i="12" s="1"/>
  <c r="BB36" i="12"/>
  <c r="AE36" i="12"/>
  <c r="AC36" i="12"/>
  <c r="W36" i="12"/>
  <c r="X36" i="12" s="1"/>
  <c r="AA36" i="12" s="1"/>
  <c r="G36" i="12"/>
  <c r="F36" i="12"/>
  <c r="BB35" i="12"/>
  <c r="AE35" i="12"/>
  <c r="AC35" i="12"/>
  <c r="G35" i="12"/>
  <c r="F35" i="12"/>
  <c r="BB34" i="12"/>
  <c r="AE34" i="12"/>
  <c r="AC34" i="12"/>
  <c r="G34" i="12"/>
  <c r="F34" i="12"/>
  <c r="BB33" i="12"/>
  <c r="AK33" i="12"/>
  <c r="AL33" i="12" s="1"/>
  <c r="AE33" i="12"/>
  <c r="AC33" i="12"/>
  <c r="G33" i="12"/>
  <c r="F33" i="12"/>
  <c r="BB32" i="12"/>
  <c r="AE32" i="12"/>
  <c r="AC32" i="12"/>
  <c r="G32" i="12"/>
  <c r="F32" i="12"/>
  <c r="BB31" i="12"/>
  <c r="AK31" i="12"/>
  <c r="AL31" i="12" s="1"/>
  <c r="AG31" i="12"/>
  <c r="AE31" i="12"/>
  <c r="AC31" i="12"/>
  <c r="G31" i="12"/>
  <c r="F31" i="12"/>
  <c r="BI30" i="12"/>
  <c r="BC30" i="12"/>
  <c r="BB30" i="12"/>
  <c r="AF30" i="12"/>
  <c r="AE30" i="12"/>
  <c r="AC30" i="12"/>
  <c r="G30" i="12"/>
  <c r="F30" i="12"/>
  <c r="BB29" i="12"/>
  <c r="AE29" i="12"/>
  <c r="AC29" i="12"/>
  <c r="G29" i="12"/>
  <c r="F29" i="12"/>
  <c r="BB28" i="12"/>
  <c r="AE28" i="12"/>
  <c r="AC28" i="12"/>
  <c r="G28" i="12"/>
  <c r="F28" i="12"/>
  <c r="BB27" i="12"/>
  <c r="AE27" i="12"/>
  <c r="AC27" i="12"/>
  <c r="G27" i="12"/>
  <c r="F27" i="12"/>
  <c r="BB26" i="12"/>
  <c r="AE26" i="12"/>
  <c r="AC26" i="12"/>
  <c r="G26" i="12"/>
  <c r="F26" i="12"/>
  <c r="BI25" i="12"/>
  <c r="BB25" i="12"/>
  <c r="AE25" i="12"/>
  <c r="AC25" i="12"/>
  <c r="G25" i="12"/>
  <c r="F25" i="12"/>
  <c r="C25" i="12"/>
  <c r="BK24" i="12"/>
  <c r="BR24" i="12" s="1"/>
  <c r="BB24" i="12"/>
  <c r="AE24" i="12"/>
  <c r="AC24" i="12"/>
  <c r="G24" i="12"/>
  <c r="F24" i="12"/>
  <c r="BB23" i="12"/>
  <c r="AK23" i="12"/>
  <c r="AL23" i="12" s="1"/>
  <c r="AE23" i="12"/>
  <c r="AC23" i="12"/>
  <c r="G23" i="12"/>
  <c r="F23" i="12"/>
  <c r="BB22" i="12"/>
  <c r="AE22" i="12"/>
  <c r="AC22" i="12"/>
  <c r="G22" i="12"/>
  <c r="F22" i="12"/>
  <c r="BB21" i="12"/>
  <c r="AE21" i="12"/>
  <c r="AC21" i="12"/>
  <c r="G21" i="12"/>
  <c r="F21" i="12"/>
  <c r="BI20" i="12"/>
  <c r="BB20" i="12"/>
  <c r="AE20" i="12"/>
  <c r="AC20" i="12"/>
  <c r="G20" i="12"/>
  <c r="F20" i="12"/>
  <c r="BB19" i="12"/>
  <c r="AE19" i="12"/>
  <c r="AC19" i="12"/>
  <c r="G19" i="12"/>
  <c r="F19" i="12"/>
  <c r="BB18" i="12"/>
  <c r="AE18" i="12"/>
  <c r="AC18" i="12"/>
  <c r="G18" i="12"/>
  <c r="F18" i="12"/>
  <c r="BB17" i="12"/>
  <c r="AG17" i="12"/>
  <c r="AE17" i="12"/>
  <c r="AC17" i="12"/>
  <c r="P17" i="12"/>
  <c r="G17" i="12"/>
  <c r="F17" i="12"/>
  <c r="BD16" i="12"/>
  <c r="BB16" i="12"/>
  <c r="AK16" i="12"/>
  <c r="AL16" i="12" s="1"/>
  <c r="AE16" i="12"/>
  <c r="AC16" i="12"/>
  <c r="G16" i="12"/>
  <c r="F16" i="12"/>
  <c r="BB15" i="12"/>
  <c r="AK15" i="12"/>
  <c r="AL15" i="12" s="1"/>
  <c r="AE15" i="12"/>
  <c r="AC15" i="12"/>
  <c r="G15" i="12"/>
  <c r="F15" i="12"/>
  <c r="BI14" i="12"/>
  <c r="BC14" i="12"/>
  <c r="BB14" i="12"/>
  <c r="AK14" i="12"/>
  <c r="AL14" i="12" s="1"/>
  <c r="AE14" i="12"/>
  <c r="AC14" i="12"/>
  <c r="G14" i="12"/>
  <c r="F14" i="12"/>
  <c r="C14" i="12"/>
  <c r="E14" i="12" s="1"/>
  <c r="K14" i="12" s="1"/>
  <c r="BU13" i="12"/>
  <c r="BV13" i="12" s="1"/>
  <c r="BO13" i="12"/>
  <c r="BI13" i="12"/>
  <c r="BG13" i="12"/>
  <c r="BB13" i="12"/>
  <c r="AE13" i="12"/>
  <c r="AC13" i="12"/>
  <c r="Q13" i="12"/>
  <c r="G13" i="12"/>
  <c r="F13" i="12"/>
  <c r="BU12" i="12"/>
  <c r="BV12" i="12" s="1"/>
  <c r="BK12" i="12"/>
  <c r="BR12" i="12" s="1"/>
  <c r="BC12" i="12"/>
  <c r="BB12" i="12"/>
  <c r="AE12" i="12"/>
  <c r="AC12" i="12"/>
  <c r="W12" i="12"/>
  <c r="Y12" i="12" s="1"/>
  <c r="AB12" i="12" s="1"/>
  <c r="G12" i="12"/>
  <c r="F12" i="12"/>
  <c r="BV11" i="12"/>
  <c r="BU11" i="12"/>
  <c r="BB11" i="12"/>
  <c r="AK11" i="12"/>
  <c r="AL11" i="12" s="1"/>
  <c r="AE11" i="12"/>
  <c r="AC11" i="12"/>
  <c r="G11" i="12"/>
  <c r="F11" i="12"/>
  <c r="BU10" i="12"/>
  <c r="BV10" i="12" s="1"/>
  <c r="BO10" i="12"/>
  <c r="BG10" i="12"/>
  <c r="BB10" i="12"/>
  <c r="AK10" i="12"/>
  <c r="AL10" i="12" s="1"/>
  <c r="AE10" i="12"/>
  <c r="AC10" i="12"/>
  <c r="G10" i="12"/>
  <c r="F10" i="12"/>
  <c r="BU9" i="12"/>
  <c r="BV9" i="12" s="1"/>
  <c r="BB9" i="12"/>
  <c r="AK9" i="12"/>
  <c r="AL9" i="12" s="1"/>
  <c r="AE9" i="12"/>
  <c r="AC9" i="12"/>
  <c r="G9" i="12"/>
  <c r="F9" i="12"/>
  <c r="BV8" i="12"/>
  <c r="BU8" i="12"/>
  <c r="BB8" i="12"/>
  <c r="AK8" i="12"/>
  <c r="AL8" i="12" s="1"/>
  <c r="AE8" i="12"/>
  <c r="AC8" i="12"/>
  <c r="G8" i="12"/>
  <c r="F8" i="12"/>
  <c r="C8" i="12"/>
  <c r="E8" i="12" s="1"/>
  <c r="BU7" i="12"/>
  <c r="BV7" i="12" s="1"/>
  <c r="BK7" i="12"/>
  <c r="BR7" i="12" s="1"/>
  <c r="BB7" i="12"/>
  <c r="AK7" i="12"/>
  <c r="AL7" i="12" s="1"/>
  <c r="AE7" i="12"/>
  <c r="AC7" i="12"/>
  <c r="G7" i="12"/>
  <c r="F7" i="12"/>
  <c r="BU6" i="12"/>
  <c r="BV6" i="12" s="1"/>
  <c r="BO6" i="12"/>
  <c r="BI6" i="12"/>
  <c r="BC6" i="12"/>
  <c r="BB6" i="12"/>
  <c r="AF6" i="12"/>
  <c r="AE6" i="12"/>
  <c r="AC6" i="12"/>
  <c r="G6" i="12"/>
  <c r="F6" i="12"/>
  <c r="C6" i="12"/>
  <c r="BU5" i="12"/>
  <c r="BV5" i="12" s="1"/>
  <c r="BO5" i="12"/>
  <c r="BB5" i="12"/>
  <c r="AE5" i="12"/>
  <c r="AC5" i="12"/>
  <c r="G5" i="12"/>
  <c r="F5" i="12"/>
  <c r="S32" i="14" l="1"/>
  <c r="Z32" i="14" s="1"/>
  <c r="T32" i="14"/>
  <c r="W32" i="14" s="1"/>
  <c r="AW32" i="14" s="1"/>
  <c r="AL26" i="14"/>
  <c r="S6" i="14"/>
  <c r="S8" i="14"/>
  <c r="BQ34" i="13"/>
  <c r="BJ15" i="13"/>
  <c r="BQ39" i="13"/>
  <c r="BJ39" i="13"/>
  <c r="BJ22" i="13"/>
  <c r="T41" i="13"/>
  <c r="D9" i="14"/>
  <c r="J9" i="14" s="1"/>
  <c r="AD9" i="14" s="1"/>
  <c r="AT9" i="14" s="1"/>
  <c r="D40" i="14"/>
  <c r="J40" i="14" s="1"/>
  <c r="AD40" i="14" s="1"/>
  <c r="AT40" i="14" s="1"/>
  <c r="J37" i="12"/>
  <c r="AM37" i="12" s="1"/>
  <c r="BJ13" i="12"/>
  <c r="E30" i="12"/>
  <c r="D30" i="12"/>
  <c r="J30" i="12" s="1"/>
  <c r="AM30" i="12" s="1"/>
  <c r="BK16" i="12"/>
  <c r="BR16" i="12" s="1"/>
  <c r="BD7" i="12"/>
  <c r="T40" i="13"/>
  <c r="BJ6" i="13"/>
  <c r="D14" i="14"/>
  <c r="J14" i="14" s="1"/>
  <c r="AD14" i="14" s="1"/>
  <c r="AT14" i="14" s="1"/>
  <c r="BJ41" i="13"/>
  <c r="BQ16" i="13"/>
  <c r="BJ11" i="13"/>
  <c r="W44" i="12"/>
  <c r="X44" i="12" s="1"/>
  <c r="AA44" i="12" s="1"/>
  <c r="Q6" i="12"/>
  <c r="AF13" i="12"/>
  <c r="BG37" i="12"/>
  <c r="AG5" i="12"/>
  <c r="AG34" i="12"/>
  <c r="BD10" i="12"/>
  <c r="R8" i="12"/>
  <c r="BJ45" i="13"/>
  <c r="BQ23" i="13"/>
  <c r="BJ34" i="13"/>
  <c r="BC37" i="12"/>
  <c r="AF12" i="12"/>
  <c r="BC32" i="12"/>
  <c r="BI36" i="12"/>
  <c r="BI37" i="12"/>
  <c r="BI42" i="12"/>
  <c r="BJ42" i="12" s="1"/>
  <c r="P21" i="5"/>
  <c r="AL21" i="5" s="1"/>
  <c r="BQ45" i="13"/>
  <c r="BQ26" i="13"/>
  <c r="C5" i="12"/>
  <c r="W6" i="12"/>
  <c r="Y6" i="12" s="1"/>
  <c r="AB6" i="12" s="1"/>
  <c r="BC13" i="12"/>
  <c r="C20" i="12"/>
  <c r="E20" i="12" s="1"/>
  <c r="K20" i="12" s="1"/>
  <c r="AN20" i="12" s="1"/>
  <c r="BI32" i="12"/>
  <c r="C38" i="12"/>
  <c r="D38" i="12" s="1"/>
  <c r="J38" i="12" s="1"/>
  <c r="AF44" i="12"/>
  <c r="BJ26" i="13"/>
  <c r="BQ42" i="13"/>
  <c r="BJ42" i="13"/>
  <c r="BC5" i="12"/>
  <c r="BQ29" i="13"/>
  <c r="BD8" i="12"/>
  <c r="C32" i="12"/>
  <c r="E32" i="12" s="1"/>
  <c r="K32" i="12" s="1"/>
  <c r="AN32" i="12" s="1"/>
  <c r="R37" i="12"/>
  <c r="BD40" i="12"/>
  <c r="AG16" i="12"/>
  <c r="R30" i="12"/>
  <c r="AN6" i="5"/>
  <c r="AN33" i="13"/>
  <c r="AV33" i="13" s="1"/>
  <c r="AX33" i="13" s="1"/>
  <c r="T33" i="13"/>
  <c r="D29" i="13"/>
  <c r="J29" i="13" s="1"/>
  <c r="S29" i="13" s="1"/>
  <c r="AG6" i="12"/>
  <c r="W7" i="12"/>
  <c r="X7" i="12" s="1"/>
  <c r="AA7" i="12" s="1"/>
  <c r="P29" i="12"/>
  <c r="AP29" i="12" s="1"/>
  <c r="P5" i="12"/>
  <c r="AP5" i="12" s="1"/>
  <c r="BJ29" i="13"/>
  <c r="BJ13" i="13"/>
  <c r="W8" i="12"/>
  <c r="AG30" i="12"/>
  <c r="BD31" i="12"/>
  <c r="BQ15" i="13"/>
  <c r="P45" i="12"/>
  <c r="AP45" i="12" s="1"/>
  <c r="P21" i="12"/>
  <c r="P8" i="12"/>
  <c r="AR8" i="12" s="1"/>
  <c r="BJ24" i="13"/>
  <c r="BD6" i="12"/>
  <c r="BD44" i="12"/>
  <c r="AF23" i="12"/>
  <c r="BG18" i="12"/>
  <c r="BG30" i="12"/>
  <c r="BJ30" i="12" s="1"/>
  <c r="P6" i="12"/>
  <c r="BI44" i="12"/>
  <c r="BJ32" i="13"/>
  <c r="Q14" i="12"/>
  <c r="AQ14" i="12" s="1"/>
  <c r="AF8" i="12"/>
  <c r="AF20" i="12"/>
  <c r="BC44" i="12"/>
  <c r="BD32" i="12"/>
  <c r="BI9" i="12"/>
  <c r="BQ9" i="12" s="1"/>
  <c r="BI41" i="12"/>
  <c r="E17" i="13"/>
  <c r="K17" i="13" s="1"/>
  <c r="S26" i="14"/>
  <c r="V26" i="14" s="1"/>
  <c r="D32" i="14"/>
  <c r="J32" i="14" s="1"/>
  <c r="AD32" i="14" s="1"/>
  <c r="AT32" i="14" s="1"/>
  <c r="BC21" i="12"/>
  <c r="BD21" i="12"/>
  <c r="W14" i="12"/>
  <c r="Y14" i="12" s="1"/>
  <c r="AB14" i="12" s="1"/>
  <c r="BI21" i="12"/>
  <c r="AF29" i="12"/>
  <c r="AG8" i="12"/>
  <c r="BG7" i="12"/>
  <c r="BC8" i="12"/>
  <c r="BO41" i="12"/>
  <c r="P31" i="12"/>
  <c r="D41" i="13"/>
  <c r="J41" i="13" s="1"/>
  <c r="S41" i="13" s="1"/>
  <c r="D41" i="14"/>
  <c r="J41" i="14" s="1"/>
  <c r="AD41" i="14" s="1"/>
  <c r="AT41" i="14" s="1"/>
  <c r="AO9" i="13"/>
  <c r="C21" i="12"/>
  <c r="D21" i="12" s="1"/>
  <c r="J21" i="12" s="1"/>
  <c r="Y24" i="12"/>
  <c r="AB24" i="12" s="1"/>
  <c r="BQ37" i="13"/>
  <c r="S26" i="13"/>
  <c r="AM26" i="13"/>
  <c r="AG12" i="12"/>
  <c r="R14" i="12"/>
  <c r="AS14" i="12" s="1"/>
  <c r="AT14" i="12" s="1"/>
  <c r="AF24" i="12"/>
  <c r="C28" i="12"/>
  <c r="BC36" i="12"/>
  <c r="P15" i="12"/>
  <c r="P40" i="5"/>
  <c r="AL40" i="5" s="1"/>
  <c r="P16" i="5"/>
  <c r="AL16" i="5" s="1"/>
  <c r="BJ5" i="13"/>
  <c r="AF31" i="12"/>
  <c r="D13" i="13"/>
  <c r="J13" i="13" s="1"/>
  <c r="D30" i="13"/>
  <c r="J30" i="13" s="1"/>
  <c r="AM30" i="13" s="1"/>
  <c r="AU30" i="13" s="1"/>
  <c r="AW30" i="13" s="1"/>
  <c r="AY30" i="13" s="1"/>
  <c r="BH30" i="13" s="1"/>
  <c r="BE30" i="13" s="1"/>
  <c r="BF30" i="13" s="1"/>
  <c r="E30" i="13"/>
  <c r="K30" i="13" s="1"/>
  <c r="AG24" i="12"/>
  <c r="P39" i="12"/>
  <c r="AP39" i="12" s="1"/>
  <c r="P14" i="12"/>
  <c r="AP14" i="12" s="1"/>
  <c r="BD5" i="12"/>
  <c r="C45" i="12"/>
  <c r="R44" i="12"/>
  <c r="R20" i="12"/>
  <c r="BQ28" i="13"/>
  <c r="R22" i="12"/>
  <c r="R9" i="12"/>
  <c r="AF16" i="12"/>
  <c r="C36" i="12"/>
  <c r="BI12" i="12"/>
  <c r="BI23" i="12"/>
  <c r="BJ23" i="12" s="1"/>
  <c r="W39" i="12"/>
  <c r="X39" i="12" s="1"/>
  <c r="AA39" i="12" s="1"/>
  <c r="BD43" i="12"/>
  <c r="P32" i="5"/>
  <c r="AL32" i="5" s="1"/>
  <c r="P8" i="5"/>
  <c r="AL8" i="5" s="1"/>
  <c r="AA18" i="14"/>
  <c r="X6" i="12"/>
  <c r="AA6" i="12" s="1"/>
  <c r="BC24" i="12"/>
  <c r="BK29" i="12"/>
  <c r="BR29" i="12" s="1"/>
  <c r="BK5" i="12"/>
  <c r="BR5" i="12" s="1"/>
  <c r="C7" i="12"/>
  <c r="E7" i="12" s="1"/>
  <c r="BC7" i="12"/>
  <c r="C24" i="12"/>
  <c r="E24" i="12" s="1"/>
  <c r="K24" i="12" s="1"/>
  <c r="T24" i="12" s="1"/>
  <c r="AF28" i="12"/>
  <c r="BC31" i="12"/>
  <c r="R13" i="12"/>
  <c r="AG42" i="12"/>
  <c r="BD18" i="12"/>
  <c r="P18" i="5"/>
  <c r="AL18" i="5" s="1"/>
  <c r="P42" i="5"/>
  <c r="AL42" i="5" s="1"/>
  <c r="D11" i="13"/>
  <c r="J11" i="13" s="1"/>
  <c r="AM11" i="13" s="1"/>
  <c r="E11" i="13"/>
  <c r="P12" i="12"/>
  <c r="AP12" i="12" s="1"/>
  <c r="E42" i="14"/>
  <c r="K42" i="14" s="1"/>
  <c r="AE42" i="14" s="1"/>
  <c r="AU42" i="14" s="1"/>
  <c r="BG22" i="12"/>
  <c r="BO28" i="12"/>
  <c r="BQ28" i="12" s="1"/>
  <c r="BI31" i="12"/>
  <c r="BJ31" i="12" s="1"/>
  <c r="P41" i="12"/>
  <c r="AR41" i="12" s="1"/>
  <c r="BD45" i="12"/>
  <c r="P33" i="12"/>
  <c r="BD9" i="12"/>
  <c r="R36" i="12"/>
  <c r="R24" i="12"/>
  <c r="AS24" i="12" s="1"/>
  <c r="E36" i="14"/>
  <c r="K36" i="14" s="1"/>
  <c r="AE36" i="14" s="1"/>
  <c r="AU36" i="14" s="1"/>
  <c r="BD15" i="12"/>
  <c r="AG41" i="12"/>
  <c r="BI7" i="12"/>
  <c r="BQ7" i="12" s="1"/>
  <c r="BG9" i="12"/>
  <c r="C16" i="12"/>
  <c r="D16" i="12" s="1"/>
  <c r="J16" i="12" s="1"/>
  <c r="BI16" i="12"/>
  <c r="Q31" i="12"/>
  <c r="BK31" i="12"/>
  <c r="BR31" i="12" s="1"/>
  <c r="BD39" i="12"/>
  <c r="AG15" i="12"/>
  <c r="P42" i="12"/>
  <c r="AP42" i="12" s="1"/>
  <c r="P18" i="12"/>
  <c r="X31" i="14"/>
  <c r="BD36" i="12"/>
  <c r="BQ14" i="12"/>
  <c r="BD14" i="12"/>
  <c r="BG34" i="12"/>
  <c r="AG38" i="12"/>
  <c r="R31" i="12"/>
  <c r="AS31" i="12" s="1"/>
  <c r="BG14" i="12"/>
  <c r="BJ14" i="12" s="1"/>
  <c r="S29" i="14"/>
  <c r="Z29" i="14" s="1"/>
  <c r="AR14" i="12"/>
  <c r="AA12" i="14"/>
  <c r="E23" i="13"/>
  <c r="K23" i="13" s="1"/>
  <c r="D23" i="13"/>
  <c r="J23" i="13" s="1"/>
  <c r="AM23" i="13" s="1"/>
  <c r="BJ6" i="12"/>
  <c r="K8" i="12"/>
  <c r="AN8" i="12" s="1"/>
  <c r="BI15" i="12"/>
  <c r="BJ15" i="12" s="1"/>
  <c r="BG24" i="12"/>
  <c r="BJ24" i="12" s="1"/>
  <c r="R29" i="12"/>
  <c r="W33" i="12"/>
  <c r="Y33" i="12" s="1"/>
  <c r="AB33" i="12" s="1"/>
  <c r="P37" i="12"/>
  <c r="AQ37" i="12" s="1"/>
  <c r="AF39" i="12"/>
  <c r="Q41" i="12"/>
  <c r="Q45" i="12"/>
  <c r="BQ38" i="12"/>
  <c r="P44" i="12"/>
  <c r="AP44" i="12" s="1"/>
  <c r="P38" i="12"/>
  <c r="AP38" i="12" s="1"/>
  <c r="P32" i="12"/>
  <c r="AP32" i="12" s="1"/>
  <c r="BJ38" i="13"/>
  <c r="AT15" i="13"/>
  <c r="T12" i="14"/>
  <c r="Q5" i="12"/>
  <c r="BI5" i="12"/>
  <c r="BQ5" i="12" s="1"/>
  <c r="BK15" i="12"/>
  <c r="BR15" i="12" s="1"/>
  <c r="Q30" i="12"/>
  <c r="BO30" i="12"/>
  <c r="BQ30" i="12" s="1"/>
  <c r="BD38" i="12"/>
  <c r="AG39" i="12"/>
  <c r="R41" i="12"/>
  <c r="AS41" i="12" s="1"/>
  <c r="AT41" i="12" s="1"/>
  <c r="AG44" i="12"/>
  <c r="W45" i="12"/>
  <c r="BQ14" i="13"/>
  <c r="S41" i="14"/>
  <c r="X41" i="14" s="1"/>
  <c r="E45" i="14"/>
  <c r="K45" i="14" s="1"/>
  <c r="AE45" i="14" s="1"/>
  <c r="AU45" i="14" s="1"/>
  <c r="D45" i="14"/>
  <c r="J45" i="14" s="1"/>
  <c r="AD45" i="14" s="1"/>
  <c r="AT45" i="14" s="1"/>
  <c r="E34" i="14"/>
  <c r="K34" i="14" s="1"/>
  <c r="AE34" i="14" s="1"/>
  <c r="AU34" i="14" s="1"/>
  <c r="D34" i="14"/>
  <c r="J34" i="14" s="1"/>
  <c r="AD34" i="14" s="1"/>
  <c r="AT34" i="14" s="1"/>
  <c r="R5" i="12"/>
  <c r="AS5" i="12" s="1"/>
  <c r="BK9" i="12"/>
  <c r="BR9" i="12" s="1"/>
  <c r="AG13" i="12"/>
  <c r="W37" i="12"/>
  <c r="Y37" i="12" s="1"/>
  <c r="AB37" i="12" s="1"/>
  <c r="BG38" i="12"/>
  <c r="BJ38" i="12" s="1"/>
  <c r="AF40" i="12"/>
  <c r="Q42" i="12"/>
  <c r="AQ42" i="12" s="1"/>
  <c r="BD22" i="12"/>
  <c r="AO18" i="13"/>
  <c r="AO41" i="13"/>
  <c r="D23" i="14"/>
  <c r="J23" i="14" s="1"/>
  <c r="AD23" i="14" s="1"/>
  <c r="AT23" i="14" s="1"/>
  <c r="E22" i="14"/>
  <c r="K22" i="14" s="1"/>
  <c r="AE22" i="14" s="1"/>
  <c r="AU22" i="14" s="1"/>
  <c r="D22" i="14"/>
  <c r="J22" i="14" s="1"/>
  <c r="AD22" i="14" s="1"/>
  <c r="AT22" i="14" s="1"/>
  <c r="Q38" i="12"/>
  <c r="P13" i="5"/>
  <c r="AL13" i="5" s="1"/>
  <c r="E15" i="14"/>
  <c r="K15" i="14" s="1"/>
  <c r="AE15" i="14" s="1"/>
  <c r="AU15" i="14" s="1"/>
  <c r="D15" i="14"/>
  <c r="J15" i="14" s="1"/>
  <c r="AD15" i="14" s="1"/>
  <c r="AT15" i="14" s="1"/>
  <c r="AG32" i="12"/>
  <c r="X14" i="12"/>
  <c r="AA14" i="12" s="1"/>
  <c r="AF15" i="12"/>
  <c r="BO26" i="12"/>
  <c r="BI29" i="12"/>
  <c r="BG33" i="12"/>
  <c r="C39" i="12"/>
  <c r="E39" i="12" s="1"/>
  <c r="K39" i="12" s="1"/>
  <c r="AN39" i="12" s="1"/>
  <c r="BI39" i="12"/>
  <c r="BQ39" i="12" s="1"/>
  <c r="AP41" i="12"/>
  <c r="BG44" i="12"/>
  <c r="BO45" i="12"/>
  <c r="Q33" i="12"/>
  <c r="BW9" i="12"/>
  <c r="BX9" i="12" s="1"/>
  <c r="BD26" i="12"/>
  <c r="Q29" i="12"/>
  <c r="AQ29" i="12" s="1"/>
  <c r="AO29" i="12" s="1"/>
  <c r="R17" i="12"/>
  <c r="AS17" i="12" s="1"/>
  <c r="BQ17" i="13"/>
  <c r="S12" i="13"/>
  <c r="D12" i="14"/>
  <c r="J12" i="14" s="1"/>
  <c r="AD12" i="14" s="1"/>
  <c r="AT12" i="14" s="1"/>
  <c r="BW12" i="13"/>
  <c r="BX12" i="13" s="1"/>
  <c r="K12" i="13"/>
  <c r="AN12" i="13" s="1"/>
  <c r="BY12" i="13" s="1"/>
  <c r="X12" i="12"/>
  <c r="AA12" i="12" s="1"/>
  <c r="C17" i="12"/>
  <c r="D17" i="12" s="1"/>
  <c r="J17" i="12" s="1"/>
  <c r="AM17" i="12" s="1"/>
  <c r="Q21" i="12"/>
  <c r="BC28" i="12"/>
  <c r="D32" i="12"/>
  <c r="J32" i="12" s="1"/>
  <c r="AM32" i="12" s="1"/>
  <c r="BK33" i="12"/>
  <c r="BR33" i="12" s="1"/>
  <c r="BG36" i="12"/>
  <c r="BJ36" i="12" s="1"/>
  <c r="BC40" i="12"/>
  <c r="AG25" i="12"/>
  <c r="BD30" i="12"/>
  <c r="V31" i="14"/>
  <c r="AV31" i="14" s="1"/>
  <c r="R38" i="12"/>
  <c r="W9" i="12"/>
  <c r="X9" i="12" s="1"/>
  <c r="AA9" i="12" s="1"/>
  <c r="C10" i="12"/>
  <c r="E10" i="12" s="1"/>
  <c r="BW10" i="12" s="1"/>
  <c r="BX10" i="12" s="1"/>
  <c r="BK13" i="12"/>
  <c r="BR13" i="12" s="1"/>
  <c r="BO39" i="12"/>
  <c r="BD29" i="12"/>
  <c r="Q40" i="12"/>
  <c r="BJ28" i="12"/>
  <c r="AT23" i="13"/>
  <c r="BC22" i="12"/>
  <c r="BC23" i="12"/>
  <c r="K30" i="12"/>
  <c r="BK32" i="12"/>
  <c r="BR32" i="12" s="1"/>
  <c r="C40" i="12"/>
  <c r="E40" i="12" s="1"/>
  <c r="K40" i="12" s="1"/>
  <c r="AN40" i="12" s="1"/>
  <c r="R18" i="12"/>
  <c r="P40" i="12"/>
  <c r="AR40" i="12" s="1"/>
  <c r="R15" i="12"/>
  <c r="AS15" i="12" s="1"/>
  <c r="P10" i="5"/>
  <c r="AL10" i="5" s="1"/>
  <c r="P34" i="5"/>
  <c r="AL34" i="5" s="1"/>
  <c r="S40" i="13"/>
  <c r="D44" i="14"/>
  <c r="J44" i="14" s="1"/>
  <c r="AD44" i="14" s="1"/>
  <c r="AT44" i="14" s="1"/>
  <c r="E44" i="14"/>
  <c r="K44" i="14" s="1"/>
  <c r="AE44" i="14" s="1"/>
  <c r="AU44" i="14" s="1"/>
  <c r="E29" i="14"/>
  <c r="K29" i="14" s="1"/>
  <c r="AE29" i="14" s="1"/>
  <c r="AU29" i="14" s="1"/>
  <c r="D29" i="14"/>
  <c r="J29" i="14" s="1"/>
  <c r="AD29" i="14" s="1"/>
  <c r="AT29" i="14" s="1"/>
  <c r="C15" i="12"/>
  <c r="E18" i="14"/>
  <c r="K18" i="14" s="1"/>
  <c r="AE18" i="14" s="1"/>
  <c r="AU18" i="14" s="1"/>
  <c r="D18" i="14"/>
  <c r="J18" i="14" s="1"/>
  <c r="AD18" i="14" s="1"/>
  <c r="AT18" i="14" s="1"/>
  <c r="E28" i="14"/>
  <c r="K28" i="14" s="1"/>
  <c r="AE28" i="14" s="1"/>
  <c r="AU28" i="14" s="1"/>
  <c r="D28" i="14"/>
  <c r="J28" i="14" s="1"/>
  <c r="AD28" i="14" s="1"/>
  <c r="AT28" i="14" s="1"/>
  <c r="BI22" i="12"/>
  <c r="BD33" i="12"/>
  <c r="AG9" i="12"/>
  <c r="E31" i="14"/>
  <c r="K31" i="14" s="1"/>
  <c r="AE31" i="14" s="1"/>
  <c r="AU31" i="14" s="1"/>
  <c r="D31" i="14"/>
  <c r="J31" i="14" s="1"/>
  <c r="AD31" i="14" s="1"/>
  <c r="AT31" i="14" s="1"/>
  <c r="D19" i="13"/>
  <c r="J19" i="13" s="1"/>
  <c r="AM19" i="13" s="1"/>
  <c r="E19" i="13"/>
  <c r="K19" i="13" s="1"/>
  <c r="AN19" i="13" s="1"/>
  <c r="T41" i="14"/>
  <c r="AA41" i="14" s="1"/>
  <c r="V37" i="14"/>
  <c r="BA37" i="14" s="1"/>
  <c r="BC37" i="14" s="1"/>
  <c r="W29" i="14"/>
  <c r="X8" i="14"/>
  <c r="V8" i="14"/>
  <c r="AG10" i="14"/>
  <c r="T40" i="14"/>
  <c r="AA40" i="14" s="1"/>
  <c r="Y17" i="14"/>
  <c r="S22" i="14"/>
  <c r="V22" i="14" s="1"/>
  <c r="T13" i="14"/>
  <c r="AA13" i="14" s="1"/>
  <c r="AG41" i="14"/>
  <c r="AG22" i="14"/>
  <c r="AL42" i="14"/>
  <c r="V18" i="14"/>
  <c r="S10" i="14"/>
  <c r="Z10" i="14" s="1"/>
  <c r="S46" i="14"/>
  <c r="X46" i="14" s="1"/>
  <c r="X18" i="14"/>
  <c r="Z37" i="14"/>
  <c r="Y20" i="14"/>
  <c r="T22" i="14"/>
  <c r="Y22" i="14" s="1"/>
  <c r="AL10" i="14"/>
  <c r="T10" i="14"/>
  <c r="W10" i="14" s="1"/>
  <c r="BB10" i="14" s="1"/>
  <c r="BJ35" i="13"/>
  <c r="S34" i="13"/>
  <c r="AL36" i="14"/>
  <c r="AG36" i="14"/>
  <c r="S40" i="14"/>
  <c r="Z40" i="14" s="1"/>
  <c r="AO40" i="13"/>
  <c r="AU40" i="13" s="1"/>
  <c r="AW40" i="13" s="1"/>
  <c r="AY40" i="13" s="1"/>
  <c r="BH40" i="13" s="1"/>
  <c r="Y36" i="14"/>
  <c r="AA36" i="14"/>
  <c r="AG25" i="14"/>
  <c r="S43" i="14"/>
  <c r="X43" i="14" s="1"/>
  <c r="V46" i="14"/>
  <c r="AA29" i="14"/>
  <c r="V32" i="14"/>
  <c r="AV32" i="14" s="1"/>
  <c r="Z17" i="14"/>
  <c r="AL25" i="14"/>
  <c r="AG40" i="14"/>
  <c r="X32" i="14"/>
  <c r="W18" i="14"/>
  <c r="W15" i="14"/>
  <c r="X7" i="14"/>
  <c r="S28" i="14"/>
  <c r="Z28" i="14" s="1"/>
  <c r="T28" i="14"/>
  <c r="AL28" i="14"/>
  <c r="T43" i="14"/>
  <c r="AA43" i="14" s="1"/>
  <c r="X9" i="14"/>
  <c r="AA15" i="14"/>
  <c r="AL43" i="14"/>
  <c r="Z7" i="14"/>
  <c r="Z12" i="14"/>
  <c r="Z9" i="14"/>
  <c r="X17" i="14"/>
  <c r="T46" i="14"/>
  <c r="AA46" i="14" s="1"/>
  <c r="AG46" i="14"/>
  <c r="AL46" i="14"/>
  <c r="AA7" i="14"/>
  <c r="S45" i="13"/>
  <c r="AV26" i="13"/>
  <c r="AX26" i="13" s="1"/>
  <c r="AZ26" i="13" s="1"/>
  <c r="BP26" i="13" s="1"/>
  <c r="BM26" i="13" s="1"/>
  <c r="BN26" i="13" s="1"/>
  <c r="AT30" i="13"/>
  <c r="AO39" i="13"/>
  <c r="AO44" i="13"/>
  <c r="AO8" i="13"/>
  <c r="AO13" i="13"/>
  <c r="T45" i="13"/>
  <c r="AT36" i="13"/>
  <c r="AT28" i="13"/>
  <c r="AO23" i="13"/>
  <c r="AT24" i="13"/>
  <c r="AO15" i="13"/>
  <c r="AT6" i="13"/>
  <c r="W42" i="14"/>
  <c r="BB42" i="14" s="1"/>
  <c r="AA42" i="14"/>
  <c r="AA33" i="14"/>
  <c r="Y33" i="14"/>
  <c r="V42" i="14"/>
  <c r="BA42" i="14" s="1"/>
  <c r="Z42" i="14"/>
  <c r="Y16" i="14"/>
  <c r="W16" i="14"/>
  <c r="D43" i="14"/>
  <c r="J43" i="14" s="1"/>
  <c r="AD43" i="14" s="1"/>
  <c r="AT43" i="14" s="1"/>
  <c r="E43" i="14"/>
  <c r="K43" i="14" s="1"/>
  <c r="AE43" i="14" s="1"/>
  <c r="AU43" i="14" s="1"/>
  <c r="T39" i="14"/>
  <c r="AA39" i="14" s="1"/>
  <c r="AL39" i="14"/>
  <c r="AG39" i="14"/>
  <c r="S39" i="14"/>
  <c r="V39" i="14" s="1"/>
  <c r="BA39" i="14" s="1"/>
  <c r="E11" i="14"/>
  <c r="K11" i="14" s="1"/>
  <c r="AE11" i="14" s="1"/>
  <c r="AU11" i="14" s="1"/>
  <c r="D11" i="14"/>
  <c r="J11" i="14" s="1"/>
  <c r="AD11" i="14" s="1"/>
  <c r="AT11" i="14" s="1"/>
  <c r="S14" i="14"/>
  <c r="Z14" i="14" s="1"/>
  <c r="AL14" i="14"/>
  <c r="AG14" i="14"/>
  <c r="T14" i="14"/>
  <c r="AA14" i="14" s="1"/>
  <c r="D38" i="14"/>
  <c r="J38" i="14" s="1"/>
  <c r="AD38" i="14" s="1"/>
  <c r="AT38" i="14" s="1"/>
  <c r="E38" i="14"/>
  <c r="K38" i="14" s="1"/>
  <c r="AE38" i="14" s="1"/>
  <c r="AU38" i="14" s="1"/>
  <c r="V41" i="14"/>
  <c r="BA41" i="14" s="1"/>
  <c r="X45" i="14"/>
  <c r="V25" i="14"/>
  <c r="D17" i="14"/>
  <c r="J17" i="14" s="1"/>
  <c r="AD17" i="14" s="1"/>
  <c r="AT17" i="14" s="1"/>
  <c r="E17" i="14"/>
  <c r="K17" i="14" s="1"/>
  <c r="AE17" i="14" s="1"/>
  <c r="AU17" i="14" s="1"/>
  <c r="E7" i="14"/>
  <c r="K7" i="14" s="1"/>
  <c r="AE7" i="14" s="1"/>
  <c r="AU7" i="14" s="1"/>
  <c r="D7" i="14"/>
  <c r="J7" i="14" s="1"/>
  <c r="AD7" i="14" s="1"/>
  <c r="AT7" i="14" s="1"/>
  <c r="D8" i="14"/>
  <c r="J8" i="14" s="1"/>
  <c r="AD8" i="14" s="1"/>
  <c r="AT8" i="14" s="1"/>
  <c r="E8" i="14"/>
  <c r="K8" i="14" s="1"/>
  <c r="AE8" i="14" s="1"/>
  <c r="AU8" i="14" s="1"/>
  <c r="S36" i="14"/>
  <c r="X36" i="14" s="1"/>
  <c r="W8" i="14"/>
  <c r="BB8" i="14" s="1"/>
  <c r="W9" i="14"/>
  <c r="BB9" i="14" s="1"/>
  <c r="Y27" i="14"/>
  <c r="X25" i="14"/>
  <c r="AG11" i="14"/>
  <c r="S11" i="14"/>
  <c r="V11" i="14" s="1"/>
  <c r="AL11" i="14"/>
  <c r="T11" i="14"/>
  <c r="AA11" i="14" s="1"/>
  <c r="W17" i="14"/>
  <c r="W36" i="14"/>
  <c r="E33" i="14"/>
  <c r="K33" i="14" s="1"/>
  <c r="AE33" i="14" s="1"/>
  <c r="AU33" i="14" s="1"/>
  <c r="D33" i="14"/>
  <c r="J33" i="14" s="1"/>
  <c r="AD33" i="14" s="1"/>
  <c r="AT33" i="14" s="1"/>
  <c r="E24" i="14"/>
  <c r="K24" i="14" s="1"/>
  <c r="AE24" i="14" s="1"/>
  <c r="AU24" i="14" s="1"/>
  <c r="D24" i="14"/>
  <c r="J24" i="14" s="1"/>
  <c r="AD24" i="14" s="1"/>
  <c r="AT24" i="14" s="1"/>
  <c r="AA8" i="14"/>
  <c r="S33" i="14"/>
  <c r="V33" i="14" s="1"/>
  <c r="AV33" i="14" s="1"/>
  <c r="S27" i="14"/>
  <c r="V27" i="14" s="1"/>
  <c r="AV27" i="14" s="1"/>
  <c r="Y7" i="14"/>
  <c r="D27" i="14"/>
  <c r="J27" i="14" s="1"/>
  <c r="AD27" i="14" s="1"/>
  <c r="AT27" i="14" s="1"/>
  <c r="E27" i="14"/>
  <c r="K27" i="14" s="1"/>
  <c r="AE27" i="14" s="1"/>
  <c r="AU27" i="14" s="1"/>
  <c r="T38" i="14"/>
  <c r="Y38" i="14" s="1"/>
  <c r="AG38" i="14"/>
  <c r="S38" i="14"/>
  <c r="X38" i="14" s="1"/>
  <c r="S24" i="14"/>
  <c r="X24" i="14" s="1"/>
  <c r="AG24" i="14"/>
  <c r="T24" i="14"/>
  <c r="W24" i="14" s="1"/>
  <c r="AW24" i="14" s="1"/>
  <c r="AL24" i="14"/>
  <c r="T23" i="14"/>
  <c r="AA23" i="14" s="1"/>
  <c r="S23" i="14"/>
  <c r="X23" i="14" s="1"/>
  <c r="AG23" i="14"/>
  <c r="V45" i="14"/>
  <c r="BA45" i="14" s="1"/>
  <c r="T19" i="14"/>
  <c r="W19" i="14" s="1"/>
  <c r="BB19" i="14" s="1"/>
  <c r="S19" i="14"/>
  <c r="V19" i="14" s="1"/>
  <c r="BA19" i="14" s="1"/>
  <c r="AG19" i="14"/>
  <c r="T26" i="14"/>
  <c r="AA26" i="14" s="1"/>
  <c r="Y37" i="14"/>
  <c r="S16" i="14"/>
  <c r="V16" i="14" s="1"/>
  <c r="X42" i="14"/>
  <c r="S35" i="14"/>
  <c r="X35" i="14" s="1"/>
  <c r="W33" i="14"/>
  <c r="AW33" i="14" s="1"/>
  <c r="D30" i="14"/>
  <c r="J30" i="14" s="1"/>
  <c r="AD30" i="14" s="1"/>
  <c r="AT30" i="14" s="1"/>
  <c r="E30" i="14"/>
  <c r="K30" i="14" s="1"/>
  <c r="AE30" i="14" s="1"/>
  <c r="AU30" i="14" s="1"/>
  <c r="AA20" i="14"/>
  <c r="AL19" i="14"/>
  <c r="S15" i="14"/>
  <c r="V15" i="14" s="1"/>
  <c r="AA16" i="14"/>
  <c r="W27" i="14"/>
  <c r="AW27" i="14" s="1"/>
  <c r="T6" i="14"/>
  <c r="Y6" i="14" s="1"/>
  <c r="AG6" i="14"/>
  <c r="Z6" i="14"/>
  <c r="W20" i="14"/>
  <c r="E20" i="14"/>
  <c r="K20" i="14" s="1"/>
  <c r="AE20" i="14" s="1"/>
  <c r="AU20" i="14" s="1"/>
  <c r="D20" i="14"/>
  <c r="J20" i="14" s="1"/>
  <c r="AD20" i="14" s="1"/>
  <c r="AT20" i="14" s="1"/>
  <c r="T31" i="14"/>
  <c r="Y31" i="14" s="1"/>
  <c r="AA32" i="14"/>
  <c r="X13" i="14"/>
  <c r="D16" i="14"/>
  <c r="J16" i="14" s="1"/>
  <c r="AD16" i="14" s="1"/>
  <c r="AT16" i="14" s="1"/>
  <c r="E16" i="14"/>
  <c r="K16" i="14" s="1"/>
  <c r="AE16" i="14" s="1"/>
  <c r="AU16" i="14" s="1"/>
  <c r="Z22" i="14"/>
  <c r="V13" i="14"/>
  <c r="BA13" i="14" s="1"/>
  <c r="Y42" i="14"/>
  <c r="T35" i="14"/>
  <c r="AA35" i="14" s="1"/>
  <c r="Y9" i="14"/>
  <c r="Z20" i="14"/>
  <c r="AG21" i="14"/>
  <c r="T21" i="14"/>
  <c r="AA21" i="14" s="1"/>
  <c r="S21" i="14"/>
  <c r="V21" i="14" s="1"/>
  <c r="BA21" i="14" s="1"/>
  <c r="Y45" i="14"/>
  <c r="W45" i="14"/>
  <c r="T25" i="14"/>
  <c r="Y25" i="14" s="1"/>
  <c r="W37" i="14"/>
  <c r="BB37" i="14" s="1"/>
  <c r="D46" i="14"/>
  <c r="J46" i="14" s="1"/>
  <c r="AD46" i="14" s="1"/>
  <c r="AT46" i="14" s="1"/>
  <c r="E46" i="14"/>
  <c r="K46" i="14" s="1"/>
  <c r="AE46" i="14" s="1"/>
  <c r="AU46" i="14" s="1"/>
  <c r="T34" i="14"/>
  <c r="AA34" i="14" s="1"/>
  <c r="AG34" i="14"/>
  <c r="S34" i="14"/>
  <c r="Z34" i="14" s="1"/>
  <c r="S30" i="14"/>
  <c r="X30" i="14" s="1"/>
  <c r="AG30" i="14"/>
  <c r="T30" i="14"/>
  <c r="Y30" i="14" s="1"/>
  <c r="D35" i="14"/>
  <c r="J35" i="14" s="1"/>
  <c r="AD35" i="14" s="1"/>
  <c r="AT35" i="14" s="1"/>
  <c r="E35" i="14"/>
  <c r="K35" i="14" s="1"/>
  <c r="AE35" i="14" s="1"/>
  <c r="AU35" i="14" s="1"/>
  <c r="AL21" i="14"/>
  <c r="V20" i="14"/>
  <c r="T44" i="14"/>
  <c r="AA44" i="14" s="1"/>
  <c r="S44" i="14"/>
  <c r="V44" i="14" s="1"/>
  <c r="BA44" i="14" s="1"/>
  <c r="AG44" i="14"/>
  <c r="V12" i="14"/>
  <c r="Z8" i="14"/>
  <c r="T31" i="13"/>
  <c r="AN31" i="13"/>
  <c r="AN17" i="13"/>
  <c r="T17" i="13"/>
  <c r="Y37" i="13"/>
  <c r="AB37" i="13" s="1"/>
  <c r="X37" i="13"/>
  <c r="AA37" i="13" s="1"/>
  <c r="S30" i="13"/>
  <c r="AT5" i="13"/>
  <c r="Y10" i="13"/>
  <c r="AB10" i="13" s="1"/>
  <c r="X10" i="13"/>
  <c r="AA10" i="13" s="1"/>
  <c r="AS19" i="13"/>
  <c r="AQ19" i="13"/>
  <c r="AP19" i="13"/>
  <c r="AR19" i="13"/>
  <c r="AP29" i="13"/>
  <c r="AS29" i="13"/>
  <c r="AR29" i="13"/>
  <c r="AQ29" i="13"/>
  <c r="E24" i="13"/>
  <c r="K24" i="13" s="1"/>
  <c r="D24" i="13"/>
  <c r="J24" i="13" s="1"/>
  <c r="AR35" i="13"/>
  <c r="AS35" i="13"/>
  <c r="AQ35" i="13"/>
  <c r="AP35" i="13"/>
  <c r="AM31" i="13"/>
  <c r="S31" i="13"/>
  <c r="AO28" i="13"/>
  <c r="S17" i="13"/>
  <c r="AM17" i="13"/>
  <c r="Y22" i="13"/>
  <c r="AB22" i="13" s="1"/>
  <c r="X22" i="13"/>
  <c r="AA22" i="13" s="1"/>
  <c r="E7" i="13"/>
  <c r="D7" i="13"/>
  <c r="J7" i="13" s="1"/>
  <c r="AO21" i="13"/>
  <c r="AT14" i="13"/>
  <c r="E27" i="13"/>
  <c r="K27" i="13" s="1"/>
  <c r="D27" i="13"/>
  <c r="J27" i="13" s="1"/>
  <c r="E21" i="13"/>
  <c r="K21" i="13" s="1"/>
  <c r="D21" i="13"/>
  <c r="J21" i="13" s="1"/>
  <c r="AT22" i="13"/>
  <c r="AT32" i="13"/>
  <c r="E14" i="13"/>
  <c r="K14" i="13" s="1"/>
  <c r="D14" i="13"/>
  <c r="J14" i="13" s="1"/>
  <c r="AP45" i="13"/>
  <c r="AQ45" i="13"/>
  <c r="AS45" i="13"/>
  <c r="AR45" i="13"/>
  <c r="BQ43" i="13"/>
  <c r="AN35" i="13"/>
  <c r="T35" i="13"/>
  <c r="Y19" i="13"/>
  <c r="AB19" i="13" s="1"/>
  <c r="X19" i="13"/>
  <c r="AA19" i="13" s="1"/>
  <c r="AO26" i="13"/>
  <c r="AM28" i="13"/>
  <c r="S28" i="13"/>
  <c r="E9" i="13"/>
  <c r="D9" i="13"/>
  <c r="J9" i="13" s="1"/>
  <c r="AM29" i="13"/>
  <c r="X27" i="13"/>
  <c r="AA27" i="13" s="1"/>
  <c r="Y27" i="13"/>
  <c r="AB27" i="13" s="1"/>
  <c r="X21" i="13"/>
  <c r="AA21" i="13" s="1"/>
  <c r="Y21" i="13"/>
  <c r="AB21" i="13" s="1"/>
  <c r="AT9" i="13"/>
  <c r="AT18" i="13"/>
  <c r="AO16" i="13"/>
  <c r="BQ7" i="13"/>
  <c r="AO32" i="13"/>
  <c r="D8" i="13"/>
  <c r="J8" i="13" s="1"/>
  <c r="E8" i="13"/>
  <c r="X45" i="13"/>
  <c r="AA45" i="13" s="1"/>
  <c r="Y45" i="13"/>
  <c r="AB45" i="13" s="1"/>
  <c r="Y18" i="13"/>
  <c r="AB18" i="13" s="1"/>
  <c r="X18" i="13"/>
  <c r="AA18" i="13" s="1"/>
  <c r="AM35" i="13"/>
  <c r="S35" i="13"/>
  <c r="T29" i="13"/>
  <c r="AN29" i="13"/>
  <c r="AR43" i="13"/>
  <c r="AS43" i="13"/>
  <c r="AP43" i="13"/>
  <c r="AQ43" i="13"/>
  <c r="Y7" i="13"/>
  <c r="AB7" i="13" s="1"/>
  <c r="X7" i="13"/>
  <c r="AA7" i="13" s="1"/>
  <c r="AO5" i="13"/>
  <c r="Y41" i="13"/>
  <c r="AB41" i="13" s="1"/>
  <c r="X41" i="13"/>
  <c r="AA41" i="13" s="1"/>
  <c r="AP42" i="13"/>
  <c r="AR42" i="13"/>
  <c r="AS42" i="13"/>
  <c r="AQ42" i="13"/>
  <c r="AR31" i="13"/>
  <c r="AP31" i="13"/>
  <c r="AS31" i="13"/>
  <c r="AQ31" i="13"/>
  <c r="E6" i="13"/>
  <c r="D6" i="13"/>
  <c r="J6" i="13" s="1"/>
  <c r="AO33" i="13"/>
  <c r="AU33" i="13" s="1"/>
  <c r="AW33" i="13" s="1"/>
  <c r="AT13" i="13"/>
  <c r="AT20" i="13"/>
  <c r="Y29" i="13"/>
  <c r="AB29" i="13" s="1"/>
  <c r="X29" i="13"/>
  <c r="AA29" i="13" s="1"/>
  <c r="AT16" i="13"/>
  <c r="S23" i="13"/>
  <c r="BQ8" i="13"/>
  <c r="AS7" i="13"/>
  <c r="AR7" i="13"/>
  <c r="AT7" i="13" s="1"/>
  <c r="AQ7" i="13"/>
  <c r="AP7" i="13"/>
  <c r="AO7" i="13" s="1"/>
  <c r="AQ11" i="13"/>
  <c r="AO11" i="13" s="1"/>
  <c r="S22" i="13"/>
  <c r="AM22" i="13"/>
  <c r="D44" i="13"/>
  <c r="J44" i="13" s="1"/>
  <c r="E44" i="13"/>
  <c r="K44" i="13" s="1"/>
  <c r="AP37" i="13"/>
  <c r="AS37" i="13"/>
  <c r="AR37" i="13"/>
  <c r="AQ37" i="13"/>
  <c r="X35" i="13"/>
  <c r="AA35" i="13" s="1"/>
  <c r="Y35" i="13"/>
  <c r="AB35" i="13" s="1"/>
  <c r="D36" i="13"/>
  <c r="J36" i="13" s="1"/>
  <c r="E36" i="13"/>
  <c r="K36" i="13" s="1"/>
  <c r="BJ40" i="13"/>
  <c r="AP34" i="13"/>
  <c r="AR34" i="13"/>
  <c r="AQ34" i="13"/>
  <c r="AS34" i="13"/>
  <c r="T28" i="13"/>
  <c r="AN28" i="13"/>
  <c r="E16" i="13"/>
  <c r="K16" i="13" s="1"/>
  <c r="D16" i="13"/>
  <c r="J16" i="13" s="1"/>
  <c r="AT21" i="13"/>
  <c r="X43" i="13"/>
  <c r="AA43" i="13" s="1"/>
  <c r="Y43" i="13"/>
  <c r="AB43" i="13" s="1"/>
  <c r="AQ10" i="13"/>
  <c r="AR10" i="13"/>
  <c r="AP10" i="13"/>
  <c r="AS10" i="13"/>
  <c r="AM15" i="13"/>
  <c r="S15" i="13"/>
  <c r="BJ18" i="13"/>
  <c r="D39" i="13"/>
  <c r="J39" i="13" s="1"/>
  <c r="E39" i="13"/>
  <c r="K39" i="13" s="1"/>
  <c r="AO36" i="13"/>
  <c r="E38" i="13"/>
  <c r="K38" i="13" s="1"/>
  <c r="D38" i="13"/>
  <c r="J38" i="13" s="1"/>
  <c r="AO38" i="13"/>
  <c r="X31" i="13"/>
  <c r="AA31" i="13" s="1"/>
  <c r="Y31" i="13"/>
  <c r="AB31" i="13" s="1"/>
  <c r="BJ21" i="13"/>
  <c r="D18" i="13"/>
  <c r="J18" i="13" s="1"/>
  <c r="E18" i="13"/>
  <c r="K18" i="13" s="1"/>
  <c r="AO17" i="13"/>
  <c r="AM42" i="13"/>
  <c r="S42" i="13"/>
  <c r="AS12" i="13"/>
  <c r="AR12" i="13"/>
  <c r="AQ12" i="13"/>
  <c r="AP12" i="13"/>
  <c r="D25" i="13"/>
  <c r="J25" i="13" s="1"/>
  <c r="E25" i="13"/>
  <c r="K25" i="13" s="1"/>
  <c r="T34" i="13"/>
  <c r="AN34" i="13"/>
  <c r="S13" i="13"/>
  <c r="AM13" i="13"/>
  <c r="T15" i="13"/>
  <c r="AN15" i="13"/>
  <c r="T22" i="13"/>
  <c r="AN22" i="13"/>
  <c r="D37" i="13"/>
  <c r="J37" i="13" s="1"/>
  <c r="E37" i="13"/>
  <c r="K37" i="13" s="1"/>
  <c r="D43" i="13"/>
  <c r="J43" i="13" s="1"/>
  <c r="E43" i="13"/>
  <c r="K43" i="13" s="1"/>
  <c r="BJ25" i="13"/>
  <c r="AS25" i="13"/>
  <c r="AR25" i="13"/>
  <c r="AP25" i="13"/>
  <c r="AQ25" i="13"/>
  <c r="AO20" i="13"/>
  <c r="AT44" i="13"/>
  <c r="AS40" i="13"/>
  <c r="AT40" i="13" s="1"/>
  <c r="AV40" i="13" s="1"/>
  <c r="AX40" i="13" s="1"/>
  <c r="AZ40" i="13" s="1"/>
  <c r="BP40" i="13" s="1"/>
  <c r="BM40" i="13" s="1"/>
  <c r="BN40" i="13" s="1"/>
  <c r="AT38" i="13"/>
  <c r="Y30" i="13"/>
  <c r="AB30" i="13" s="1"/>
  <c r="X30" i="13"/>
  <c r="AA30" i="13" s="1"/>
  <c r="BJ20" i="13"/>
  <c r="E32" i="13"/>
  <c r="K32" i="13" s="1"/>
  <c r="D32" i="13"/>
  <c r="J32" i="13" s="1"/>
  <c r="AT17" i="13"/>
  <c r="T42" i="13"/>
  <c r="AN42" i="13"/>
  <c r="AR27" i="13"/>
  <c r="AS27" i="13"/>
  <c r="AQ27" i="13"/>
  <c r="AP27" i="13"/>
  <c r="E20" i="13"/>
  <c r="K20" i="13" s="1"/>
  <c r="D20" i="13"/>
  <c r="J20" i="13" s="1"/>
  <c r="Y12" i="13"/>
  <c r="AB12" i="13" s="1"/>
  <c r="X12" i="13"/>
  <c r="AA12" i="13" s="1"/>
  <c r="X8" i="13"/>
  <c r="AA8" i="13" s="1"/>
  <c r="Y8" i="13"/>
  <c r="AB8" i="13" s="1"/>
  <c r="E5" i="13"/>
  <c r="D5" i="13"/>
  <c r="J5" i="13" s="1"/>
  <c r="X13" i="13"/>
  <c r="AA13" i="13" s="1"/>
  <c r="Y13" i="13"/>
  <c r="AB13" i="13" s="1"/>
  <c r="E10" i="13"/>
  <c r="D10" i="13"/>
  <c r="J10" i="13" s="1"/>
  <c r="AT41" i="13"/>
  <c r="AV41" i="13" s="1"/>
  <c r="AX41" i="13" s="1"/>
  <c r="AZ41" i="13" s="1"/>
  <c r="BP41" i="13" s="1"/>
  <c r="BM41" i="13" s="1"/>
  <c r="BN41" i="13" s="1"/>
  <c r="BW13" i="13"/>
  <c r="BX13" i="13" s="1"/>
  <c r="K13" i="13"/>
  <c r="AO22" i="13"/>
  <c r="BK27" i="12"/>
  <c r="BR27" i="12" s="1"/>
  <c r="AG28" i="12"/>
  <c r="BD28" i="12"/>
  <c r="W28" i="12"/>
  <c r="X28" i="12" s="1"/>
  <c r="AA28" i="12" s="1"/>
  <c r="BK28" i="12"/>
  <c r="BR28" i="12" s="1"/>
  <c r="P27" i="12"/>
  <c r="AR27" i="12" s="1"/>
  <c r="AG22" i="12"/>
  <c r="BK22" i="12"/>
  <c r="BR22" i="12" s="1"/>
  <c r="P22" i="12"/>
  <c r="AR22" i="12" s="1"/>
  <c r="W20" i="12"/>
  <c r="X20" i="12" s="1"/>
  <c r="AA20" i="12" s="1"/>
  <c r="BD23" i="12"/>
  <c r="BK23" i="12"/>
  <c r="BR23" i="12" s="1"/>
  <c r="P23" i="12"/>
  <c r="AR23" i="12" s="1"/>
  <c r="AG23" i="12"/>
  <c r="P24" i="5"/>
  <c r="AL24" i="5" s="1"/>
  <c r="W22" i="12"/>
  <c r="X22" i="12" s="1"/>
  <c r="AA22" i="12" s="1"/>
  <c r="AG20" i="12"/>
  <c r="P20" i="12"/>
  <c r="BD20" i="12"/>
  <c r="P30" i="12"/>
  <c r="AP30" i="12" s="1"/>
  <c r="W30" i="12"/>
  <c r="Y30" i="12" s="1"/>
  <c r="AB30" i="12" s="1"/>
  <c r="P31" i="5"/>
  <c r="AL31" i="5" s="1"/>
  <c r="P29" i="5"/>
  <c r="AL29" i="5" s="1"/>
  <c r="AR36" i="5"/>
  <c r="AN36" i="5"/>
  <c r="AR20" i="5"/>
  <c r="AN20" i="5"/>
  <c r="AR43" i="5"/>
  <c r="AN43" i="5"/>
  <c r="AR27" i="5"/>
  <c r="AN27" i="5"/>
  <c r="AR11" i="5"/>
  <c r="AN11" i="5"/>
  <c r="AR42" i="5"/>
  <c r="AN42" i="5"/>
  <c r="AR26" i="5"/>
  <c r="AN26" i="5"/>
  <c r="AN18" i="5"/>
  <c r="AR18" i="5"/>
  <c r="AR33" i="5"/>
  <c r="AN33" i="5"/>
  <c r="AR17" i="5"/>
  <c r="AR40" i="5"/>
  <c r="AN40" i="5"/>
  <c r="AN24" i="5"/>
  <c r="AR24" i="5"/>
  <c r="AR8" i="5"/>
  <c r="AN8" i="5"/>
  <c r="AN31" i="5"/>
  <c r="AR31" i="5"/>
  <c r="AR23" i="5"/>
  <c r="AN23" i="5"/>
  <c r="AR7" i="5"/>
  <c r="AN7" i="5"/>
  <c r="P45" i="5"/>
  <c r="AL45" i="5" s="1"/>
  <c r="P37" i="5"/>
  <c r="AL37" i="5" s="1"/>
  <c r="P15" i="5"/>
  <c r="AL15" i="5" s="1"/>
  <c r="P23" i="5"/>
  <c r="AL23" i="5" s="1"/>
  <c r="P39" i="5"/>
  <c r="AL39" i="5" s="1"/>
  <c r="AR46" i="5"/>
  <c r="AN46" i="5"/>
  <c r="AR38" i="5"/>
  <c r="AN38" i="5"/>
  <c r="AR30" i="5"/>
  <c r="AN30" i="5"/>
  <c r="AR22" i="5"/>
  <c r="AN22" i="5"/>
  <c r="AR14" i="5"/>
  <c r="AN14" i="5"/>
  <c r="AR44" i="5"/>
  <c r="AN44" i="5"/>
  <c r="AR28" i="5"/>
  <c r="AN28" i="5"/>
  <c r="AR12" i="5"/>
  <c r="AN12" i="5"/>
  <c r="P6" i="5"/>
  <c r="AL6" i="5" s="1"/>
  <c r="AR35" i="5"/>
  <c r="AN35" i="5"/>
  <c r="AR19" i="5"/>
  <c r="AN19" i="5"/>
  <c r="AR34" i="5"/>
  <c r="AN34" i="5"/>
  <c r="AR10" i="5"/>
  <c r="AN10" i="5"/>
  <c r="AR41" i="5"/>
  <c r="AN41" i="5"/>
  <c r="AR25" i="5"/>
  <c r="AN25" i="5"/>
  <c r="AR9" i="5"/>
  <c r="AN9" i="5"/>
  <c r="AR32" i="5"/>
  <c r="AN32" i="5"/>
  <c r="AR16" i="5"/>
  <c r="AN16" i="5"/>
  <c r="AR39" i="5"/>
  <c r="AN39" i="5"/>
  <c r="AR15" i="5"/>
  <c r="AN15" i="5"/>
  <c r="AR6" i="5"/>
  <c r="AN45" i="5"/>
  <c r="AR45" i="5"/>
  <c r="AR37" i="5"/>
  <c r="AN37" i="5"/>
  <c r="AR29" i="5"/>
  <c r="AN29" i="5"/>
  <c r="AR21" i="5"/>
  <c r="AN21" i="5"/>
  <c r="AR13" i="5"/>
  <c r="AN13" i="5"/>
  <c r="Q42" i="5"/>
  <c r="R42" i="5"/>
  <c r="R34" i="5"/>
  <c r="Q34" i="5"/>
  <c r="R26" i="5"/>
  <c r="Q26" i="5"/>
  <c r="R18" i="5"/>
  <c r="Q18" i="5"/>
  <c r="R10" i="5"/>
  <c r="Q10" i="5"/>
  <c r="R41" i="5"/>
  <c r="Q41" i="5"/>
  <c r="R33" i="5"/>
  <c r="Q33" i="5"/>
  <c r="R25" i="5"/>
  <c r="Q25" i="5"/>
  <c r="R17" i="5"/>
  <c r="Q17" i="5"/>
  <c r="R9" i="5"/>
  <c r="Q9" i="5"/>
  <c r="Q40" i="5"/>
  <c r="R40" i="5"/>
  <c r="Q32" i="5"/>
  <c r="R32" i="5"/>
  <c r="Q24" i="5"/>
  <c r="R24" i="5"/>
  <c r="Q16" i="5"/>
  <c r="R16" i="5"/>
  <c r="Q8" i="5"/>
  <c r="R8" i="5"/>
  <c r="P30" i="5"/>
  <c r="AL30" i="5" s="1"/>
  <c r="P9" i="5"/>
  <c r="AL9" i="5" s="1"/>
  <c r="P17" i="5"/>
  <c r="AL17" i="5" s="1"/>
  <c r="P25" i="5"/>
  <c r="AL25" i="5" s="1"/>
  <c r="P33" i="5"/>
  <c r="AL33" i="5" s="1"/>
  <c r="P41" i="5"/>
  <c r="AL41" i="5" s="1"/>
  <c r="R39" i="5"/>
  <c r="Q39" i="5"/>
  <c r="R15" i="5"/>
  <c r="Q15" i="5"/>
  <c r="R38" i="5"/>
  <c r="Q38" i="5"/>
  <c r="R22" i="5"/>
  <c r="Q22" i="5"/>
  <c r="P7" i="5"/>
  <c r="AL7" i="5" s="1"/>
  <c r="Q45" i="5"/>
  <c r="R45" i="5"/>
  <c r="Q37" i="5"/>
  <c r="R37" i="5"/>
  <c r="Q29" i="5"/>
  <c r="R29" i="5"/>
  <c r="Q21" i="5"/>
  <c r="R21" i="5"/>
  <c r="Q13" i="5"/>
  <c r="R13" i="5"/>
  <c r="R6" i="5"/>
  <c r="Q6" i="5"/>
  <c r="R23" i="5"/>
  <c r="Q23" i="5"/>
  <c r="P26" i="5"/>
  <c r="AL26" i="5" s="1"/>
  <c r="R30" i="5"/>
  <c r="Q30" i="5"/>
  <c r="R44" i="5"/>
  <c r="Q44" i="5"/>
  <c r="Q36" i="5"/>
  <c r="R36" i="5"/>
  <c r="R28" i="5"/>
  <c r="Q28" i="5"/>
  <c r="R20" i="5"/>
  <c r="Q20" i="5"/>
  <c r="Q12" i="5"/>
  <c r="R12" i="5"/>
  <c r="R31" i="5"/>
  <c r="Q31" i="5"/>
  <c r="R7" i="5"/>
  <c r="Q7" i="5"/>
  <c r="R46" i="5"/>
  <c r="Q46" i="5"/>
  <c r="R14" i="5"/>
  <c r="Q14" i="5"/>
  <c r="R43" i="5"/>
  <c r="Q43" i="5"/>
  <c r="R35" i="5"/>
  <c r="Q35" i="5"/>
  <c r="R27" i="5"/>
  <c r="Q27" i="5"/>
  <c r="R19" i="5"/>
  <c r="Q19" i="5"/>
  <c r="R11" i="5"/>
  <c r="Q11" i="5"/>
  <c r="P22" i="5"/>
  <c r="AL22" i="5" s="1"/>
  <c r="P12" i="5"/>
  <c r="AL12" i="5" s="1"/>
  <c r="P27" i="5"/>
  <c r="AL27" i="5" s="1"/>
  <c r="P36" i="5"/>
  <c r="P43" i="5"/>
  <c r="AL43" i="5" s="1"/>
  <c r="P28" i="5"/>
  <c r="AL28" i="5" s="1"/>
  <c r="P46" i="5"/>
  <c r="AL46" i="5" s="1"/>
  <c r="P11" i="5"/>
  <c r="AL11" i="5" s="1"/>
  <c r="P35" i="5"/>
  <c r="AL35" i="5" s="1"/>
  <c r="P20" i="5"/>
  <c r="AL20" i="5" s="1"/>
  <c r="P14" i="5"/>
  <c r="AL14" i="5" s="1"/>
  <c r="P44" i="5"/>
  <c r="AL44" i="5" s="1"/>
  <c r="P38" i="5"/>
  <c r="AL38" i="5" s="1"/>
  <c r="P19" i="5"/>
  <c r="AL19" i="5" s="1"/>
  <c r="AS36" i="12"/>
  <c r="AR36" i="12"/>
  <c r="AP36" i="12"/>
  <c r="AR32" i="12"/>
  <c r="BO20" i="12"/>
  <c r="BQ20" i="12" s="1"/>
  <c r="AR28" i="12"/>
  <c r="BG40" i="12"/>
  <c r="BJ44" i="12"/>
  <c r="Q7" i="12"/>
  <c r="AQ7" i="12" s="1"/>
  <c r="BG11" i="12"/>
  <c r="Q12" i="12"/>
  <c r="BO12" i="12"/>
  <c r="BG20" i="12"/>
  <c r="BJ20" i="12" s="1"/>
  <c r="Q23" i="12"/>
  <c r="BO23" i="12"/>
  <c r="BO31" i="12"/>
  <c r="Q32" i="12"/>
  <c r="BO35" i="12"/>
  <c r="R40" i="12"/>
  <c r="BG43" i="12"/>
  <c r="R7" i="12"/>
  <c r="AS7" i="12" s="1"/>
  <c r="BG8" i="12"/>
  <c r="BJ8" i="12" s="1"/>
  <c r="R12" i="12"/>
  <c r="AS12" i="12" s="1"/>
  <c r="BO16" i="12"/>
  <c r="BQ16" i="12" s="1"/>
  <c r="R21" i="12"/>
  <c r="AS21" i="12" s="1"/>
  <c r="BO21" i="12"/>
  <c r="BQ21" i="12" s="1"/>
  <c r="BQ22" i="12"/>
  <c r="R23" i="12"/>
  <c r="R32" i="12"/>
  <c r="AS32" i="12" s="1"/>
  <c r="R16" i="12"/>
  <c r="AS16" i="12" s="1"/>
  <c r="AT16" i="12" s="1"/>
  <c r="P34" i="12"/>
  <c r="AR34" i="12" s="1"/>
  <c r="Q20" i="12"/>
  <c r="Q28" i="12"/>
  <c r="AQ28" i="12" s="1"/>
  <c r="AO28" i="12" s="1"/>
  <c r="BO15" i="12"/>
  <c r="BG17" i="12"/>
  <c r="BO24" i="12"/>
  <c r="BQ24" i="12" s="1"/>
  <c r="BG25" i="12"/>
  <c r="BJ25" i="12" s="1"/>
  <c r="BG27" i="12"/>
  <c r="R28" i="12"/>
  <c r="AS28" i="12" s="1"/>
  <c r="BG29" i="12"/>
  <c r="BJ29" i="12" s="1"/>
  <c r="Q36" i="12"/>
  <c r="AQ36" i="12" s="1"/>
  <c r="BO36" i="12"/>
  <c r="BQ36" i="12" s="1"/>
  <c r="Q39" i="12"/>
  <c r="BO40" i="12"/>
  <c r="BQ40" i="12" s="1"/>
  <c r="BO44" i="12"/>
  <c r="Q16" i="12"/>
  <c r="AQ16" i="12" s="1"/>
  <c r="BG32" i="12"/>
  <c r="BJ32" i="12" s="1"/>
  <c r="Q8" i="12"/>
  <c r="AQ8" i="12" s="1"/>
  <c r="BQ13" i="12"/>
  <c r="Q15" i="12"/>
  <c r="AQ15" i="12" s="1"/>
  <c r="AP15" i="12"/>
  <c r="BO17" i="12"/>
  <c r="BG19" i="12"/>
  <c r="Q24" i="12"/>
  <c r="AQ24" i="12" s="1"/>
  <c r="AO24" i="12" s="1"/>
  <c r="R39" i="12"/>
  <c r="AS39" i="12" s="1"/>
  <c r="Q44" i="12"/>
  <c r="BO8" i="12"/>
  <c r="BQ8" i="12" s="1"/>
  <c r="BJ16" i="12"/>
  <c r="AR30" i="12"/>
  <c r="BQ10" i="12"/>
  <c r="BJ5" i="12"/>
  <c r="Y19" i="12"/>
  <c r="AB19" i="12" s="1"/>
  <c r="X19" i="12"/>
  <c r="AA19" i="12" s="1"/>
  <c r="X25" i="12"/>
  <c r="AA25" i="12" s="1"/>
  <c r="Y25" i="12"/>
  <c r="AB25" i="12" s="1"/>
  <c r="P10" i="12"/>
  <c r="AP10" i="12" s="1"/>
  <c r="AG18" i="12"/>
  <c r="BK25" i="12"/>
  <c r="BR25" i="12" s="1"/>
  <c r="BD27" i="12"/>
  <c r="W34" i="12"/>
  <c r="X34" i="12" s="1"/>
  <c r="AA34" i="12" s="1"/>
  <c r="P9" i="12"/>
  <c r="W10" i="12"/>
  <c r="Y10" i="12" s="1"/>
  <c r="AB10" i="12" s="1"/>
  <c r="AR24" i="12"/>
  <c r="Y40" i="12"/>
  <c r="AB40" i="12" s="1"/>
  <c r="BK45" i="12"/>
  <c r="BR45" i="12" s="1"/>
  <c r="AG43" i="12"/>
  <c r="AG35" i="12"/>
  <c r="AG27" i="12"/>
  <c r="AG19" i="12"/>
  <c r="BD11" i="12"/>
  <c r="P19" i="12"/>
  <c r="AP19" i="12" s="1"/>
  <c r="X33" i="12"/>
  <c r="AA33" i="12" s="1"/>
  <c r="Y15" i="12"/>
  <c r="AB15" i="12" s="1"/>
  <c r="W18" i="12"/>
  <c r="P26" i="12"/>
  <c r="W35" i="12"/>
  <c r="AQ41" i="12"/>
  <c r="P43" i="12"/>
  <c r="AP43" i="12" s="1"/>
  <c r="P11" i="12"/>
  <c r="P13" i="12"/>
  <c r="AR13" i="12" s="1"/>
  <c r="BK19" i="12"/>
  <c r="BR19" i="12" s="1"/>
  <c r="W21" i="12"/>
  <c r="X21" i="12" s="1"/>
  <c r="AA21" i="12" s="1"/>
  <c r="P25" i="12"/>
  <c r="AR25" i="12" s="1"/>
  <c r="BD25" i="12"/>
  <c r="W26" i="12"/>
  <c r="Y31" i="12"/>
  <c r="AB31" i="12" s="1"/>
  <c r="Y32" i="12"/>
  <c r="AB32" i="12" s="1"/>
  <c r="Y36" i="12"/>
  <c r="AB36" i="12" s="1"/>
  <c r="W42" i="12"/>
  <c r="W43" i="12"/>
  <c r="X43" i="12" s="1"/>
  <c r="AA43" i="12" s="1"/>
  <c r="Y44" i="12"/>
  <c r="AB44" i="12" s="1"/>
  <c r="P35" i="12"/>
  <c r="W11" i="12"/>
  <c r="W17" i="12"/>
  <c r="BK34" i="12"/>
  <c r="BR34" i="12" s="1"/>
  <c r="W41" i="12"/>
  <c r="X41" i="12" s="1"/>
  <c r="AA41" i="12" s="1"/>
  <c r="AG11" i="12"/>
  <c r="BD42" i="12"/>
  <c r="Y7" i="12"/>
  <c r="AB7" i="12" s="1"/>
  <c r="W29" i="12"/>
  <c r="AG45" i="12"/>
  <c r="BD37" i="12"/>
  <c r="AG29" i="12"/>
  <c r="AG21" i="12"/>
  <c r="BD13" i="12"/>
  <c r="BD34" i="12"/>
  <c r="BD35" i="12"/>
  <c r="BD19" i="12"/>
  <c r="AG10" i="12"/>
  <c r="AG26" i="12"/>
  <c r="AG33" i="12"/>
  <c r="AG37" i="12"/>
  <c r="BC43" i="12"/>
  <c r="C43" i="12"/>
  <c r="Q43" i="12"/>
  <c r="R43" i="12"/>
  <c r="BI43" i="12"/>
  <c r="AF43" i="12"/>
  <c r="R11" i="12"/>
  <c r="Q11" i="12"/>
  <c r="AF11" i="12"/>
  <c r="BC11" i="12"/>
  <c r="BI11" i="12"/>
  <c r="BQ11" i="12" s="1"/>
  <c r="Q18" i="12"/>
  <c r="C11" i="12"/>
  <c r="D11" i="12" s="1"/>
  <c r="J11" i="12" s="1"/>
  <c r="BI19" i="12"/>
  <c r="BQ19" i="12" s="1"/>
  <c r="D12" i="12"/>
  <c r="J12" i="12" s="1"/>
  <c r="AM12" i="12" s="1"/>
  <c r="Q19" i="12"/>
  <c r="E23" i="12"/>
  <c r="K23" i="12" s="1"/>
  <c r="J23" i="12"/>
  <c r="AM23" i="12" s="1"/>
  <c r="BJ40" i="12"/>
  <c r="C35" i="12"/>
  <c r="E35" i="12" s="1"/>
  <c r="K35" i="12" s="1"/>
  <c r="BC35" i="12"/>
  <c r="AF35" i="12"/>
  <c r="BI35" i="12"/>
  <c r="R35" i="12"/>
  <c r="BC34" i="12"/>
  <c r="C34" i="12"/>
  <c r="R34" i="12"/>
  <c r="Q34" i="12"/>
  <c r="BI34" i="12"/>
  <c r="BJ34" i="12" s="1"/>
  <c r="AF34" i="12"/>
  <c r="D7" i="12"/>
  <c r="J7" i="12" s="1"/>
  <c r="AM7" i="12" s="1"/>
  <c r="Q27" i="12"/>
  <c r="BI27" i="12"/>
  <c r="AF27" i="12"/>
  <c r="BC27" i="12"/>
  <c r="R27" i="12"/>
  <c r="BI26" i="12"/>
  <c r="BJ26" i="12" s="1"/>
  <c r="Q26" i="12"/>
  <c r="C26" i="12"/>
  <c r="BC26" i="12"/>
  <c r="AF26" i="12"/>
  <c r="R26" i="12"/>
  <c r="E13" i="12"/>
  <c r="K13" i="12" s="1"/>
  <c r="D13" i="12"/>
  <c r="J13" i="12" s="1"/>
  <c r="AM13" i="12" s="1"/>
  <c r="C19" i="12"/>
  <c r="D19" i="12" s="1"/>
  <c r="J19" i="12" s="1"/>
  <c r="R19" i="12"/>
  <c r="BC19" i="12"/>
  <c r="BC18" i="12"/>
  <c r="BI18" i="12"/>
  <c r="AF18" i="12"/>
  <c r="C18" i="12"/>
  <c r="Q35" i="12"/>
  <c r="BC9" i="12"/>
  <c r="Q10" i="12"/>
  <c r="AF17" i="12"/>
  <c r="BI17" i="12"/>
  <c r="R33" i="12"/>
  <c r="BI33" i="12"/>
  <c r="AF41" i="12"/>
  <c r="Q9" i="12"/>
  <c r="AF9" i="12"/>
  <c r="R10" i="12"/>
  <c r="BC10" i="12"/>
  <c r="Q17" i="12"/>
  <c r="AQ17" i="12" s="1"/>
  <c r="C22" i="12"/>
  <c r="Q22" i="12"/>
  <c r="D24" i="12"/>
  <c r="J24" i="12" s="1"/>
  <c r="AM24" i="12" s="1"/>
  <c r="BC25" i="12"/>
  <c r="BQ32" i="12"/>
  <c r="BJ41" i="12"/>
  <c r="AF42" i="12"/>
  <c r="K44" i="12"/>
  <c r="T44" i="12" s="1"/>
  <c r="AF45" i="12"/>
  <c r="BI45" i="12"/>
  <c r="BQ45" i="12" s="1"/>
  <c r="E37" i="12"/>
  <c r="K37" i="12" s="1"/>
  <c r="AN37" i="12" s="1"/>
  <c r="D8" i="12"/>
  <c r="J8" i="12" s="1"/>
  <c r="AM8" i="12" s="1"/>
  <c r="AF10" i="12"/>
  <c r="BJ21" i="12"/>
  <c r="AS23" i="12"/>
  <c r="AT23" i="12" s="1"/>
  <c r="AF25" i="12"/>
  <c r="AF33" i="12"/>
  <c r="BC33" i="12"/>
  <c r="BQ37" i="12"/>
  <c r="C42" i="12"/>
  <c r="R45" i="12"/>
  <c r="R42" i="12"/>
  <c r="AS42" i="12" s="1"/>
  <c r="BQ6" i="12"/>
  <c r="Q25" i="12"/>
  <c r="BQ25" i="12"/>
  <c r="C29" i="12"/>
  <c r="BQ41" i="12"/>
  <c r="C41" i="12"/>
  <c r="E41" i="12" s="1"/>
  <c r="K41" i="12" s="1"/>
  <c r="D44" i="12"/>
  <c r="J44" i="12" s="1"/>
  <c r="T14" i="12"/>
  <c r="AN14" i="12"/>
  <c r="BY8" i="12"/>
  <c r="BW8" i="12"/>
  <c r="BX8" i="12" s="1"/>
  <c r="AN30" i="12"/>
  <c r="Y38" i="12"/>
  <c r="AB38" i="12" s="1"/>
  <c r="X38" i="12"/>
  <c r="AA38" i="12" s="1"/>
  <c r="E5" i="12"/>
  <c r="D5" i="12"/>
  <c r="J5" i="12" s="1"/>
  <c r="X5" i="12"/>
  <c r="AA5" i="12" s="1"/>
  <c r="AP16" i="12"/>
  <c r="AS6" i="12"/>
  <c r="AR6" i="12"/>
  <c r="AT6" i="12" s="1"/>
  <c r="AP6" i="12"/>
  <c r="K12" i="12"/>
  <c r="BW12" i="12"/>
  <c r="BX12" i="12" s="1"/>
  <c r="Y16" i="12"/>
  <c r="AB16" i="12" s="1"/>
  <c r="X16" i="12"/>
  <c r="AA16" i="12" s="1"/>
  <c r="AR21" i="12"/>
  <c r="AQ21" i="12"/>
  <c r="AP21" i="12"/>
  <c r="D9" i="12"/>
  <c r="J9" i="12" s="1"/>
  <c r="AP7" i="12"/>
  <c r="D14" i="12"/>
  <c r="J14" i="12" s="1"/>
  <c r="T8" i="12"/>
  <c r="K9" i="12"/>
  <c r="AR12" i="12"/>
  <c r="Y13" i="12"/>
  <c r="AB13" i="12" s="1"/>
  <c r="X13" i="12"/>
  <c r="AA13" i="12" s="1"/>
  <c r="AP13" i="12"/>
  <c r="AR7" i="12"/>
  <c r="E27" i="12"/>
  <c r="K27" i="12" s="1"/>
  <c r="D27" i="12"/>
  <c r="J27" i="12" s="1"/>
  <c r="E6" i="12"/>
  <c r="D6" i="12"/>
  <c r="J6" i="12" s="1"/>
  <c r="BW7" i="12"/>
  <c r="BX7" i="12" s="1"/>
  <c r="K7" i="12"/>
  <c r="Y8" i="12"/>
  <c r="AB8" i="12" s="1"/>
  <c r="X8" i="12"/>
  <c r="AA8" i="12" s="1"/>
  <c r="E25" i="12"/>
  <c r="K25" i="12" s="1"/>
  <c r="D25" i="12"/>
  <c r="J25" i="12" s="1"/>
  <c r="D28" i="12"/>
  <c r="J28" i="12" s="1"/>
  <c r="E28" i="12"/>
  <c r="K28" i="12" s="1"/>
  <c r="AS29" i="12"/>
  <c r="AR29" i="12"/>
  <c r="E38" i="12"/>
  <c r="K38" i="12" s="1"/>
  <c r="BJ10" i="12"/>
  <c r="Y23" i="12"/>
  <c r="AB23" i="12" s="1"/>
  <c r="X23" i="12"/>
  <c r="AA23" i="12" s="1"/>
  <c r="BQ23" i="12"/>
  <c r="BQ29" i="12"/>
  <c r="AR31" i="12"/>
  <c r="AQ31" i="12"/>
  <c r="AP31" i="12"/>
  <c r="AR15" i="12"/>
  <c r="AS8" i="12"/>
  <c r="AT8" i="12" s="1"/>
  <c r="AV8" i="12" s="1"/>
  <c r="AX8" i="12" s="1"/>
  <c r="AZ8" i="12" s="1"/>
  <c r="BP8" i="12" s="1"/>
  <c r="AP8" i="12"/>
  <c r="K10" i="12"/>
  <c r="E11" i="12"/>
  <c r="AR17" i="12"/>
  <c r="AP17" i="12"/>
  <c r="D45" i="12"/>
  <c r="J45" i="12" s="1"/>
  <c r="E45" i="12"/>
  <c r="K45" i="12" s="1"/>
  <c r="E36" i="12"/>
  <c r="K36" i="12" s="1"/>
  <c r="D36" i="12"/>
  <c r="J36" i="12" s="1"/>
  <c r="E31" i="12"/>
  <c r="K31" i="12" s="1"/>
  <c r="D31" i="12"/>
  <c r="J31" i="12" s="1"/>
  <c r="AM44" i="12"/>
  <c r="BJ12" i="12"/>
  <c r="D33" i="12"/>
  <c r="J33" i="12" s="1"/>
  <c r="E33" i="12"/>
  <c r="K33" i="12" s="1"/>
  <c r="X27" i="12"/>
  <c r="AA27" i="12" s="1"/>
  <c r="Y27" i="12"/>
  <c r="AB27" i="12" s="1"/>
  <c r="Y43" i="12"/>
  <c r="AB43" i="12" s="1"/>
  <c r="BJ37" i="12"/>
  <c r="Y45" i="12"/>
  <c r="AB45" i="12" s="1"/>
  <c r="X45" i="12"/>
  <c r="AA45" i="12" s="1"/>
  <c r="AR45" i="12"/>
  <c r="Y32" i="14" l="1"/>
  <c r="BB32" i="14"/>
  <c r="BD32" i="14" s="1"/>
  <c r="BB29" i="14"/>
  <c r="BD29" i="14" s="1"/>
  <c r="AW29" i="14"/>
  <c r="BA26" i="14"/>
  <c r="AV26" i="14"/>
  <c r="BA25" i="14"/>
  <c r="BC25" i="14" s="1"/>
  <c r="AV25" i="14"/>
  <c r="BD42" i="14"/>
  <c r="BB27" i="14"/>
  <c r="BA15" i="14"/>
  <c r="X19" i="14"/>
  <c r="BB15" i="14"/>
  <c r="X10" i="14"/>
  <c r="BC41" i="14"/>
  <c r="BA9" i="14"/>
  <c r="BC9" i="14" s="1"/>
  <c r="BA32" i="14"/>
  <c r="AS37" i="12"/>
  <c r="Y9" i="12"/>
  <c r="AB9" i="12" s="1"/>
  <c r="AQ33" i="12"/>
  <c r="AQ6" i="12"/>
  <c r="Y34" i="12"/>
  <c r="AB34" i="12" s="1"/>
  <c r="AS45" i="12"/>
  <c r="AT45" i="12" s="1"/>
  <c r="AQ45" i="12"/>
  <c r="AO45" i="12" s="1"/>
  <c r="AR33" i="12"/>
  <c r="AS33" i="12"/>
  <c r="AP33" i="12"/>
  <c r="AO33" i="12" s="1"/>
  <c r="AO14" i="12"/>
  <c r="X37" i="12"/>
  <c r="AA37" i="12" s="1"/>
  <c r="AR39" i="12"/>
  <c r="BJ45" i="12"/>
  <c r="BJ39" i="12"/>
  <c r="AS44" i="12"/>
  <c r="BJ7" i="12"/>
  <c r="D10" i="12"/>
  <c r="J10" i="12" s="1"/>
  <c r="E16" i="12"/>
  <c r="K16" i="12" s="1"/>
  <c r="E17" i="12"/>
  <c r="K17" i="12" s="1"/>
  <c r="AN17" i="12" s="1"/>
  <c r="BQ42" i="12"/>
  <c r="D20" i="12"/>
  <c r="J20" i="12" s="1"/>
  <c r="AM20" i="12" s="1"/>
  <c r="BQ15" i="12"/>
  <c r="BQ12" i="12"/>
  <c r="BQ44" i="12"/>
  <c r="E21" i="12"/>
  <c r="K21" i="12" s="1"/>
  <c r="AQ39" i="12"/>
  <c r="AO39" i="12" s="1"/>
  <c r="AR44" i="12"/>
  <c r="BA7" i="14"/>
  <c r="AU23" i="13"/>
  <c r="AW23" i="13" s="1"/>
  <c r="AY23" i="13" s="1"/>
  <c r="BH23" i="13" s="1"/>
  <c r="BE23" i="13" s="1"/>
  <c r="BF23" i="13" s="1"/>
  <c r="BJ9" i="12"/>
  <c r="AN24" i="12"/>
  <c r="AQ32" i="12"/>
  <c r="AO32" i="12" s="1"/>
  <c r="AU32" i="12" s="1"/>
  <c r="AW32" i="12" s="1"/>
  <c r="AY32" i="12" s="1"/>
  <c r="BH32" i="12" s="1"/>
  <c r="BE32" i="12" s="1"/>
  <c r="BF32" i="12" s="1"/>
  <c r="AR42" i="12"/>
  <c r="AT42" i="12" s="1"/>
  <c r="AS18" i="12"/>
  <c r="BQ31" i="12"/>
  <c r="AQ11" i="12"/>
  <c r="T32" i="12"/>
  <c r="D40" i="12"/>
  <c r="J40" i="12" s="1"/>
  <c r="S40" i="12" s="1"/>
  <c r="AQ44" i="12"/>
  <c r="AO44" i="12" s="1"/>
  <c r="AU44" i="12" s="1"/>
  <c r="AW44" i="12" s="1"/>
  <c r="AY44" i="12" s="1"/>
  <c r="BH44" i="12" s="1"/>
  <c r="BE44" i="12" s="1"/>
  <c r="BF44" i="12" s="1"/>
  <c r="AT24" i="12"/>
  <c r="V29" i="14"/>
  <c r="AR5" i="12"/>
  <c r="AP18" i="12"/>
  <c r="AQ5" i="12"/>
  <c r="AO5" i="12" s="1"/>
  <c r="AR18" i="12"/>
  <c r="AN44" i="12"/>
  <c r="AS43" i="12"/>
  <c r="Y39" i="12"/>
  <c r="AB39" i="12" s="1"/>
  <c r="AM41" i="13"/>
  <c r="AU41" i="13" s="1"/>
  <c r="AW41" i="13" s="1"/>
  <c r="AY41" i="13" s="1"/>
  <c r="BH41" i="13" s="1"/>
  <c r="BE41" i="13" s="1"/>
  <c r="BF41" i="13" s="1"/>
  <c r="BB36" i="14"/>
  <c r="Z41" i="14"/>
  <c r="X26" i="14"/>
  <c r="BC26" i="14" s="1"/>
  <c r="BQ35" i="12"/>
  <c r="T39" i="12"/>
  <c r="W41" i="14"/>
  <c r="BB41" i="14" s="1"/>
  <c r="T40" i="12"/>
  <c r="W21" i="14"/>
  <c r="BB21" i="14" s="1"/>
  <c r="BZ12" i="13"/>
  <c r="AQ18" i="12"/>
  <c r="X44" i="14"/>
  <c r="Z26" i="14"/>
  <c r="BD15" i="14"/>
  <c r="BM8" i="12"/>
  <c r="BN8" i="12" s="1"/>
  <c r="AS40" i="12"/>
  <c r="AT40" i="12" s="1"/>
  <c r="AV40" i="12" s="1"/>
  <c r="AX40" i="12" s="1"/>
  <c r="AZ40" i="12" s="1"/>
  <c r="BP40" i="12" s="1"/>
  <c r="BM40" i="12" s="1"/>
  <c r="BN40" i="12" s="1"/>
  <c r="AT36" i="12"/>
  <c r="BB45" i="14"/>
  <c r="AS11" i="12"/>
  <c r="BA18" i="14"/>
  <c r="BJ22" i="12"/>
  <c r="Y28" i="12"/>
  <c r="AB28" i="12" s="1"/>
  <c r="S37" i="12"/>
  <c r="AT15" i="12"/>
  <c r="AR11" i="12"/>
  <c r="BA12" i="14"/>
  <c r="BC12" i="14" s="1"/>
  <c r="X22" i="14"/>
  <c r="S11" i="13"/>
  <c r="X29" i="14"/>
  <c r="AQ40" i="12"/>
  <c r="AO41" i="12"/>
  <c r="T12" i="13"/>
  <c r="AU26" i="13"/>
  <c r="AW26" i="13" s="1"/>
  <c r="AY26" i="13" s="1"/>
  <c r="BH26" i="13" s="1"/>
  <c r="BE26" i="13" s="1"/>
  <c r="BF26" i="13" s="1"/>
  <c r="W14" i="14"/>
  <c r="BB14" i="14" s="1"/>
  <c r="AS20" i="12"/>
  <c r="AT5" i="12"/>
  <c r="AP40" i="12"/>
  <c r="AV22" i="13"/>
  <c r="AX22" i="13" s="1"/>
  <c r="AZ22" i="13" s="1"/>
  <c r="BP22" i="13" s="1"/>
  <c r="BM22" i="13" s="1"/>
  <c r="BN22" i="13" s="1"/>
  <c r="AU11" i="13"/>
  <c r="AW11" i="13" s="1"/>
  <c r="AY11" i="13" s="1"/>
  <c r="BH11" i="13" s="1"/>
  <c r="BE11" i="13" s="1"/>
  <c r="BF11" i="13" s="1"/>
  <c r="BW11" i="13"/>
  <c r="BX11" i="13" s="1"/>
  <c r="K11" i="13"/>
  <c r="T30" i="13"/>
  <c r="AN30" i="13"/>
  <c r="AV30" i="13" s="1"/>
  <c r="AX30" i="13" s="1"/>
  <c r="AZ30" i="13" s="1"/>
  <c r="BP30" i="13" s="1"/>
  <c r="BM30" i="13" s="1"/>
  <c r="BN30" i="13" s="1"/>
  <c r="AO42" i="12"/>
  <c r="T30" i="12"/>
  <c r="D39" i="12"/>
  <c r="J39" i="12" s="1"/>
  <c r="AM39" i="12" s="1"/>
  <c r="AU39" i="12" s="1"/>
  <c r="AW39" i="12" s="1"/>
  <c r="AY39" i="12" s="1"/>
  <c r="BH39" i="12" s="1"/>
  <c r="BE39" i="12" s="1"/>
  <c r="BF39" i="12" s="1"/>
  <c r="AT32" i="12"/>
  <c r="AV32" i="12" s="1"/>
  <c r="AX32" i="12" s="1"/>
  <c r="AZ32" i="12" s="1"/>
  <c r="BP32" i="12" s="1"/>
  <c r="BM32" i="12" s="1"/>
  <c r="BN32" i="12" s="1"/>
  <c r="AV15" i="13"/>
  <c r="AX15" i="13" s="1"/>
  <c r="AZ15" i="13" s="1"/>
  <c r="BP15" i="13" s="1"/>
  <c r="BM15" i="13" s="1"/>
  <c r="BN15" i="13" s="1"/>
  <c r="BA16" i="14"/>
  <c r="BB24" i="14"/>
  <c r="D41" i="12"/>
  <c r="J41" i="12" s="1"/>
  <c r="AT33" i="12"/>
  <c r="AU24" i="12"/>
  <c r="AW24" i="12" s="1"/>
  <c r="AY24" i="12" s="1"/>
  <c r="BH24" i="12" s="1"/>
  <c r="BE24" i="12" s="1"/>
  <c r="BF24" i="12" s="1"/>
  <c r="S12" i="12"/>
  <c r="BB33" i="14"/>
  <c r="BD33" i="14" s="1"/>
  <c r="V10" i="14"/>
  <c r="BA10" i="14" s="1"/>
  <c r="BC10" i="14" s="1"/>
  <c r="BA31" i="14"/>
  <c r="S13" i="12"/>
  <c r="T23" i="13"/>
  <c r="AN23" i="13"/>
  <c r="AV23" i="13" s="1"/>
  <c r="AX23" i="13" s="1"/>
  <c r="AZ23" i="13" s="1"/>
  <c r="BP23" i="13" s="1"/>
  <c r="BM23" i="13" s="1"/>
  <c r="BN23" i="13" s="1"/>
  <c r="D35" i="12"/>
  <c r="J35" i="12" s="1"/>
  <c r="AM35" i="12" s="1"/>
  <c r="AQ10" i="12"/>
  <c r="AO10" i="12" s="1"/>
  <c r="BA22" i="14"/>
  <c r="BD8" i="14"/>
  <c r="AQ13" i="12"/>
  <c r="AR10" i="12"/>
  <c r="E19" i="12"/>
  <c r="K19" i="12" s="1"/>
  <c r="AN19" i="12" s="1"/>
  <c r="AR38" i="12"/>
  <c r="BA27" i="14"/>
  <c r="BA11" i="14"/>
  <c r="Y14" i="14"/>
  <c r="BB18" i="14"/>
  <c r="BD18" i="14" s="1"/>
  <c r="AA10" i="14"/>
  <c r="AP37" i="12"/>
  <c r="AO37" i="12" s="1"/>
  <c r="AU37" i="12" s="1"/>
  <c r="AW37" i="12" s="1"/>
  <c r="AY37" i="12" s="1"/>
  <c r="BH37" i="12" s="1"/>
  <c r="BE37" i="12" s="1"/>
  <c r="BF37" i="12" s="1"/>
  <c r="AR37" i="12"/>
  <c r="AT37" i="12" s="1"/>
  <c r="AV37" i="12" s="1"/>
  <c r="AX37" i="12" s="1"/>
  <c r="AZ37" i="12" s="1"/>
  <c r="BP37" i="12" s="1"/>
  <c r="BM37" i="12" s="1"/>
  <c r="BN37" i="12" s="1"/>
  <c r="BQ34" i="12"/>
  <c r="AO7" i="12"/>
  <c r="X10" i="12"/>
  <c r="AA10" i="12" s="1"/>
  <c r="S17" i="12"/>
  <c r="S10" i="12"/>
  <c r="AS38" i="12"/>
  <c r="AQ38" i="12"/>
  <c r="AO38" i="12" s="1"/>
  <c r="AO15" i="12"/>
  <c r="AT28" i="12"/>
  <c r="AU13" i="13"/>
  <c r="AW13" i="13" s="1"/>
  <c r="AY13" i="13" s="1"/>
  <c r="BH13" i="13" s="1"/>
  <c r="BE13" i="13" s="1"/>
  <c r="BF13" i="13" s="1"/>
  <c r="Z24" i="14"/>
  <c r="T19" i="13"/>
  <c r="X40" i="14"/>
  <c r="E15" i="12"/>
  <c r="K15" i="12" s="1"/>
  <c r="D15" i="12"/>
  <c r="J15" i="12" s="1"/>
  <c r="S19" i="13"/>
  <c r="Y12" i="14"/>
  <c r="W12" i="14"/>
  <c r="BB12" i="14" s="1"/>
  <c r="V24" i="14"/>
  <c r="V40" i="14"/>
  <c r="BA40" i="14" s="1"/>
  <c r="BW13" i="12"/>
  <c r="BX13" i="12" s="1"/>
  <c r="S8" i="12"/>
  <c r="AP11" i="12"/>
  <c r="S32" i="12"/>
  <c r="AQ30" i="12"/>
  <c r="AO30" i="12" s="1"/>
  <c r="AU30" i="12" s="1"/>
  <c r="AW30" i="12" s="1"/>
  <c r="AY30" i="12" s="1"/>
  <c r="BH30" i="12" s="1"/>
  <c r="BE30" i="12" s="1"/>
  <c r="BF30" i="12" s="1"/>
  <c r="AS26" i="12"/>
  <c r="S44" i="12"/>
  <c r="BE40" i="13"/>
  <c r="BF40" i="13" s="1"/>
  <c r="Y41" i="14"/>
  <c r="W40" i="14"/>
  <c r="BB40" i="14" s="1"/>
  <c r="Y40" i="14"/>
  <c r="BD40" i="14" s="1"/>
  <c r="V14" i="14"/>
  <c r="BA14" i="14" s="1"/>
  <c r="W22" i="14"/>
  <c r="BB22" i="14" s="1"/>
  <c r="Y39" i="14"/>
  <c r="W43" i="14"/>
  <c r="BB43" i="14" s="1"/>
  <c r="W13" i="14"/>
  <c r="BB13" i="14" s="1"/>
  <c r="AA22" i="14"/>
  <c r="Z44" i="14"/>
  <c r="AA31" i="14"/>
  <c r="W39" i="14"/>
  <c r="BB39" i="14" s="1"/>
  <c r="Z46" i="14"/>
  <c r="Y13" i="14"/>
  <c r="Z30" i="14"/>
  <c r="V43" i="14"/>
  <c r="BA43" i="14" s="1"/>
  <c r="BD9" i="14"/>
  <c r="W31" i="14"/>
  <c r="W38" i="14"/>
  <c r="BB38" i="14" s="1"/>
  <c r="BD38" i="14" s="1"/>
  <c r="Y43" i="14"/>
  <c r="BC32" i="14"/>
  <c r="Y10" i="14"/>
  <c r="BD10" i="14" s="1"/>
  <c r="V30" i="14"/>
  <c r="Z43" i="14"/>
  <c r="BD36" i="14"/>
  <c r="Z38" i="14"/>
  <c r="Z36" i="14"/>
  <c r="AZ33" i="13"/>
  <c r="BP33" i="13" s="1"/>
  <c r="BM33" i="13" s="1"/>
  <c r="BN33" i="13" s="1"/>
  <c r="V34" i="14"/>
  <c r="AY33" i="13"/>
  <c r="BH33" i="13" s="1"/>
  <c r="BE33" i="13" s="1"/>
  <c r="BF33" i="13" s="1"/>
  <c r="X21" i="14"/>
  <c r="BC21" i="14" s="1"/>
  <c r="Y21" i="14"/>
  <c r="AA25" i="14"/>
  <c r="W25" i="14"/>
  <c r="BC19" i="14"/>
  <c r="Y23" i="14"/>
  <c r="X11" i="14"/>
  <c r="W23" i="14"/>
  <c r="AA24" i="14"/>
  <c r="Y28" i="14"/>
  <c r="AA28" i="14"/>
  <c r="W28" i="14"/>
  <c r="BC44" i="14"/>
  <c r="X34" i="14"/>
  <c r="X28" i="14"/>
  <c r="V28" i="14"/>
  <c r="Y44" i="14"/>
  <c r="Z21" i="14"/>
  <c r="X33" i="14"/>
  <c r="Y26" i="14"/>
  <c r="Z11" i="14"/>
  <c r="V35" i="14"/>
  <c r="BA35" i="14" s="1"/>
  <c r="W46" i="14"/>
  <c r="BB46" i="14" s="1"/>
  <c r="BC45" i="14"/>
  <c r="W11" i="14"/>
  <c r="BB11" i="14" s="1"/>
  <c r="Y11" i="14"/>
  <c r="Y24" i="14"/>
  <c r="Y46" i="14"/>
  <c r="Z35" i="14"/>
  <c r="V36" i="14"/>
  <c r="BA36" i="14" s="1"/>
  <c r="BC36" i="14" s="1"/>
  <c r="V6" i="14"/>
  <c r="BA6" i="14" s="1"/>
  <c r="BC42" i="14"/>
  <c r="AU15" i="13"/>
  <c r="AW15" i="13" s="1"/>
  <c r="AY15" i="13" s="1"/>
  <c r="BH15" i="13" s="1"/>
  <c r="BE15" i="13" s="1"/>
  <c r="BF15" i="13" s="1"/>
  <c r="AT12" i="13"/>
  <c r="AV12" i="13" s="1"/>
  <c r="AX12" i="13" s="1"/>
  <c r="AZ12" i="13" s="1"/>
  <c r="BP12" i="13" s="1"/>
  <c r="BM12" i="13" s="1"/>
  <c r="BN12" i="13" s="1"/>
  <c r="AO27" i="13"/>
  <c r="AO25" i="13"/>
  <c r="AO12" i="13"/>
  <c r="AU12" i="13" s="1"/>
  <c r="AW12" i="13" s="1"/>
  <c r="AY12" i="13" s="1"/>
  <c r="BH12" i="13" s="1"/>
  <c r="BE12" i="13" s="1"/>
  <c r="BF12" i="13" s="1"/>
  <c r="AO19" i="13"/>
  <c r="AU19" i="13" s="1"/>
  <c r="AW19" i="13" s="1"/>
  <c r="AY19" i="13" s="1"/>
  <c r="BH19" i="13" s="1"/>
  <c r="BE19" i="13" s="1"/>
  <c r="BF19" i="13" s="1"/>
  <c r="AT45" i="13"/>
  <c r="AV45" i="13" s="1"/>
  <c r="AX45" i="13" s="1"/>
  <c r="AZ45" i="13" s="1"/>
  <c r="BP45" i="13" s="1"/>
  <c r="BM45" i="13" s="1"/>
  <c r="BN45" i="13" s="1"/>
  <c r="AO43" i="13"/>
  <c r="AO42" i="13"/>
  <c r="AU42" i="13" s="1"/>
  <c r="AW42" i="13" s="1"/>
  <c r="AY42" i="13" s="1"/>
  <c r="BH42" i="13" s="1"/>
  <c r="BE42" i="13" s="1"/>
  <c r="BF42" i="13" s="1"/>
  <c r="AT35" i="13"/>
  <c r="AV35" i="13" s="1"/>
  <c r="AX35" i="13" s="1"/>
  <c r="AZ35" i="13" s="1"/>
  <c r="BP35" i="13" s="1"/>
  <c r="BM35" i="13" s="1"/>
  <c r="BN35" i="13" s="1"/>
  <c r="AT34" i="13"/>
  <c r="AV34" i="13" s="1"/>
  <c r="AX34" i="13" s="1"/>
  <c r="AZ34" i="13" s="1"/>
  <c r="BP34" i="13" s="1"/>
  <c r="BM34" i="13" s="1"/>
  <c r="BN34" i="13" s="1"/>
  <c r="AT37" i="13"/>
  <c r="AO34" i="13"/>
  <c r="AU34" i="13" s="1"/>
  <c r="AW34" i="13" s="1"/>
  <c r="AY34" i="13" s="1"/>
  <c r="BH34" i="13" s="1"/>
  <c r="BE34" i="13" s="1"/>
  <c r="BF34" i="13" s="1"/>
  <c r="AO31" i="13"/>
  <c r="AU31" i="13" s="1"/>
  <c r="AW31" i="13" s="1"/>
  <c r="AY31" i="13" s="1"/>
  <c r="BH31" i="13" s="1"/>
  <c r="BE31" i="13" s="1"/>
  <c r="BF31" i="13" s="1"/>
  <c r="AO29" i="13"/>
  <c r="AU29" i="13" s="1"/>
  <c r="AW29" i="13" s="1"/>
  <c r="AY29" i="13" s="1"/>
  <c r="BH29" i="13" s="1"/>
  <c r="BE29" i="13" s="1"/>
  <c r="BF29" i="13" s="1"/>
  <c r="AV28" i="13"/>
  <c r="AX28" i="13" s="1"/>
  <c r="AZ28" i="13" s="1"/>
  <c r="BP28" i="13" s="1"/>
  <c r="BM28" i="13" s="1"/>
  <c r="BN28" i="13" s="1"/>
  <c r="AT27" i="13"/>
  <c r="AT29" i="13"/>
  <c r="AV29" i="13" s="1"/>
  <c r="AX29" i="13" s="1"/>
  <c r="AZ29" i="13" s="1"/>
  <c r="BP29" i="13" s="1"/>
  <c r="BM29" i="13" s="1"/>
  <c r="BN29" i="13" s="1"/>
  <c r="AV17" i="13"/>
  <c r="AX17" i="13" s="1"/>
  <c r="AZ17" i="13" s="1"/>
  <c r="BP17" i="13" s="1"/>
  <c r="BM17" i="13" s="1"/>
  <c r="BN17" i="13" s="1"/>
  <c r="AA46" i="13"/>
  <c r="AB46" i="13"/>
  <c r="Z19" i="14"/>
  <c r="V23" i="14"/>
  <c r="BA33" i="14"/>
  <c r="BA20" i="14"/>
  <c r="BC20" i="14" s="1"/>
  <c r="AA30" i="14"/>
  <c r="Y34" i="14"/>
  <c r="BA46" i="14"/>
  <c r="BC13" i="14"/>
  <c r="AA6" i="14"/>
  <c r="V38" i="14"/>
  <c r="BA38" i="14" s="1"/>
  <c r="BC38" i="14" s="1"/>
  <c r="BB17" i="14"/>
  <c r="BD17" i="14" s="1"/>
  <c r="BA17" i="14"/>
  <c r="X14" i="14"/>
  <c r="BC14" i="14" s="1"/>
  <c r="X39" i="14"/>
  <c r="BC39" i="14" s="1"/>
  <c r="Z33" i="14"/>
  <c r="W26" i="14"/>
  <c r="W44" i="14"/>
  <c r="BB44" i="14" s="1"/>
  <c r="W30" i="14"/>
  <c r="W34" i="14"/>
  <c r="BD37" i="14"/>
  <c r="W6" i="14"/>
  <c r="BB6" i="14" s="1"/>
  <c r="X16" i="14"/>
  <c r="BC16" i="14" s="1"/>
  <c r="AA19" i="14"/>
  <c r="Y19" i="14"/>
  <c r="BD19" i="14" s="1"/>
  <c r="Z23" i="14"/>
  <c r="AA38" i="14"/>
  <c r="Z16" i="14"/>
  <c r="BB16" i="14"/>
  <c r="X15" i="14"/>
  <c r="X6" i="14"/>
  <c r="Z15" i="14"/>
  <c r="Z39" i="14"/>
  <c r="BB7" i="14"/>
  <c r="BD7" i="14" s="1"/>
  <c r="BB20" i="14"/>
  <c r="W35" i="14"/>
  <c r="BB35" i="14" s="1"/>
  <c r="Y35" i="14"/>
  <c r="BA8" i="14"/>
  <c r="BC8" i="14" s="1"/>
  <c r="Z27" i="14"/>
  <c r="X27" i="14"/>
  <c r="AM24" i="13"/>
  <c r="AU24" i="13" s="1"/>
  <c r="AW24" i="13" s="1"/>
  <c r="AY24" i="13" s="1"/>
  <c r="BH24" i="13" s="1"/>
  <c r="BE24" i="13" s="1"/>
  <c r="BF24" i="13" s="1"/>
  <c r="S24" i="13"/>
  <c r="AN37" i="13"/>
  <c r="T37" i="13"/>
  <c r="S18" i="13"/>
  <c r="AM18" i="13"/>
  <c r="AU18" i="13" s="1"/>
  <c r="AW18" i="13" s="1"/>
  <c r="AY18" i="13" s="1"/>
  <c r="BH18" i="13" s="1"/>
  <c r="BE18" i="13" s="1"/>
  <c r="BF18" i="13" s="1"/>
  <c r="S38" i="13"/>
  <c r="AM38" i="13"/>
  <c r="AU38" i="13" s="1"/>
  <c r="AW38" i="13" s="1"/>
  <c r="AY38" i="13" s="1"/>
  <c r="BH38" i="13" s="1"/>
  <c r="BE38" i="13" s="1"/>
  <c r="BF38" i="13" s="1"/>
  <c r="S36" i="13"/>
  <c r="AM36" i="13"/>
  <c r="AU36" i="13" s="1"/>
  <c r="AW36" i="13" s="1"/>
  <c r="AY36" i="13" s="1"/>
  <c r="BH36" i="13" s="1"/>
  <c r="BE36" i="13" s="1"/>
  <c r="BF36" i="13" s="1"/>
  <c r="S44" i="13"/>
  <c r="AM44" i="13"/>
  <c r="AU44" i="13" s="1"/>
  <c r="AW44" i="13" s="1"/>
  <c r="AY44" i="13" s="1"/>
  <c r="BH44" i="13" s="1"/>
  <c r="BE44" i="13" s="1"/>
  <c r="BF44" i="13" s="1"/>
  <c r="S14" i="13"/>
  <c r="AM14" i="13"/>
  <c r="AU14" i="13" s="1"/>
  <c r="AW14" i="13" s="1"/>
  <c r="AY14" i="13" s="1"/>
  <c r="BH14" i="13" s="1"/>
  <c r="BE14" i="13" s="1"/>
  <c r="BF14" i="13" s="1"/>
  <c r="AN27" i="13"/>
  <c r="T27" i="13"/>
  <c r="AM20" i="13"/>
  <c r="AU20" i="13" s="1"/>
  <c r="AW20" i="13" s="1"/>
  <c r="AY20" i="13" s="1"/>
  <c r="BH20" i="13" s="1"/>
  <c r="BE20" i="13" s="1"/>
  <c r="BF20" i="13" s="1"/>
  <c r="S20" i="13"/>
  <c r="AT25" i="13"/>
  <c r="S37" i="13"/>
  <c r="AM37" i="13"/>
  <c r="AN38" i="13"/>
  <c r="AV38" i="13" s="1"/>
  <c r="AX38" i="13" s="1"/>
  <c r="AZ38" i="13" s="1"/>
  <c r="BP38" i="13" s="1"/>
  <c r="BM38" i="13" s="1"/>
  <c r="BN38" i="13" s="1"/>
  <c r="T38" i="13"/>
  <c r="AU22" i="13"/>
  <c r="AW22" i="13" s="1"/>
  <c r="AY22" i="13" s="1"/>
  <c r="BH22" i="13" s="1"/>
  <c r="BE22" i="13" s="1"/>
  <c r="BF22" i="13" s="1"/>
  <c r="AU28" i="13"/>
  <c r="AW28" i="13" s="1"/>
  <c r="AY28" i="13" s="1"/>
  <c r="BH28" i="13" s="1"/>
  <c r="BE28" i="13" s="1"/>
  <c r="BF28" i="13" s="1"/>
  <c r="T14" i="13"/>
  <c r="AN14" i="13"/>
  <c r="AV14" i="13" s="1"/>
  <c r="AX14" i="13" s="1"/>
  <c r="AZ14" i="13" s="1"/>
  <c r="BP14" i="13" s="1"/>
  <c r="BM14" i="13" s="1"/>
  <c r="BN14" i="13" s="1"/>
  <c r="AU17" i="13"/>
  <c r="AW17" i="13" s="1"/>
  <c r="AY17" i="13" s="1"/>
  <c r="BH17" i="13" s="1"/>
  <c r="BE17" i="13" s="1"/>
  <c r="BF17" i="13" s="1"/>
  <c r="AT19" i="13"/>
  <c r="AV19" i="13" s="1"/>
  <c r="AX19" i="13" s="1"/>
  <c r="AZ19" i="13" s="1"/>
  <c r="BP19" i="13" s="1"/>
  <c r="BM19" i="13" s="1"/>
  <c r="BN19" i="13" s="1"/>
  <c r="T13" i="13"/>
  <c r="AN13" i="13"/>
  <c r="AM32" i="13"/>
  <c r="AU32" i="13" s="1"/>
  <c r="AW32" i="13" s="1"/>
  <c r="AY32" i="13" s="1"/>
  <c r="BH32" i="13" s="1"/>
  <c r="BE32" i="13" s="1"/>
  <c r="BF32" i="13" s="1"/>
  <c r="S32" i="13"/>
  <c r="AM5" i="13"/>
  <c r="AU5" i="13" s="1"/>
  <c r="AW5" i="13" s="1"/>
  <c r="AY5" i="13" s="1"/>
  <c r="S5" i="13"/>
  <c r="AN43" i="13"/>
  <c r="T43" i="13"/>
  <c r="AM16" i="13"/>
  <c r="AU16" i="13" s="1"/>
  <c r="AW16" i="13" s="1"/>
  <c r="AY16" i="13" s="1"/>
  <c r="BH16" i="13" s="1"/>
  <c r="BE16" i="13" s="1"/>
  <c r="BF16" i="13" s="1"/>
  <c r="S16" i="13"/>
  <c r="AM43" i="13"/>
  <c r="S43" i="13"/>
  <c r="T25" i="13"/>
  <c r="AN25" i="13"/>
  <c r="AN39" i="13"/>
  <c r="AV39" i="13" s="1"/>
  <c r="AX39" i="13" s="1"/>
  <c r="AZ39" i="13" s="1"/>
  <c r="BP39" i="13" s="1"/>
  <c r="BM39" i="13" s="1"/>
  <c r="BN39" i="13" s="1"/>
  <c r="T39" i="13"/>
  <c r="T16" i="13"/>
  <c r="AN16" i="13"/>
  <c r="AV16" i="13" s="1"/>
  <c r="AX16" i="13" s="1"/>
  <c r="AZ16" i="13" s="1"/>
  <c r="BP16" i="13" s="1"/>
  <c r="BM16" i="13" s="1"/>
  <c r="BN16" i="13" s="1"/>
  <c r="K8" i="13"/>
  <c r="BW8" i="13"/>
  <c r="BX8" i="13" s="1"/>
  <c r="S9" i="13"/>
  <c r="AM9" i="13"/>
  <c r="AU9" i="13" s="1"/>
  <c r="AW9" i="13" s="1"/>
  <c r="AY9" i="13" s="1"/>
  <c r="BH9" i="13" s="1"/>
  <c r="BE9" i="13" s="1"/>
  <c r="BF9" i="13" s="1"/>
  <c r="AO45" i="13"/>
  <c r="AU45" i="13" s="1"/>
  <c r="AW45" i="13" s="1"/>
  <c r="AY45" i="13" s="1"/>
  <c r="BH45" i="13" s="1"/>
  <c r="BE45" i="13" s="1"/>
  <c r="BF45" i="13" s="1"/>
  <c r="S21" i="13"/>
  <c r="AM21" i="13"/>
  <c r="AU21" i="13" s="1"/>
  <c r="AW21" i="13" s="1"/>
  <c r="AY21" i="13" s="1"/>
  <c r="BH21" i="13" s="1"/>
  <c r="BE21" i="13" s="1"/>
  <c r="BF21" i="13" s="1"/>
  <c r="S7" i="13"/>
  <c r="AM7" i="13"/>
  <c r="AU7" i="13" s="1"/>
  <c r="AW7" i="13" s="1"/>
  <c r="AY7" i="13" s="1"/>
  <c r="BH7" i="13" s="1"/>
  <c r="BE7" i="13" s="1"/>
  <c r="BF7" i="13" s="1"/>
  <c r="AN32" i="13"/>
  <c r="AV32" i="13" s="1"/>
  <c r="AX32" i="13" s="1"/>
  <c r="AZ32" i="13" s="1"/>
  <c r="BP32" i="13" s="1"/>
  <c r="BM32" i="13" s="1"/>
  <c r="BN32" i="13" s="1"/>
  <c r="T32" i="13"/>
  <c r="S10" i="13"/>
  <c r="AM10" i="13"/>
  <c r="S25" i="13"/>
  <c r="AM25" i="13"/>
  <c r="S39" i="13"/>
  <c r="AM39" i="13"/>
  <c r="AU39" i="13" s="1"/>
  <c r="AW39" i="13" s="1"/>
  <c r="AY39" i="13" s="1"/>
  <c r="BH39" i="13" s="1"/>
  <c r="BE39" i="13" s="1"/>
  <c r="BF39" i="13" s="1"/>
  <c r="AO10" i="13"/>
  <c r="AO37" i="13"/>
  <c r="S6" i="13"/>
  <c r="AM6" i="13"/>
  <c r="AU6" i="13" s="1"/>
  <c r="AW6" i="13" s="1"/>
  <c r="AY6" i="13" s="1"/>
  <c r="BH6" i="13" s="1"/>
  <c r="BE6" i="13" s="1"/>
  <c r="BF6" i="13" s="1"/>
  <c r="AM8" i="13"/>
  <c r="AU8" i="13" s="1"/>
  <c r="AW8" i="13" s="1"/>
  <c r="AY8" i="13" s="1"/>
  <c r="BH8" i="13" s="1"/>
  <c r="BE8" i="13" s="1"/>
  <c r="BF8" i="13" s="1"/>
  <c r="S8" i="13"/>
  <c r="K9" i="13"/>
  <c r="BW9" i="13"/>
  <c r="BX9" i="13" s="1"/>
  <c r="AN21" i="13"/>
  <c r="AV21" i="13" s="1"/>
  <c r="AX21" i="13" s="1"/>
  <c r="AZ21" i="13" s="1"/>
  <c r="BP21" i="13" s="1"/>
  <c r="BM21" i="13" s="1"/>
  <c r="BN21" i="13" s="1"/>
  <c r="T21" i="13"/>
  <c r="K7" i="13"/>
  <c r="BW7" i="13"/>
  <c r="BX7" i="13" s="1"/>
  <c r="T20" i="13"/>
  <c r="AN20" i="13"/>
  <c r="AV20" i="13" s="1"/>
  <c r="AX20" i="13" s="1"/>
  <c r="AZ20" i="13" s="1"/>
  <c r="BP20" i="13" s="1"/>
  <c r="BM20" i="13" s="1"/>
  <c r="BN20" i="13" s="1"/>
  <c r="BW5" i="13"/>
  <c r="BX5" i="13" s="1"/>
  <c r="K5" i="13"/>
  <c r="AT31" i="13"/>
  <c r="AV31" i="13" s="1"/>
  <c r="AX31" i="13" s="1"/>
  <c r="AZ31" i="13" s="1"/>
  <c r="BP31" i="13" s="1"/>
  <c r="BM31" i="13" s="1"/>
  <c r="BN31" i="13" s="1"/>
  <c r="AT43" i="13"/>
  <c r="AN24" i="13"/>
  <c r="AV24" i="13" s="1"/>
  <c r="AX24" i="13" s="1"/>
  <c r="AZ24" i="13" s="1"/>
  <c r="BP24" i="13" s="1"/>
  <c r="BM24" i="13" s="1"/>
  <c r="BN24" i="13" s="1"/>
  <c r="T24" i="13"/>
  <c r="K10" i="13"/>
  <c r="BW10" i="13"/>
  <c r="BX10" i="13" s="1"/>
  <c r="T18" i="13"/>
  <c r="AN18" i="13"/>
  <c r="AV18" i="13" s="1"/>
  <c r="AX18" i="13" s="1"/>
  <c r="AZ18" i="13" s="1"/>
  <c r="BP18" i="13" s="1"/>
  <c r="BM18" i="13" s="1"/>
  <c r="BN18" i="13" s="1"/>
  <c r="AT10" i="13"/>
  <c r="T36" i="13"/>
  <c r="AN36" i="13"/>
  <c r="AV36" i="13" s="1"/>
  <c r="AX36" i="13" s="1"/>
  <c r="AZ36" i="13" s="1"/>
  <c r="BP36" i="13" s="1"/>
  <c r="BM36" i="13" s="1"/>
  <c r="BN36" i="13" s="1"/>
  <c r="T44" i="13"/>
  <c r="AN44" i="13"/>
  <c r="AV44" i="13" s="1"/>
  <c r="AX44" i="13" s="1"/>
  <c r="AZ44" i="13" s="1"/>
  <c r="BP44" i="13" s="1"/>
  <c r="BM44" i="13" s="1"/>
  <c r="BN44" i="13" s="1"/>
  <c r="K6" i="13"/>
  <c r="BW6" i="13"/>
  <c r="BX6" i="13" s="1"/>
  <c r="AT42" i="13"/>
  <c r="AV42" i="13" s="1"/>
  <c r="AX42" i="13" s="1"/>
  <c r="AZ42" i="13" s="1"/>
  <c r="BP42" i="13" s="1"/>
  <c r="BM42" i="13" s="1"/>
  <c r="BN42" i="13" s="1"/>
  <c r="S27" i="13"/>
  <c r="AM27" i="13"/>
  <c r="AO35" i="13"/>
  <c r="AU35" i="13" s="1"/>
  <c r="AW35" i="13" s="1"/>
  <c r="AY35" i="13" s="1"/>
  <c r="BH35" i="13" s="1"/>
  <c r="BE35" i="13" s="1"/>
  <c r="BF35" i="13" s="1"/>
  <c r="AP27" i="12"/>
  <c r="AS27" i="12"/>
  <c r="AT27" i="12" s="1"/>
  <c r="AQ27" i="12"/>
  <c r="T20" i="12"/>
  <c r="AS22" i="12"/>
  <c r="AT22" i="12" s="1"/>
  <c r="AQ22" i="12"/>
  <c r="Y22" i="12"/>
  <c r="AB22" i="12" s="1"/>
  <c r="AP22" i="12"/>
  <c r="Y20" i="12"/>
  <c r="AB20" i="12" s="1"/>
  <c r="AR20" i="12"/>
  <c r="AP20" i="12"/>
  <c r="S20" i="12"/>
  <c r="Y21" i="12"/>
  <c r="AB21" i="12" s="1"/>
  <c r="AP23" i="12"/>
  <c r="AQ23" i="12"/>
  <c r="BJ17" i="12"/>
  <c r="X30" i="12"/>
  <c r="AA30" i="12" s="1"/>
  <c r="S30" i="12"/>
  <c r="AS30" i="12"/>
  <c r="AT30" i="12" s="1"/>
  <c r="AV30" i="12" s="1"/>
  <c r="AX30" i="12" s="1"/>
  <c r="AZ30" i="12" s="1"/>
  <c r="BP30" i="12" s="1"/>
  <c r="BM30" i="12" s="1"/>
  <c r="BN30" i="12" s="1"/>
  <c r="AQ20" i="12"/>
  <c r="AR19" i="12"/>
  <c r="AQ12" i="12"/>
  <c r="AO12" i="12" s="1"/>
  <c r="AU12" i="12" s="1"/>
  <c r="AW12" i="12" s="1"/>
  <c r="AY12" i="12" s="1"/>
  <c r="BH12" i="12" s="1"/>
  <c r="BE12" i="12" s="1"/>
  <c r="BF12" i="12" s="1"/>
  <c r="AP25" i="12"/>
  <c r="AO25" i="12" s="1"/>
  <c r="BJ27" i="12"/>
  <c r="BJ19" i="12"/>
  <c r="AS10" i="12"/>
  <c r="AS25" i="12"/>
  <c r="AT25" i="12" s="1"/>
  <c r="S24" i="12"/>
  <c r="S23" i="12"/>
  <c r="AP34" i="12"/>
  <c r="AQ25" i="12"/>
  <c r="T21" i="12"/>
  <c r="AQ19" i="12"/>
  <c r="AO19" i="12" s="1"/>
  <c r="AO36" i="12"/>
  <c r="AO8" i="12"/>
  <c r="AU8" i="12" s="1"/>
  <c r="AW8" i="12" s="1"/>
  <c r="AY8" i="12" s="1"/>
  <c r="BH8" i="12" s="1"/>
  <c r="BE8" i="12" s="1"/>
  <c r="BF8" i="12" s="1"/>
  <c r="AS34" i="12"/>
  <c r="AT34" i="12" s="1"/>
  <c r="AQ43" i="12"/>
  <c r="AO43" i="12" s="1"/>
  <c r="AQ34" i="12"/>
  <c r="X11" i="12"/>
  <c r="AA11" i="12" s="1"/>
  <c r="Y11" i="12"/>
  <c r="AB11" i="12" s="1"/>
  <c r="Y42" i="12"/>
  <c r="AB42" i="12" s="1"/>
  <c r="X42" i="12"/>
  <c r="AA42" i="12" s="1"/>
  <c r="Y26" i="12"/>
  <c r="AB26" i="12" s="1"/>
  <c r="X26" i="12"/>
  <c r="AA26" i="12" s="1"/>
  <c r="AR43" i="12"/>
  <c r="X29" i="12"/>
  <c r="AA29" i="12" s="1"/>
  <c r="Y29" i="12"/>
  <c r="AB29" i="12" s="1"/>
  <c r="AP26" i="12"/>
  <c r="AR26" i="12"/>
  <c r="AS13" i="12"/>
  <c r="AT13" i="12" s="1"/>
  <c r="AT21" i="12"/>
  <c r="AQ35" i="12"/>
  <c r="AQ26" i="12"/>
  <c r="AS35" i="12"/>
  <c r="X17" i="12"/>
  <c r="AA17" i="12" s="1"/>
  <c r="Y17" i="12"/>
  <c r="AB17" i="12" s="1"/>
  <c r="Y18" i="12"/>
  <c r="AB18" i="12" s="1"/>
  <c r="X18" i="12"/>
  <c r="AA18" i="12" s="1"/>
  <c r="Y41" i="12"/>
  <c r="AB41" i="12" s="1"/>
  <c r="AS19" i="12"/>
  <c r="AR35" i="12"/>
  <c r="AP35" i="12"/>
  <c r="AP9" i="12"/>
  <c r="AR9" i="12"/>
  <c r="AQ9" i="12"/>
  <c r="AO6" i="12"/>
  <c r="AS9" i="12"/>
  <c r="X35" i="12"/>
  <c r="AA35" i="12" s="1"/>
  <c r="Y35" i="12"/>
  <c r="AB35" i="12" s="1"/>
  <c r="AN13" i="12"/>
  <c r="BY13" i="12" s="1"/>
  <c r="T13" i="12"/>
  <c r="T17" i="12"/>
  <c r="BQ18" i="12"/>
  <c r="BJ18" i="12"/>
  <c r="BQ43" i="12"/>
  <c r="BJ43" i="12"/>
  <c r="AO13" i="12"/>
  <c r="AU13" i="12" s="1"/>
  <c r="AW13" i="12" s="1"/>
  <c r="AY13" i="12" s="1"/>
  <c r="BH13" i="12" s="1"/>
  <c r="BE13" i="12" s="1"/>
  <c r="BF13" i="12" s="1"/>
  <c r="T37" i="12"/>
  <c r="S7" i="12"/>
  <c r="AN21" i="12"/>
  <c r="D29" i="12"/>
  <c r="J29" i="12" s="1"/>
  <c r="E29" i="12"/>
  <c r="K29" i="12" s="1"/>
  <c r="E26" i="12"/>
  <c r="K26" i="12" s="1"/>
  <c r="D26" i="12"/>
  <c r="J26" i="12" s="1"/>
  <c r="AO31" i="12"/>
  <c r="BQ27" i="12"/>
  <c r="E18" i="12"/>
  <c r="K18" i="12" s="1"/>
  <c r="D18" i="12"/>
  <c r="J18" i="12" s="1"/>
  <c r="BJ11" i="12"/>
  <c r="AM10" i="12"/>
  <c r="D42" i="12"/>
  <c r="J42" i="12" s="1"/>
  <c r="E42" i="12"/>
  <c r="K42" i="12" s="1"/>
  <c r="BQ33" i="12"/>
  <c r="BJ33" i="12"/>
  <c r="BQ17" i="12"/>
  <c r="D43" i="12"/>
  <c r="J43" i="12" s="1"/>
  <c r="E43" i="12"/>
  <c r="K43" i="12" s="1"/>
  <c r="BQ26" i="12"/>
  <c r="E22" i="12"/>
  <c r="K22" i="12" s="1"/>
  <c r="D22" i="12"/>
  <c r="J22" i="12" s="1"/>
  <c r="AT7" i="12"/>
  <c r="BJ35" i="12"/>
  <c r="D34" i="12"/>
  <c r="J34" i="12" s="1"/>
  <c r="E34" i="12"/>
  <c r="K34" i="12" s="1"/>
  <c r="AM33" i="12"/>
  <c r="S33" i="12"/>
  <c r="T31" i="12"/>
  <c r="AN31" i="12"/>
  <c r="K11" i="12"/>
  <c r="BW11" i="12"/>
  <c r="BX11" i="12" s="1"/>
  <c r="S16" i="12"/>
  <c r="AM16" i="12"/>
  <c r="T7" i="12"/>
  <c r="AN7" i="12"/>
  <c r="S36" i="12"/>
  <c r="AM36" i="12"/>
  <c r="T10" i="12"/>
  <c r="AN10" i="12"/>
  <c r="T16" i="12"/>
  <c r="AN16" i="12"/>
  <c r="AV16" i="12" s="1"/>
  <c r="AX16" i="12" s="1"/>
  <c r="AZ16" i="12" s="1"/>
  <c r="BP16" i="12" s="1"/>
  <c r="BM16" i="12" s="1"/>
  <c r="BN16" i="12" s="1"/>
  <c r="AT29" i="12"/>
  <c r="AT12" i="12"/>
  <c r="AO21" i="12"/>
  <c r="AN28" i="12"/>
  <c r="T28" i="12"/>
  <c r="K6" i="12"/>
  <c r="BW6" i="12"/>
  <c r="BX6" i="12" s="1"/>
  <c r="S45" i="12"/>
  <c r="AM45" i="12"/>
  <c r="AU45" i="12" s="1"/>
  <c r="AW45" i="12" s="1"/>
  <c r="AY45" i="12" s="1"/>
  <c r="BH45" i="12" s="1"/>
  <c r="BE45" i="12" s="1"/>
  <c r="BF45" i="12" s="1"/>
  <c r="AM28" i="12"/>
  <c r="AU28" i="12" s="1"/>
  <c r="AW28" i="12" s="1"/>
  <c r="AY28" i="12" s="1"/>
  <c r="BH28" i="12" s="1"/>
  <c r="BE28" i="12" s="1"/>
  <c r="BF28" i="12" s="1"/>
  <c r="S28" i="12"/>
  <c r="BZ8" i="12"/>
  <c r="AN41" i="12"/>
  <c r="AV41" i="12" s="1"/>
  <c r="AX41" i="12" s="1"/>
  <c r="AZ41" i="12" s="1"/>
  <c r="BP41" i="12" s="1"/>
  <c r="BM41" i="12" s="1"/>
  <c r="BN41" i="12" s="1"/>
  <c r="T41" i="12"/>
  <c r="AO17" i="12"/>
  <c r="AU17" i="12" s="1"/>
  <c r="AW17" i="12" s="1"/>
  <c r="AY17" i="12" s="1"/>
  <c r="BH17" i="12" s="1"/>
  <c r="AN23" i="12"/>
  <c r="AV23" i="12" s="1"/>
  <c r="AX23" i="12" s="1"/>
  <c r="AZ23" i="12" s="1"/>
  <c r="BP23" i="12" s="1"/>
  <c r="BM23" i="12" s="1"/>
  <c r="BN23" i="12" s="1"/>
  <c r="T23" i="12"/>
  <c r="AN9" i="12"/>
  <c r="T9" i="12"/>
  <c r="AU7" i="12"/>
  <c r="AW7" i="12" s="1"/>
  <c r="AY7" i="12" s="1"/>
  <c r="BH7" i="12" s="1"/>
  <c r="BE7" i="12" s="1"/>
  <c r="BF7" i="12" s="1"/>
  <c r="T36" i="12"/>
  <c r="AN36" i="12"/>
  <c r="AM19" i="12"/>
  <c r="S19" i="12"/>
  <c r="S5" i="12"/>
  <c r="AM5" i="12"/>
  <c r="AT39" i="12"/>
  <c r="AV39" i="12" s="1"/>
  <c r="AX39" i="12" s="1"/>
  <c r="AZ39" i="12" s="1"/>
  <c r="BP39" i="12" s="1"/>
  <c r="BM39" i="12" s="1"/>
  <c r="BN39" i="12" s="1"/>
  <c r="S21" i="12"/>
  <c r="AM21" i="12"/>
  <c r="AN45" i="12"/>
  <c r="T45" i="12"/>
  <c r="AT43" i="12"/>
  <c r="AM41" i="12"/>
  <c r="S41" i="12"/>
  <c r="AT17" i="12"/>
  <c r="AV17" i="12" s="1"/>
  <c r="AX17" i="12" s="1"/>
  <c r="AZ17" i="12" s="1"/>
  <c r="BP17" i="12" s="1"/>
  <c r="AT31" i="12"/>
  <c r="T38" i="12"/>
  <c r="AN38" i="12"/>
  <c r="T35" i="12"/>
  <c r="AN35" i="12"/>
  <c r="S25" i="12"/>
  <c r="AM25" i="12"/>
  <c r="AM27" i="12"/>
  <c r="S27" i="12"/>
  <c r="AO16" i="12"/>
  <c r="AV14" i="12"/>
  <c r="AX14" i="12" s="1"/>
  <c r="AZ14" i="12" s="1"/>
  <c r="BP14" i="12" s="1"/>
  <c r="BM14" i="12" s="1"/>
  <c r="BN14" i="12" s="1"/>
  <c r="AM6" i="12"/>
  <c r="S6" i="12"/>
  <c r="AM14" i="12"/>
  <c r="AU14" i="12" s="1"/>
  <c r="AW14" i="12" s="1"/>
  <c r="AY14" i="12" s="1"/>
  <c r="BH14" i="12" s="1"/>
  <c r="BE14" i="12" s="1"/>
  <c r="BF14" i="12" s="1"/>
  <c r="S14" i="12"/>
  <c r="AN12" i="12"/>
  <c r="T12" i="12"/>
  <c r="BW5" i="12"/>
  <c r="BX5" i="12" s="1"/>
  <c r="K5" i="12"/>
  <c r="AN33" i="12"/>
  <c r="AV33" i="12" s="1"/>
  <c r="AX33" i="12" s="1"/>
  <c r="AZ33" i="12" s="1"/>
  <c r="BP33" i="12" s="1"/>
  <c r="T33" i="12"/>
  <c r="S31" i="12"/>
  <c r="AM31" i="12"/>
  <c r="S11" i="12"/>
  <c r="AM11" i="12"/>
  <c r="AM38" i="12"/>
  <c r="S38" i="12"/>
  <c r="T25" i="12"/>
  <c r="AN25" i="12"/>
  <c r="T27" i="12"/>
  <c r="AN27" i="12"/>
  <c r="S9" i="12"/>
  <c r="AM9" i="12"/>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54" i="6"/>
  <c r="BJ33" i="8"/>
  <c r="BJ32" i="8"/>
  <c r="BJ31" i="8"/>
  <c r="BJ30" i="8"/>
  <c r="BJ29" i="8"/>
  <c r="BJ28" i="8"/>
  <c r="BJ27" i="8"/>
  <c r="BJ26" i="8"/>
  <c r="BJ25" i="8"/>
  <c r="BJ24" i="8"/>
  <c r="BJ23" i="8"/>
  <c r="BJ22" i="8"/>
  <c r="BJ21" i="8"/>
  <c r="BJ20" i="8"/>
  <c r="BJ19" i="8"/>
  <c r="BJ18" i="8"/>
  <c r="BJ17" i="8"/>
  <c r="BJ16" i="8"/>
  <c r="BJ15" i="8"/>
  <c r="BJ14" i="8"/>
  <c r="BJ13" i="8"/>
  <c r="BJ12" i="8"/>
  <c r="BJ11" i="8"/>
  <c r="BJ10" i="8"/>
  <c r="BJ9" i="8"/>
  <c r="BJ8" i="8"/>
  <c r="BJ7" i="8"/>
  <c r="BJ6" i="8"/>
  <c r="BJ5" i="8"/>
  <c r="BJ18" i="9"/>
  <c r="BJ19" i="9"/>
  <c r="BJ20" i="9"/>
  <c r="BJ21" i="9"/>
  <c r="BJ22" i="9"/>
  <c r="BJ23" i="9"/>
  <c r="BJ24" i="9"/>
  <c r="BJ25" i="9"/>
  <c r="BJ26" i="9"/>
  <c r="BJ27" i="9"/>
  <c r="BJ28" i="9"/>
  <c r="BJ29" i="9"/>
  <c r="BJ30" i="9"/>
  <c r="BJ31" i="9"/>
  <c r="BJ32" i="9"/>
  <c r="BJ33" i="9"/>
  <c r="BJ17" i="9"/>
  <c r="BJ6" i="9"/>
  <c r="BJ7" i="9"/>
  <c r="BJ8" i="9"/>
  <c r="BJ9" i="9"/>
  <c r="BJ10" i="9"/>
  <c r="BJ11" i="9"/>
  <c r="BJ12" i="9"/>
  <c r="BJ13" i="9"/>
  <c r="BJ14" i="9"/>
  <c r="BJ15" i="9"/>
  <c r="BJ16" i="9"/>
  <c r="BJ5" i="9"/>
  <c r="BB34" i="14" l="1"/>
  <c r="AW34" i="14"/>
  <c r="BB31" i="14"/>
  <c r="AW31" i="14"/>
  <c r="BB30" i="14"/>
  <c r="AW30" i="14"/>
  <c r="BA34" i="14"/>
  <c r="BC34" i="14" s="1"/>
  <c r="AV34" i="14"/>
  <c r="BA23" i="14"/>
  <c r="BA47" i="14" s="1"/>
  <c r="AV23" i="14"/>
  <c r="BA24" i="14"/>
  <c r="BC24" i="14" s="1"/>
  <c r="AV24" i="14"/>
  <c r="BB23" i="14"/>
  <c r="AW23" i="14"/>
  <c r="BA30" i="14"/>
  <c r="AV30" i="14"/>
  <c r="BA29" i="14"/>
  <c r="BC29" i="14" s="1"/>
  <c r="AV29" i="14"/>
  <c r="BA28" i="14"/>
  <c r="AV28" i="14"/>
  <c r="BB28" i="14"/>
  <c r="AW28" i="14"/>
  <c r="BB26" i="14"/>
  <c r="BB47" i="14" s="1"/>
  <c r="AW26" i="14"/>
  <c r="BB25" i="14"/>
  <c r="BD25" i="14" s="1"/>
  <c r="AW25" i="14"/>
  <c r="BC18" i="14"/>
  <c r="BC40" i="14"/>
  <c r="BD30" i="14"/>
  <c r="BC15" i="14"/>
  <c r="BD27" i="14"/>
  <c r="BC7" i="14"/>
  <c r="BC17" i="14"/>
  <c r="BC22" i="14"/>
  <c r="BD45" i="14"/>
  <c r="BD41" i="14"/>
  <c r="T19" i="12"/>
  <c r="AO18" i="12"/>
  <c r="AV28" i="12"/>
  <c r="AX28" i="12" s="1"/>
  <c r="AZ28" i="12" s="1"/>
  <c r="BP28" i="12" s="1"/>
  <c r="BM28" i="12" s="1"/>
  <c r="BN28" i="12" s="1"/>
  <c r="AU5" i="12"/>
  <c r="AW5" i="12" s="1"/>
  <c r="AY5" i="12" s="1"/>
  <c r="BH5" i="12" s="1"/>
  <c r="AU33" i="12"/>
  <c r="AW33" i="12" s="1"/>
  <c r="AY33" i="12" s="1"/>
  <c r="BH33" i="12" s="1"/>
  <c r="BE33" i="12" s="1"/>
  <c r="BF33" i="12" s="1"/>
  <c r="AV24" i="12"/>
  <c r="AX24" i="12" s="1"/>
  <c r="AZ24" i="12" s="1"/>
  <c r="BP24" i="12" s="1"/>
  <c r="BM24" i="12" s="1"/>
  <c r="BN24" i="12" s="1"/>
  <c r="AT44" i="12"/>
  <c r="AT26" i="12"/>
  <c r="AO11" i="12"/>
  <c r="AU11" i="12" s="1"/>
  <c r="AW11" i="12" s="1"/>
  <c r="AY11" i="12" s="1"/>
  <c r="BH11" i="12" s="1"/>
  <c r="BE11" i="12" s="1"/>
  <c r="BF11" i="12" s="1"/>
  <c r="BZ13" i="12"/>
  <c r="AT20" i="12"/>
  <c r="AV20" i="12" s="1"/>
  <c r="AX20" i="12" s="1"/>
  <c r="AZ20" i="12" s="1"/>
  <c r="BP20" i="12" s="1"/>
  <c r="BM20" i="12" s="1"/>
  <c r="BN20" i="12" s="1"/>
  <c r="AT18" i="12"/>
  <c r="S35" i="12"/>
  <c r="AM40" i="12"/>
  <c r="BC28" i="14"/>
  <c r="AO40" i="12"/>
  <c r="BC30" i="14"/>
  <c r="AV36" i="12"/>
  <c r="AX36" i="12" s="1"/>
  <c r="AZ36" i="12" s="1"/>
  <c r="BP36" i="12" s="1"/>
  <c r="BM36" i="12" s="1"/>
  <c r="BN36" i="12" s="1"/>
  <c r="AV27" i="12"/>
  <c r="AX27" i="12" s="1"/>
  <c r="AZ27" i="12" s="1"/>
  <c r="BP27" i="12" s="1"/>
  <c r="BM27" i="12" s="1"/>
  <c r="BN27" i="12" s="1"/>
  <c r="BD14" i="14"/>
  <c r="AV44" i="12"/>
  <c r="AX44" i="12" s="1"/>
  <c r="AZ44" i="12" s="1"/>
  <c r="BP44" i="12" s="1"/>
  <c r="BM44" i="12" s="1"/>
  <c r="BN44" i="12" s="1"/>
  <c r="BC43" i="14"/>
  <c r="BC11" i="14"/>
  <c r="BD12" i="14"/>
  <c r="S39" i="12"/>
  <c r="AT9" i="12"/>
  <c r="AV9" i="12" s="1"/>
  <c r="AX9" i="12" s="1"/>
  <c r="AZ9" i="12" s="1"/>
  <c r="BP9" i="12" s="1"/>
  <c r="BM9" i="12" s="1"/>
  <c r="BN9" i="12" s="1"/>
  <c r="BD21" i="14"/>
  <c r="AV21" i="12"/>
  <c r="AX21" i="12" s="1"/>
  <c r="AZ21" i="12" s="1"/>
  <c r="BP21" i="12" s="1"/>
  <c r="BM21" i="12" s="1"/>
  <c r="BN21" i="12" s="1"/>
  <c r="AV13" i="12"/>
  <c r="AX13" i="12" s="1"/>
  <c r="AZ13" i="12" s="1"/>
  <c r="BP13" i="12" s="1"/>
  <c r="BM13" i="12" s="1"/>
  <c r="BN13" i="12" s="1"/>
  <c r="AT11" i="12"/>
  <c r="BC35" i="14"/>
  <c r="BD31" i="14"/>
  <c r="AT10" i="12"/>
  <c r="AO34" i="12"/>
  <c r="AO22" i="12"/>
  <c r="T11" i="13"/>
  <c r="AN11" i="13"/>
  <c r="BD24" i="14"/>
  <c r="AT19" i="12"/>
  <c r="AV19" i="12" s="1"/>
  <c r="AX19" i="12" s="1"/>
  <c r="AZ19" i="12" s="1"/>
  <c r="BP19" i="12" s="1"/>
  <c r="BM19" i="12" s="1"/>
  <c r="BN19" i="12" s="1"/>
  <c r="BC27" i="14"/>
  <c r="AU41" i="12"/>
  <c r="AW41" i="12" s="1"/>
  <c r="AY41" i="12" s="1"/>
  <c r="BH41" i="12" s="1"/>
  <c r="BE41" i="12" s="1"/>
  <c r="BF41" i="12" s="1"/>
  <c r="BC31" i="14"/>
  <c r="BD20" i="14"/>
  <c r="BD13" i="14"/>
  <c r="AV25" i="12"/>
  <c r="AX25" i="12" s="1"/>
  <c r="AZ25" i="12" s="1"/>
  <c r="BP25" i="12" s="1"/>
  <c r="BM25" i="12" s="1"/>
  <c r="BN25" i="12" s="1"/>
  <c r="BC6" i="14"/>
  <c r="BD22" i="14"/>
  <c r="AU38" i="12"/>
  <c r="AW38" i="12" s="1"/>
  <c r="AY38" i="12" s="1"/>
  <c r="BH38" i="12" s="1"/>
  <c r="BE38" i="12" s="1"/>
  <c r="BF38" i="12" s="1"/>
  <c r="BC46" i="14"/>
  <c r="AT38" i="12"/>
  <c r="AV38" i="12" s="1"/>
  <c r="AX38" i="12" s="1"/>
  <c r="AZ38" i="12" s="1"/>
  <c r="BP38" i="12" s="1"/>
  <c r="BM38" i="12" s="1"/>
  <c r="BN38" i="12" s="1"/>
  <c r="AM15" i="12"/>
  <c r="AU15" i="12" s="1"/>
  <c r="AW15" i="12" s="1"/>
  <c r="AY15" i="12" s="1"/>
  <c r="BH15" i="12" s="1"/>
  <c r="BE15" i="12" s="1"/>
  <c r="BF15" i="12" s="1"/>
  <c r="S15" i="12"/>
  <c r="AN15" i="12"/>
  <c r="AV15" i="12" s="1"/>
  <c r="AX15" i="12" s="1"/>
  <c r="AZ15" i="12" s="1"/>
  <c r="BP15" i="12" s="1"/>
  <c r="BM15" i="12" s="1"/>
  <c r="BN15" i="12" s="1"/>
  <c r="T15" i="12"/>
  <c r="BD39" i="14"/>
  <c r="AV27" i="13"/>
  <c r="AX27" i="13" s="1"/>
  <c r="AZ27" i="13" s="1"/>
  <c r="BP27" i="13" s="1"/>
  <c r="BM27" i="13" s="1"/>
  <c r="BN27" i="13" s="1"/>
  <c r="AU27" i="13"/>
  <c r="AW27" i="13" s="1"/>
  <c r="AY27" i="13" s="1"/>
  <c r="BH27" i="13" s="1"/>
  <c r="BE27" i="13" s="1"/>
  <c r="BF27" i="13" s="1"/>
  <c r="BD28" i="14"/>
  <c r="BC33" i="14"/>
  <c r="BD26" i="14"/>
  <c r="AU25" i="13"/>
  <c r="AW25" i="13" s="1"/>
  <c r="AY25" i="13" s="1"/>
  <c r="BH25" i="13" s="1"/>
  <c r="BE25" i="13" s="1"/>
  <c r="BF25" i="13" s="1"/>
  <c r="BD23" i="14"/>
  <c r="BD44" i="14"/>
  <c r="BD43" i="14"/>
  <c r="BD34" i="14"/>
  <c r="BD11" i="14"/>
  <c r="BD46" i="14"/>
  <c r="AU37" i="13"/>
  <c r="AW37" i="13" s="1"/>
  <c r="AY37" i="13" s="1"/>
  <c r="BH37" i="13" s="1"/>
  <c r="BE37" i="13" s="1"/>
  <c r="BF37" i="13" s="1"/>
  <c r="AU43" i="13"/>
  <c r="AW43" i="13" s="1"/>
  <c r="AY43" i="13" s="1"/>
  <c r="BH43" i="13" s="1"/>
  <c r="BE43" i="13" s="1"/>
  <c r="BF43" i="13" s="1"/>
  <c r="AV37" i="13"/>
  <c r="AX37" i="13" s="1"/>
  <c r="AZ37" i="13" s="1"/>
  <c r="BP37" i="13" s="1"/>
  <c r="BM37" i="13" s="1"/>
  <c r="BN37" i="13" s="1"/>
  <c r="AU10" i="13"/>
  <c r="AW10" i="13" s="1"/>
  <c r="AY10" i="13" s="1"/>
  <c r="BH10" i="13" s="1"/>
  <c r="BE10" i="13" s="1"/>
  <c r="BF10" i="13" s="1"/>
  <c r="BD35" i="14"/>
  <c r="BD16" i="14"/>
  <c r="BD6" i="14"/>
  <c r="S46" i="13"/>
  <c r="T9" i="13"/>
  <c r="AN9" i="13"/>
  <c r="AN8" i="13"/>
  <c r="T8" i="13"/>
  <c r="BH5" i="13"/>
  <c r="T6" i="13"/>
  <c r="AN6" i="13"/>
  <c r="AN5" i="13"/>
  <c r="T5" i="13"/>
  <c r="BY13" i="13"/>
  <c r="BZ13" i="13" s="1"/>
  <c r="AV13" i="13"/>
  <c r="AX13" i="13" s="1"/>
  <c r="AZ13" i="13" s="1"/>
  <c r="BP13" i="13" s="1"/>
  <c r="BM13" i="13" s="1"/>
  <c r="BN13" i="13" s="1"/>
  <c r="T7" i="13"/>
  <c r="AN7" i="13"/>
  <c r="T10" i="13"/>
  <c r="AN10" i="13"/>
  <c r="AV43" i="13"/>
  <c r="AX43" i="13" s="1"/>
  <c r="AZ43" i="13" s="1"/>
  <c r="BP43" i="13" s="1"/>
  <c r="BM43" i="13" s="1"/>
  <c r="BN43" i="13" s="1"/>
  <c r="AV25" i="13"/>
  <c r="AX25" i="13" s="1"/>
  <c r="AZ25" i="13" s="1"/>
  <c r="BP25" i="13" s="1"/>
  <c r="BM25" i="13" s="1"/>
  <c r="BN25" i="13" s="1"/>
  <c r="AO27" i="12"/>
  <c r="AU27" i="12" s="1"/>
  <c r="AW27" i="12" s="1"/>
  <c r="AY27" i="12" s="1"/>
  <c r="BH27" i="12" s="1"/>
  <c r="BE27" i="12" s="1"/>
  <c r="BF27" i="12" s="1"/>
  <c r="AO20" i="12"/>
  <c r="AU20" i="12" s="1"/>
  <c r="AW20" i="12" s="1"/>
  <c r="AY20" i="12" s="1"/>
  <c r="BH20" i="12" s="1"/>
  <c r="BE20" i="12" s="1"/>
  <c r="BF20" i="12" s="1"/>
  <c r="AO23" i="12"/>
  <c r="AU23" i="12" s="1"/>
  <c r="AW23" i="12" s="1"/>
  <c r="AY23" i="12" s="1"/>
  <c r="BH23" i="12" s="1"/>
  <c r="BE23" i="12" s="1"/>
  <c r="BF23" i="12" s="1"/>
  <c r="AU21" i="12"/>
  <c r="AW21" i="12" s="1"/>
  <c r="AY21" i="12" s="1"/>
  <c r="BH21" i="12" s="1"/>
  <c r="BE21" i="12" s="1"/>
  <c r="BF21" i="12" s="1"/>
  <c r="BE17" i="12"/>
  <c r="BF17" i="12" s="1"/>
  <c r="BM17" i="12"/>
  <c r="BN17" i="12" s="1"/>
  <c r="AB46" i="12"/>
  <c r="AA46" i="12"/>
  <c r="AU6" i="12"/>
  <c r="AW6" i="12" s="1"/>
  <c r="AY6" i="12" s="1"/>
  <c r="BH6" i="12" s="1"/>
  <c r="BE6" i="12" s="1"/>
  <c r="BF6" i="12" s="1"/>
  <c r="AU36" i="12"/>
  <c r="AW36" i="12" s="1"/>
  <c r="AY36" i="12" s="1"/>
  <c r="BH36" i="12" s="1"/>
  <c r="BE36" i="12" s="1"/>
  <c r="BF36" i="12" s="1"/>
  <c r="AO9" i="12"/>
  <c r="AU9" i="12" s="1"/>
  <c r="AW9" i="12" s="1"/>
  <c r="AY9" i="12" s="1"/>
  <c r="BH9" i="12" s="1"/>
  <c r="BE9" i="12" s="1"/>
  <c r="BF9" i="12" s="1"/>
  <c r="AV45" i="12"/>
  <c r="AX45" i="12" s="1"/>
  <c r="AZ45" i="12" s="1"/>
  <c r="BP45" i="12" s="1"/>
  <c r="BM45" i="12" s="1"/>
  <c r="BN45" i="12" s="1"/>
  <c r="AU19" i="12"/>
  <c r="AW19" i="12" s="1"/>
  <c r="AY19" i="12" s="1"/>
  <c r="BH19" i="12" s="1"/>
  <c r="BE19" i="12" s="1"/>
  <c r="BF19" i="12" s="1"/>
  <c r="AU10" i="12"/>
  <c r="AW10" i="12" s="1"/>
  <c r="AY10" i="12" s="1"/>
  <c r="BH10" i="12" s="1"/>
  <c r="BE10" i="12" s="1"/>
  <c r="BF10" i="12" s="1"/>
  <c r="AO35" i="12"/>
  <c r="AU35" i="12" s="1"/>
  <c r="AW35" i="12" s="1"/>
  <c r="AY35" i="12" s="1"/>
  <c r="BH35" i="12" s="1"/>
  <c r="BE35" i="12" s="1"/>
  <c r="BF35" i="12" s="1"/>
  <c r="AT35" i="12"/>
  <c r="AV35" i="12" s="1"/>
  <c r="AX35" i="12" s="1"/>
  <c r="AZ35" i="12" s="1"/>
  <c r="BP35" i="12" s="1"/>
  <c r="BM35" i="12" s="1"/>
  <c r="BN35" i="12" s="1"/>
  <c r="AO26" i="12"/>
  <c r="AM43" i="12"/>
  <c r="AU43" i="12" s="1"/>
  <c r="AW43" i="12" s="1"/>
  <c r="AY43" i="12" s="1"/>
  <c r="BH43" i="12" s="1"/>
  <c r="BE43" i="12" s="1"/>
  <c r="BF43" i="12" s="1"/>
  <c r="S43" i="12"/>
  <c r="AM26" i="12"/>
  <c r="S26" i="12"/>
  <c r="AU31" i="12"/>
  <c r="AW31" i="12" s="1"/>
  <c r="AY31" i="12" s="1"/>
  <c r="BH31" i="12" s="1"/>
  <c r="BE31" i="12" s="1"/>
  <c r="BF31" i="12" s="1"/>
  <c r="AN26" i="12"/>
  <c r="T26" i="12"/>
  <c r="AM18" i="12"/>
  <c r="AU18" i="12" s="1"/>
  <c r="AW18" i="12" s="1"/>
  <c r="AY18" i="12" s="1"/>
  <c r="BH18" i="12" s="1"/>
  <c r="BE18" i="12" s="1"/>
  <c r="BF18" i="12" s="1"/>
  <c r="S18" i="12"/>
  <c r="AM29" i="12"/>
  <c r="AU29" i="12" s="1"/>
  <c r="AW29" i="12" s="1"/>
  <c r="AY29" i="12" s="1"/>
  <c r="BH29" i="12" s="1"/>
  <c r="BE29" i="12" s="1"/>
  <c r="BF29" i="12" s="1"/>
  <c r="S29" i="12"/>
  <c r="BM33" i="12"/>
  <c r="BN33" i="12" s="1"/>
  <c r="T34" i="12"/>
  <c r="AN34" i="12"/>
  <c r="AV34" i="12" s="1"/>
  <c r="AX34" i="12" s="1"/>
  <c r="AZ34" i="12" s="1"/>
  <c r="BP34" i="12" s="1"/>
  <c r="BM34" i="12" s="1"/>
  <c r="BN34" i="12" s="1"/>
  <c r="AN22" i="12"/>
  <c r="AV22" i="12" s="1"/>
  <c r="AX22" i="12" s="1"/>
  <c r="AZ22" i="12" s="1"/>
  <c r="BP22" i="12" s="1"/>
  <c r="BM22" i="12" s="1"/>
  <c r="BN22" i="12" s="1"/>
  <c r="T22" i="12"/>
  <c r="AM22" i="12"/>
  <c r="S22" i="12"/>
  <c r="AN18" i="12"/>
  <c r="T18" i="12"/>
  <c r="AM34" i="12"/>
  <c r="S34" i="12"/>
  <c r="AN42" i="12"/>
  <c r="AV42" i="12" s="1"/>
  <c r="AX42" i="12" s="1"/>
  <c r="AZ42" i="12" s="1"/>
  <c r="BP42" i="12" s="1"/>
  <c r="BM42" i="12" s="1"/>
  <c r="BN42" i="12" s="1"/>
  <c r="T42" i="12"/>
  <c r="T29" i="12"/>
  <c r="AN29" i="12"/>
  <c r="AV29" i="12" s="1"/>
  <c r="AX29" i="12" s="1"/>
  <c r="AZ29" i="12" s="1"/>
  <c r="BP29" i="12" s="1"/>
  <c r="BM29" i="12" s="1"/>
  <c r="BN29" i="12" s="1"/>
  <c r="AU25" i="12"/>
  <c r="AW25" i="12" s="1"/>
  <c r="AY25" i="12" s="1"/>
  <c r="BH25" i="12" s="1"/>
  <c r="BE25" i="12" s="1"/>
  <c r="BF25" i="12" s="1"/>
  <c r="T43" i="12"/>
  <c r="AN43" i="12"/>
  <c r="AV43" i="12" s="1"/>
  <c r="AX43" i="12" s="1"/>
  <c r="AZ43" i="12" s="1"/>
  <c r="BP43" i="12" s="1"/>
  <c r="BM43" i="12" s="1"/>
  <c r="BN43" i="12" s="1"/>
  <c r="S42" i="12"/>
  <c r="AM42" i="12"/>
  <c r="AU42" i="12" s="1"/>
  <c r="AW42" i="12" s="1"/>
  <c r="AY42" i="12" s="1"/>
  <c r="BH42" i="12" s="1"/>
  <c r="BE42" i="12" s="1"/>
  <c r="BF42" i="12" s="1"/>
  <c r="T6" i="12"/>
  <c r="AN6" i="12"/>
  <c r="T11" i="12"/>
  <c r="AN11" i="12"/>
  <c r="BY9" i="12"/>
  <c r="BZ9" i="12" s="1"/>
  <c r="T5" i="12"/>
  <c r="AN5" i="12"/>
  <c r="BY7" i="12"/>
  <c r="BZ7" i="12" s="1"/>
  <c r="AV7" i="12"/>
  <c r="AX7" i="12" s="1"/>
  <c r="AZ7" i="12" s="1"/>
  <c r="BP7" i="12" s="1"/>
  <c r="BM7" i="12" s="1"/>
  <c r="BN7" i="12" s="1"/>
  <c r="AV31" i="12"/>
  <c r="AX31" i="12" s="1"/>
  <c r="AZ31" i="12" s="1"/>
  <c r="BP31" i="12" s="1"/>
  <c r="BM31" i="12" s="1"/>
  <c r="BN31" i="12" s="1"/>
  <c r="AV12" i="12"/>
  <c r="AX12" i="12" s="1"/>
  <c r="AZ12" i="12" s="1"/>
  <c r="BP12" i="12" s="1"/>
  <c r="BM12" i="12" s="1"/>
  <c r="BN12" i="12" s="1"/>
  <c r="BY12" i="12"/>
  <c r="BZ12" i="12" s="1"/>
  <c r="BY10" i="12"/>
  <c r="BZ10" i="12" s="1"/>
  <c r="AV10" i="12"/>
  <c r="AX10" i="12" s="1"/>
  <c r="AZ10" i="12" s="1"/>
  <c r="BP10" i="12" s="1"/>
  <c r="BM10" i="12" s="1"/>
  <c r="BN10" i="12" s="1"/>
  <c r="AU16" i="12"/>
  <c r="AW16" i="12" s="1"/>
  <c r="AY16" i="12" s="1"/>
  <c r="BH16" i="12" s="1"/>
  <c r="BE16" i="12" s="1"/>
  <c r="BF16" i="12" s="1"/>
  <c r="AJ6" i="9"/>
  <c r="AJ7" i="9"/>
  <c r="AL7" i="9" s="1"/>
  <c r="AM7" i="9" s="1"/>
  <c r="AJ8" i="9"/>
  <c r="AJ9" i="9"/>
  <c r="AJ10" i="9"/>
  <c r="AJ11" i="9"/>
  <c r="AL11" i="9" s="1"/>
  <c r="AM11" i="9" s="1"/>
  <c r="AJ12" i="9"/>
  <c r="AL12" i="9" s="1"/>
  <c r="AM12" i="9" s="1"/>
  <c r="AJ13" i="9"/>
  <c r="AL13" i="9" s="1"/>
  <c r="AM13" i="9" s="1"/>
  <c r="AJ14" i="9"/>
  <c r="AJ15" i="9"/>
  <c r="AL15" i="9" s="1"/>
  <c r="AM15" i="9" s="1"/>
  <c r="AJ16" i="9"/>
  <c r="AJ17" i="9"/>
  <c r="AJ18" i="9"/>
  <c r="AJ19" i="9"/>
  <c r="AL19" i="9" s="1"/>
  <c r="AM19" i="9" s="1"/>
  <c r="AJ20" i="9"/>
  <c r="AL20" i="9" s="1"/>
  <c r="AM20" i="9" s="1"/>
  <c r="AJ21" i="9"/>
  <c r="AL21" i="9" s="1"/>
  <c r="AM21" i="9" s="1"/>
  <c r="AJ22" i="9"/>
  <c r="AJ23" i="9"/>
  <c r="AL23" i="9" s="1"/>
  <c r="AM23" i="9" s="1"/>
  <c r="AJ24" i="9"/>
  <c r="AL24" i="9" s="1"/>
  <c r="AM24" i="9" s="1"/>
  <c r="AJ25" i="9"/>
  <c r="AJ26" i="9"/>
  <c r="AL26" i="9" s="1"/>
  <c r="AM26" i="9" s="1"/>
  <c r="AJ27" i="9"/>
  <c r="AL27" i="9" s="1"/>
  <c r="AM27" i="9" s="1"/>
  <c r="AJ28" i="9"/>
  <c r="AL28" i="9" s="1"/>
  <c r="AM28" i="9" s="1"/>
  <c r="AJ29" i="9"/>
  <c r="AL29" i="9" s="1"/>
  <c r="AM29" i="9" s="1"/>
  <c r="AJ30" i="9"/>
  <c r="AJ31" i="9"/>
  <c r="AL31" i="9" s="1"/>
  <c r="AM31" i="9" s="1"/>
  <c r="AJ32" i="9"/>
  <c r="AL32" i="9" s="1"/>
  <c r="AM32" i="9" s="1"/>
  <c r="AJ33" i="9"/>
  <c r="AJ5" i="9"/>
  <c r="AQ37" i="10"/>
  <c r="AP37" i="10"/>
  <c r="AO37" i="10"/>
  <c r="AN37" i="10"/>
  <c r="AL37" i="10"/>
  <c r="AK37" i="10"/>
  <c r="AC37" i="10"/>
  <c r="AB37" i="10"/>
  <c r="R37" i="10"/>
  <c r="Q37" i="10"/>
  <c r="O37" i="10"/>
  <c r="P37" i="10" s="1"/>
  <c r="G37" i="10"/>
  <c r="F37" i="10"/>
  <c r="C37" i="10"/>
  <c r="E37" i="10" s="1"/>
  <c r="K37" i="10" s="1"/>
  <c r="AE37" i="10" s="1"/>
  <c r="AS37" i="10" s="1"/>
  <c r="AQ36" i="10"/>
  <c r="AP36" i="10"/>
  <c r="AO36" i="10"/>
  <c r="AN36" i="10"/>
  <c r="AL36" i="10"/>
  <c r="AJ36" i="10"/>
  <c r="AC36" i="10"/>
  <c r="AB36" i="10"/>
  <c r="R36" i="10"/>
  <c r="Q36" i="10"/>
  <c r="O36" i="10"/>
  <c r="P36" i="10" s="1"/>
  <c r="G36" i="10"/>
  <c r="F36" i="10"/>
  <c r="E36" i="10"/>
  <c r="K36" i="10" s="1"/>
  <c r="AE36" i="10" s="1"/>
  <c r="AS36" i="10" s="1"/>
  <c r="C36" i="10"/>
  <c r="D36" i="10" s="1"/>
  <c r="AQ35" i="10"/>
  <c r="AP35" i="10"/>
  <c r="AO35" i="10"/>
  <c r="AN35" i="10"/>
  <c r="AL35" i="10"/>
  <c r="AK35" i="10"/>
  <c r="AC35" i="10"/>
  <c r="AB35" i="10"/>
  <c r="R35" i="10"/>
  <c r="Q35" i="10"/>
  <c r="O35" i="10"/>
  <c r="P35" i="10" s="1"/>
  <c r="G35" i="10"/>
  <c r="F35" i="10"/>
  <c r="D35" i="10"/>
  <c r="C35" i="10"/>
  <c r="E35" i="10" s="1"/>
  <c r="AQ34" i="10"/>
  <c r="AP34" i="10"/>
  <c r="AO34" i="10"/>
  <c r="AN34" i="10"/>
  <c r="AL34" i="10"/>
  <c r="AK34" i="10"/>
  <c r="AC34" i="10"/>
  <c r="AB34" i="10"/>
  <c r="R34" i="10"/>
  <c r="Q34" i="10"/>
  <c r="O34" i="10"/>
  <c r="P34" i="10" s="1"/>
  <c r="AJ34" i="10" s="1"/>
  <c r="G34" i="10"/>
  <c r="F34" i="10"/>
  <c r="C34" i="10"/>
  <c r="E34" i="10" s="1"/>
  <c r="K34" i="10" s="1"/>
  <c r="AE34" i="10" s="1"/>
  <c r="AS34" i="10" s="1"/>
  <c r="AQ33" i="10"/>
  <c r="AP33" i="10"/>
  <c r="AO33" i="10"/>
  <c r="AN33" i="10"/>
  <c r="AL33" i="10"/>
  <c r="AJ33" i="10"/>
  <c r="AC33" i="10"/>
  <c r="AB33" i="10"/>
  <c r="R33" i="10"/>
  <c r="Q33" i="10"/>
  <c r="O33" i="10"/>
  <c r="P33" i="10" s="1"/>
  <c r="G33" i="10"/>
  <c r="F33" i="10"/>
  <c r="C33" i="10"/>
  <c r="E33" i="10" s="1"/>
  <c r="AQ32" i="10"/>
  <c r="AP32" i="10"/>
  <c r="AO32" i="10"/>
  <c r="AN32" i="10"/>
  <c r="AL32" i="10"/>
  <c r="AC32" i="10"/>
  <c r="AB32" i="10"/>
  <c r="R32" i="10"/>
  <c r="Q32" i="10"/>
  <c r="O32" i="10"/>
  <c r="P32" i="10" s="1"/>
  <c r="G32" i="10"/>
  <c r="F32" i="10"/>
  <c r="C32" i="10"/>
  <c r="D32" i="10" s="1"/>
  <c r="J32" i="10" s="1"/>
  <c r="AD32" i="10" s="1"/>
  <c r="AR32" i="10" s="1"/>
  <c r="AQ31" i="10"/>
  <c r="AP31" i="10"/>
  <c r="AO31" i="10"/>
  <c r="AN31" i="10"/>
  <c r="AL31" i="10"/>
  <c r="AC31" i="10"/>
  <c r="AB31" i="10"/>
  <c r="R31" i="10"/>
  <c r="Q31" i="10"/>
  <c r="P31" i="10"/>
  <c r="O31" i="10"/>
  <c r="G31" i="10"/>
  <c r="F31" i="10"/>
  <c r="C31" i="10"/>
  <c r="E31" i="10" s="1"/>
  <c r="K31" i="10" s="1"/>
  <c r="AE31" i="10" s="1"/>
  <c r="AS31" i="10" s="1"/>
  <c r="AQ30" i="10"/>
  <c r="AP30" i="10"/>
  <c r="AO30" i="10"/>
  <c r="AN30" i="10"/>
  <c r="AL30" i="10"/>
  <c r="AC30" i="10"/>
  <c r="AB30" i="10"/>
  <c r="R30" i="10"/>
  <c r="Q30" i="10"/>
  <c r="O30" i="10"/>
  <c r="P30" i="10" s="1"/>
  <c r="G30" i="10"/>
  <c r="F30" i="10"/>
  <c r="D30" i="10"/>
  <c r="C30" i="10"/>
  <c r="E30" i="10" s="1"/>
  <c r="K30" i="10" s="1"/>
  <c r="AE30" i="10" s="1"/>
  <c r="AS30" i="10" s="1"/>
  <c r="AQ29" i="10"/>
  <c r="AP29" i="10"/>
  <c r="AO29" i="10"/>
  <c r="AN29" i="10"/>
  <c r="AL29" i="10"/>
  <c r="AK29" i="10"/>
  <c r="AC29" i="10"/>
  <c r="AB29" i="10"/>
  <c r="R29" i="10"/>
  <c r="Q29" i="10"/>
  <c r="O29" i="10"/>
  <c r="P29" i="10" s="1"/>
  <c r="AG29" i="10" s="1"/>
  <c r="G29" i="10"/>
  <c r="F29" i="10"/>
  <c r="C29" i="10"/>
  <c r="E29" i="10" s="1"/>
  <c r="K29" i="10" s="1"/>
  <c r="AE29" i="10" s="1"/>
  <c r="AS29" i="10" s="1"/>
  <c r="AQ28" i="10"/>
  <c r="AP28" i="10"/>
  <c r="AO28" i="10"/>
  <c r="AN28" i="10"/>
  <c r="AL28" i="10"/>
  <c r="AC28" i="10"/>
  <c r="AB28" i="10"/>
  <c r="R28" i="10"/>
  <c r="Q28" i="10"/>
  <c r="O28" i="10"/>
  <c r="P28" i="10" s="1"/>
  <c r="S28" i="10" s="1"/>
  <c r="Z28" i="10" s="1"/>
  <c r="G28" i="10"/>
  <c r="F28" i="10"/>
  <c r="C28" i="10"/>
  <c r="D28" i="10" s="1"/>
  <c r="AQ27" i="10"/>
  <c r="AP27" i="10"/>
  <c r="AO27" i="10"/>
  <c r="AN27" i="10"/>
  <c r="AL27" i="10"/>
  <c r="AC27" i="10"/>
  <c r="AB27" i="10"/>
  <c r="R27" i="10"/>
  <c r="Q27" i="10"/>
  <c r="O27" i="10"/>
  <c r="P27" i="10" s="1"/>
  <c r="G27" i="10"/>
  <c r="F27" i="10"/>
  <c r="C27" i="10"/>
  <c r="E27" i="10" s="1"/>
  <c r="K27" i="10" s="1"/>
  <c r="AE27" i="10" s="1"/>
  <c r="AS27" i="10" s="1"/>
  <c r="AQ26" i="10"/>
  <c r="AP26" i="10"/>
  <c r="AO26" i="10"/>
  <c r="AN26" i="10"/>
  <c r="AL26" i="10"/>
  <c r="AJ26" i="10"/>
  <c r="AC26" i="10"/>
  <c r="AB26" i="10"/>
  <c r="R26" i="10"/>
  <c r="Q26" i="10"/>
  <c r="P26" i="10"/>
  <c r="O26" i="10"/>
  <c r="G26" i="10"/>
  <c r="F26" i="10"/>
  <c r="E26" i="10"/>
  <c r="C26" i="10"/>
  <c r="D26" i="10" s="1"/>
  <c r="J26" i="10" s="1"/>
  <c r="AD26" i="10" s="1"/>
  <c r="AR26" i="10" s="1"/>
  <c r="AQ25" i="10"/>
  <c r="AP25" i="10"/>
  <c r="AO25" i="10"/>
  <c r="AN25" i="10"/>
  <c r="AL25" i="10"/>
  <c r="AC25" i="10"/>
  <c r="AB25" i="10"/>
  <c r="R25" i="10"/>
  <c r="Q25" i="10"/>
  <c r="O25" i="10"/>
  <c r="P25" i="10" s="1"/>
  <c r="AG25" i="10" s="1"/>
  <c r="J25" i="10"/>
  <c r="AD25" i="10" s="1"/>
  <c r="AR25" i="10" s="1"/>
  <c r="G25" i="10"/>
  <c r="F25" i="10"/>
  <c r="D25" i="10"/>
  <c r="C25" i="10"/>
  <c r="E25" i="10" s="1"/>
  <c r="K25" i="10" s="1"/>
  <c r="AE25" i="10" s="1"/>
  <c r="AS25" i="10" s="1"/>
  <c r="AQ24" i="10"/>
  <c r="AP24" i="10"/>
  <c r="AO24" i="10"/>
  <c r="AN24" i="10"/>
  <c r="AL24" i="10"/>
  <c r="AK24" i="10"/>
  <c r="AC24" i="10"/>
  <c r="AB24" i="10"/>
  <c r="R24" i="10"/>
  <c r="Q24" i="10"/>
  <c r="O24" i="10"/>
  <c r="P24" i="10" s="1"/>
  <c r="AJ24" i="10" s="1"/>
  <c r="G24" i="10"/>
  <c r="F24" i="10"/>
  <c r="C24" i="10"/>
  <c r="AQ23" i="10"/>
  <c r="AP23" i="10"/>
  <c r="AO23" i="10"/>
  <c r="AN23" i="10"/>
  <c r="AL23" i="10"/>
  <c r="AK23" i="10"/>
  <c r="AC23" i="10"/>
  <c r="AB23" i="10"/>
  <c r="R23" i="10"/>
  <c r="Q23" i="10"/>
  <c r="O23" i="10"/>
  <c r="P23" i="10" s="1"/>
  <c r="AJ23" i="10" s="1"/>
  <c r="G23" i="10"/>
  <c r="F23" i="10"/>
  <c r="C23" i="10"/>
  <c r="E23" i="10" s="1"/>
  <c r="AQ22" i="10"/>
  <c r="AP22" i="10"/>
  <c r="AO22" i="10"/>
  <c r="AN22" i="10"/>
  <c r="AL22" i="10"/>
  <c r="AK22" i="10"/>
  <c r="AC22" i="10"/>
  <c r="AB22" i="10"/>
  <c r="R22" i="10"/>
  <c r="Q22" i="10"/>
  <c r="P22" i="10"/>
  <c r="O22" i="10"/>
  <c r="G22" i="10"/>
  <c r="F22" i="10"/>
  <c r="E22" i="10"/>
  <c r="C22" i="10"/>
  <c r="D22" i="10" s="1"/>
  <c r="J22" i="10" s="1"/>
  <c r="AD22" i="10" s="1"/>
  <c r="AR22" i="10" s="1"/>
  <c r="AQ21" i="10"/>
  <c r="AP21" i="10"/>
  <c r="AO21" i="10"/>
  <c r="AN21" i="10"/>
  <c r="AL21" i="10"/>
  <c r="AJ21" i="10"/>
  <c r="AC21" i="10"/>
  <c r="AB21" i="10"/>
  <c r="R21" i="10"/>
  <c r="Q21" i="10"/>
  <c r="O21" i="10"/>
  <c r="P21" i="10" s="1"/>
  <c r="G21" i="10"/>
  <c r="F21" i="10"/>
  <c r="E21" i="10"/>
  <c r="C21" i="10"/>
  <c r="D21" i="10" s="1"/>
  <c r="AQ20" i="10"/>
  <c r="AP20" i="10"/>
  <c r="AO20" i="10"/>
  <c r="AN20" i="10"/>
  <c r="AL20" i="10"/>
  <c r="AC20" i="10"/>
  <c r="AB20" i="10"/>
  <c r="R20" i="10"/>
  <c r="Q20" i="10"/>
  <c r="O20" i="10"/>
  <c r="P20" i="10" s="1"/>
  <c r="G20" i="10"/>
  <c r="F20" i="10"/>
  <c r="C20" i="10"/>
  <c r="E20" i="10" s="1"/>
  <c r="AQ19" i="10"/>
  <c r="AP19" i="10"/>
  <c r="AO19" i="10"/>
  <c r="AN19" i="10"/>
  <c r="AL19" i="10"/>
  <c r="AC19" i="10"/>
  <c r="AB19" i="10"/>
  <c r="R19" i="10"/>
  <c r="Q19" i="10"/>
  <c r="O19" i="10"/>
  <c r="P19" i="10" s="1"/>
  <c r="G19" i="10"/>
  <c r="F19" i="10"/>
  <c r="C19" i="10"/>
  <c r="D19" i="10" s="1"/>
  <c r="AQ18" i="10"/>
  <c r="AP18" i="10"/>
  <c r="AO18" i="10"/>
  <c r="AN18" i="10"/>
  <c r="AL18" i="10"/>
  <c r="AJ18" i="10"/>
  <c r="AC18" i="10"/>
  <c r="AB18" i="10"/>
  <c r="R18" i="10"/>
  <c r="Q18" i="10"/>
  <c r="O18" i="10"/>
  <c r="P18" i="10" s="1"/>
  <c r="K18" i="10"/>
  <c r="AE18" i="10" s="1"/>
  <c r="AS18" i="10" s="1"/>
  <c r="G18" i="10"/>
  <c r="F18" i="10"/>
  <c r="C18" i="10"/>
  <c r="E18" i="10" s="1"/>
  <c r="AQ17" i="10"/>
  <c r="AP17" i="10"/>
  <c r="AO17" i="10"/>
  <c r="AN17" i="10"/>
  <c r="AL17" i="10"/>
  <c r="AC17" i="10"/>
  <c r="AB17" i="10"/>
  <c r="R17" i="10"/>
  <c r="Q17" i="10"/>
  <c r="O17" i="10"/>
  <c r="P17" i="10" s="1"/>
  <c r="G17" i="10"/>
  <c r="F17" i="10"/>
  <c r="C17" i="10"/>
  <c r="E17" i="10" s="1"/>
  <c r="K17" i="10" s="1"/>
  <c r="AE17" i="10" s="1"/>
  <c r="AS17" i="10" s="1"/>
  <c r="AQ16" i="10"/>
  <c r="AP16" i="10"/>
  <c r="AO16" i="10"/>
  <c r="AN16" i="10"/>
  <c r="AL16" i="10"/>
  <c r="AC16" i="10"/>
  <c r="AB16" i="10"/>
  <c r="R16" i="10"/>
  <c r="Q16" i="10"/>
  <c r="O16" i="10"/>
  <c r="P16" i="10" s="1"/>
  <c r="G16" i="10"/>
  <c r="F16" i="10"/>
  <c r="E16" i="10"/>
  <c r="C16" i="10"/>
  <c r="D16" i="10" s="1"/>
  <c r="AQ15" i="10"/>
  <c r="AP15" i="10"/>
  <c r="AO15" i="10"/>
  <c r="AN15" i="10"/>
  <c r="AL15" i="10"/>
  <c r="AC15" i="10"/>
  <c r="AB15" i="10"/>
  <c r="R15" i="10"/>
  <c r="Q15" i="10"/>
  <c r="O15" i="10"/>
  <c r="P15" i="10" s="1"/>
  <c r="G15" i="10"/>
  <c r="F15" i="10"/>
  <c r="C15" i="10"/>
  <c r="D15" i="10" s="1"/>
  <c r="J15" i="10" s="1"/>
  <c r="AD15" i="10" s="1"/>
  <c r="AR15" i="10" s="1"/>
  <c r="AQ14" i="10"/>
  <c r="AP14" i="10"/>
  <c r="AO14" i="10"/>
  <c r="AN14" i="10"/>
  <c r="AL14" i="10"/>
  <c r="AC14" i="10"/>
  <c r="AB14" i="10"/>
  <c r="R14" i="10"/>
  <c r="Q14" i="10"/>
  <c r="P14" i="10"/>
  <c r="O14" i="10"/>
  <c r="G14" i="10"/>
  <c r="F14" i="10"/>
  <c r="E14" i="10"/>
  <c r="D14" i="10"/>
  <c r="J14" i="10" s="1"/>
  <c r="AD14" i="10" s="1"/>
  <c r="AR14" i="10" s="1"/>
  <c r="C14" i="10"/>
  <c r="AQ13" i="10"/>
  <c r="AP13" i="10"/>
  <c r="AO13" i="10"/>
  <c r="AN13" i="10"/>
  <c r="AL13" i="10"/>
  <c r="AJ13" i="10"/>
  <c r="AC13" i="10"/>
  <c r="AB13" i="10"/>
  <c r="R13" i="10"/>
  <c r="Q13" i="10"/>
  <c r="O13" i="10"/>
  <c r="P13" i="10" s="1"/>
  <c r="G13" i="10"/>
  <c r="F13" i="10"/>
  <c r="C13" i="10"/>
  <c r="D13" i="10" s="1"/>
  <c r="AQ12" i="10"/>
  <c r="AP12" i="10"/>
  <c r="AO12" i="10"/>
  <c r="AN12" i="10"/>
  <c r="AL12" i="10"/>
  <c r="AJ12" i="10"/>
  <c r="AC12" i="10"/>
  <c r="AB12" i="10"/>
  <c r="R12" i="10"/>
  <c r="Q12" i="10"/>
  <c r="O12" i="10"/>
  <c r="P12" i="10" s="1"/>
  <c r="G12" i="10"/>
  <c r="F12" i="10"/>
  <c r="E12" i="10"/>
  <c r="K12" i="10" s="1"/>
  <c r="AE12" i="10" s="1"/>
  <c r="AS12" i="10" s="1"/>
  <c r="D12" i="10"/>
  <c r="J12" i="10" s="1"/>
  <c r="AD12" i="10" s="1"/>
  <c r="AR12" i="10" s="1"/>
  <c r="C12" i="10"/>
  <c r="AQ11" i="10"/>
  <c r="AP11" i="10"/>
  <c r="AO11" i="10"/>
  <c r="AN11" i="10"/>
  <c r="AL11" i="10"/>
  <c r="AC11" i="10"/>
  <c r="AB11" i="10"/>
  <c r="R11" i="10"/>
  <c r="Q11" i="10"/>
  <c r="O11" i="10"/>
  <c r="P11" i="10" s="1"/>
  <c r="S11" i="10" s="1"/>
  <c r="X11" i="10" s="1"/>
  <c r="G11" i="10"/>
  <c r="F11" i="10"/>
  <c r="D11" i="10"/>
  <c r="C11" i="10"/>
  <c r="E11" i="10" s="1"/>
  <c r="K11" i="10" s="1"/>
  <c r="AE11" i="10" s="1"/>
  <c r="AS11" i="10" s="1"/>
  <c r="AQ10" i="10"/>
  <c r="AP10" i="10"/>
  <c r="AO10" i="10"/>
  <c r="AN10" i="10"/>
  <c r="AL10" i="10"/>
  <c r="AC10" i="10"/>
  <c r="AB10" i="10"/>
  <c r="R10" i="10"/>
  <c r="Q10" i="10"/>
  <c r="O10" i="10"/>
  <c r="P10" i="10" s="1"/>
  <c r="G10" i="10"/>
  <c r="F10" i="10"/>
  <c r="C10" i="10"/>
  <c r="E10" i="10" s="1"/>
  <c r="K10" i="10" s="1"/>
  <c r="AE10" i="10" s="1"/>
  <c r="AS10" i="10" s="1"/>
  <c r="AQ9" i="10"/>
  <c r="AP9" i="10"/>
  <c r="AO9" i="10"/>
  <c r="AN9" i="10"/>
  <c r="AL9" i="10"/>
  <c r="AK9" i="10"/>
  <c r="AC9" i="10"/>
  <c r="AB9" i="10"/>
  <c r="R9" i="10"/>
  <c r="Q9" i="10"/>
  <c r="O9" i="10"/>
  <c r="P9" i="10" s="1"/>
  <c r="G9" i="10"/>
  <c r="F9" i="10"/>
  <c r="C9" i="10"/>
  <c r="E9" i="10" s="1"/>
  <c r="AQ8" i="10"/>
  <c r="AP8" i="10"/>
  <c r="AO8" i="10"/>
  <c r="AN8" i="10"/>
  <c r="AL8" i="10"/>
  <c r="AK8" i="10"/>
  <c r="AC8" i="10"/>
  <c r="AB8" i="10"/>
  <c r="R8" i="10"/>
  <c r="Q8" i="10"/>
  <c r="O8" i="10"/>
  <c r="P8" i="10" s="1"/>
  <c r="S8" i="10" s="1"/>
  <c r="V8" i="10" s="1"/>
  <c r="G8" i="10"/>
  <c r="F8" i="10"/>
  <c r="C8" i="10"/>
  <c r="D8" i="10" s="1"/>
  <c r="J8" i="10" s="1"/>
  <c r="AD8" i="10" s="1"/>
  <c r="AR8" i="10" s="1"/>
  <c r="AQ7" i="10"/>
  <c r="AP7" i="10"/>
  <c r="AO7" i="10"/>
  <c r="AN7" i="10"/>
  <c r="AL7" i="10"/>
  <c r="AC7" i="10"/>
  <c r="AB7" i="10"/>
  <c r="R7" i="10"/>
  <c r="Q7" i="10"/>
  <c r="O7" i="10"/>
  <c r="P7" i="10" s="1"/>
  <c r="G7" i="10"/>
  <c r="F7" i="10"/>
  <c r="C7" i="10"/>
  <c r="D7" i="10" s="1"/>
  <c r="J7" i="10" s="1"/>
  <c r="AD7" i="10" s="1"/>
  <c r="AR7" i="10" s="1"/>
  <c r="BF20" i="8"/>
  <c r="BR17" i="8"/>
  <c r="BR18" i="8"/>
  <c r="BR19" i="8"/>
  <c r="BR20" i="8"/>
  <c r="BR21" i="8"/>
  <c r="BR22" i="8"/>
  <c r="BR23" i="8"/>
  <c r="BR24" i="8"/>
  <c r="BR25" i="8"/>
  <c r="BR26" i="8"/>
  <c r="BR27" i="8"/>
  <c r="BT27" i="8" s="1"/>
  <c r="BR28" i="8"/>
  <c r="BR29" i="8"/>
  <c r="BR30" i="8"/>
  <c r="BR31" i="8"/>
  <c r="BR32" i="8"/>
  <c r="BR33" i="8"/>
  <c r="AJ6" i="8"/>
  <c r="AK6" i="8"/>
  <c r="AL6" i="8" s="1"/>
  <c r="AM6" i="8" s="1"/>
  <c r="AJ7" i="8"/>
  <c r="AK7" i="8"/>
  <c r="AL7" i="8" s="1"/>
  <c r="AM7" i="8" s="1"/>
  <c r="AJ8" i="8"/>
  <c r="AK8" i="8"/>
  <c r="AJ9" i="8"/>
  <c r="AK9" i="8"/>
  <c r="AJ10" i="8"/>
  <c r="AK10" i="8"/>
  <c r="AJ11" i="8"/>
  <c r="AK11" i="8"/>
  <c r="AJ12" i="8"/>
  <c r="AK12" i="8"/>
  <c r="AJ13" i="8"/>
  <c r="AK13" i="8"/>
  <c r="AL13" i="8" s="1"/>
  <c r="AM13" i="8" s="1"/>
  <c r="AJ14" i="8"/>
  <c r="AK14" i="8"/>
  <c r="AJ15" i="8"/>
  <c r="AK15" i="8"/>
  <c r="AJ16" i="8"/>
  <c r="AK16" i="8"/>
  <c r="AJ17" i="8"/>
  <c r="AK17" i="8"/>
  <c r="AL17" i="8" s="1"/>
  <c r="AM17" i="8" s="1"/>
  <c r="AJ18" i="8"/>
  <c r="AK18" i="8"/>
  <c r="AJ19" i="8"/>
  <c r="AK19" i="8"/>
  <c r="AJ20" i="8"/>
  <c r="AK20" i="8"/>
  <c r="AJ21" i="8"/>
  <c r="AK21" i="8"/>
  <c r="AJ22" i="8"/>
  <c r="AK22" i="8"/>
  <c r="AJ23" i="8"/>
  <c r="AK23" i="8"/>
  <c r="AL23" i="8" s="1"/>
  <c r="AM23" i="8" s="1"/>
  <c r="AJ24" i="8"/>
  <c r="AK24" i="8"/>
  <c r="AJ25" i="8"/>
  <c r="AK25" i="8"/>
  <c r="AL25" i="8" s="1"/>
  <c r="AM25" i="8" s="1"/>
  <c r="AJ26" i="8"/>
  <c r="AK26" i="8"/>
  <c r="AJ27" i="8"/>
  <c r="AK27" i="8"/>
  <c r="AJ28" i="8"/>
  <c r="AK28" i="8"/>
  <c r="AL28" i="8" s="1"/>
  <c r="AM28" i="8" s="1"/>
  <c r="AJ29" i="8"/>
  <c r="AK29" i="8"/>
  <c r="AL29" i="8" s="1"/>
  <c r="AM29" i="8" s="1"/>
  <c r="AJ30" i="8"/>
  <c r="AK30" i="8"/>
  <c r="AL30" i="8" s="1"/>
  <c r="AM30" i="8" s="1"/>
  <c r="AJ31" i="8"/>
  <c r="AK31" i="8"/>
  <c r="AL31" i="8" s="1"/>
  <c r="AM31" i="8" s="1"/>
  <c r="AJ32" i="8"/>
  <c r="AK32" i="8"/>
  <c r="AJ33" i="8"/>
  <c r="AL33" i="8" s="1"/>
  <c r="AM33" i="8" s="1"/>
  <c r="AK33" i="8"/>
  <c r="AK5" i="8"/>
  <c r="AJ5" i="8"/>
  <c r="BU33" i="9"/>
  <c r="BR33" i="9"/>
  <c r="BL33" i="9"/>
  <c r="BG33" i="9"/>
  <c r="BF33" i="9"/>
  <c r="BE33" i="9"/>
  <c r="AL33" i="9"/>
  <c r="AM33" i="9" s="1"/>
  <c r="AH33" i="9"/>
  <c r="AG33" i="9"/>
  <c r="AF33" i="9"/>
  <c r="X33" i="9"/>
  <c r="Y33" i="9" s="1"/>
  <c r="AB33" i="9" s="1"/>
  <c r="W33" i="9"/>
  <c r="R33" i="9"/>
  <c r="Q33" i="9"/>
  <c r="O33" i="9"/>
  <c r="P33" i="9" s="1"/>
  <c r="AT33" i="9" s="1"/>
  <c r="G33" i="9"/>
  <c r="F33" i="9"/>
  <c r="C33" i="9"/>
  <c r="BU32" i="9"/>
  <c r="BR32" i="9"/>
  <c r="BT32" i="9" s="1"/>
  <c r="BL32" i="9"/>
  <c r="BM32" i="9"/>
  <c r="BG32" i="9"/>
  <c r="BF32" i="9"/>
  <c r="BE32" i="9"/>
  <c r="AH32" i="9"/>
  <c r="AG32" i="9"/>
  <c r="AF32" i="9"/>
  <c r="X32" i="9"/>
  <c r="Z32" i="9" s="1"/>
  <c r="AC32" i="9" s="1"/>
  <c r="W32" i="9"/>
  <c r="R32" i="9"/>
  <c r="Q32" i="9"/>
  <c r="O32" i="9"/>
  <c r="P32" i="9" s="1"/>
  <c r="G32" i="9"/>
  <c r="F32" i="9"/>
  <c r="C32" i="9"/>
  <c r="BU31" i="9"/>
  <c r="BT31" i="9"/>
  <c r="BR31" i="9"/>
  <c r="BL31" i="9"/>
  <c r="BM31" i="9"/>
  <c r="BG31" i="9"/>
  <c r="BF31" i="9"/>
  <c r="BE31" i="9"/>
  <c r="AH31" i="9"/>
  <c r="AG31" i="9"/>
  <c r="AF31" i="9"/>
  <c r="X31" i="9"/>
  <c r="Y31" i="9" s="1"/>
  <c r="AB31" i="9" s="1"/>
  <c r="W31" i="9"/>
  <c r="R31" i="9"/>
  <c r="Q31" i="9"/>
  <c r="O31" i="9"/>
  <c r="P31" i="9" s="1"/>
  <c r="AQ31" i="9" s="1"/>
  <c r="G31" i="9"/>
  <c r="F31" i="9"/>
  <c r="C31" i="9"/>
  <c r="BU30" i="9"/>
  <c r="BT30" i="9"/>
  <c r="BR30" i="9"/>
  <c r="BL30" i="9"/>
  <c r="BG30" i="9"/>
  <c r="BF30" i="9"/>
  <c r="BE30" i="9"/>
  <c r="AQ30" i="9"/>
  <c r="AL30" i="9"/>
  <c r="AM30" i="9" s="1"/>
  <c r="AH30" i="9"/>
  <c r="AG30" i="9"/>
  <c r="AF30" i="9"/>
  <c r="Z30" i="9"/>
  <c r="AC30" i="9" s="1"/>
  <c r="X30" i="9"/>
  <c r="Y30" i="9" s="1"/>
  <c r="AB30" i="9" s="1"/>
  <c r="W30" i="9"/>
  <c r="R30" i="9"/>
  <c r="Q30" i="9"/>
  <c r="O30" i="9"/>
  <c r="P30" i="9" s="1"/>
  <c r="AT30" i="9" s="1"/>
  <c r="G30" i="9"/>
  <c r="F30" i="9"/>
  <c r="C30" i="9"/>
  <c r="E30" i="9" s="1"/>
  <c r="BU29" i="9"/>
  <c r="BR29" i="9"/>
  <c r="BL29" i="9"/>
  <c r="BM29" i="9" s="1"/>
  <c r="BG29" i="9"/>
  <c r="BF29" i="9"/>
  <c r="BE29" i="9"/>
  <c r="AS29" i="9"/>
  <c r="AH29" i="9"/>
  <c r="AG29" i="9"/>
  <c r="AF29" i="9"/>
  <c r="X29" i="9"/>
  <c r="Z29" i="9" s="1"/>
  <c r="AC29" i="9" s="1"/>
  <c r="W29" i="9"/>
  <c r="R29" i="9"/>
  <c r="Q29" i="9"/>
  <c r="O29" i="9"/>
  <c r="P29" i="9" s="1"/>
  <c r="G29" i="9"/>
  <c r="F29" i="9"/>
  <c r="C29" i="9"/>
  <c r="E29" i="9" s="1"/>
  <c r="BU28" i="9"/>
  <c r="BR28" i="9"/>
  <c r="BT28" i="9" s="1"/>
  <c r="BL28" i="9"/>
  <c r="BM28" i="9" s="1"/>
  <c r="BG28" i="9"/>
  <c r="BF28" i="9"/>
  <c r="BE28" i="9"/>
  <c r="AH28" i="9"/>
  <c r="AG28" i="9"/>
  <c r="AF28" i="9"/>
  <c r="X28" i="9"/>
  <c r="W28" i="9"/>
  <c r="R28" i="9"/>
  <c r="Q28" i="9"/>
  <c r="O28" i="9"/>
  <c r="P28" i="9" s="1"/>
  <c r="AT28" i="9" s="1"/>
  <c r="G28" i="9"/>
  <c r="F28" i="9"/>
  <c r="C28" i="9"/>
  <c r="E28" i="9" s="1"/>
  <c r="BU27" i="9"/>
  <c r="BR27" i="9"/>
  <c r="BL27" i="9"/>
  <c r="BM27" i="9"/>
  <c r="BG27" i="9"/>
  <c r="BF27" i="9"/>
  <c r="BE27" i="9"/>
  <c r="AH27" i="9"/>
  <c r="AG27" i="9"/>
  <c r="AF27" i="9"/>
  <c r="X27" i="9"/>
  <c r="Z27" i="9" s="1"/>
  <c r="AC27" i="9" s="1"/>
  <c r="W27" i="9"/>
  <c r="R27" i="9"/>
  <c r="Q27" i="9"/>
  <c r="O27" i="9"/>
  <c r="P27" i="9" s="1"/>
  <c r="G27" i="9"/>
  <c r="F27" i="9"/>
  <c r="C27" i="9"/>
  <c r="BU26" i="9"/>
  <c r="BT26" i="9"/>
  <c r="BR26" i="9"/>
  <c r="BL26" i="9"/>
  <c r="BM26" i="9"/>
  <c r="BG26" i="9"/>
  <c r="BF26" i="9"/>
  <c r="BE26" i="9"/>
  <c r="AH26" i="9"/>
  <c r="AG26" i="9"/>
  <c r="AF26" i="9"/>
  <c r="X26" i="9"/>
  <c r="Y26" i="9" s="1"/>
  <c r="AB26" i="9" s="1"/>
  <c r="W26" i="9"/>
  <c r="R26" i="9"/>
  <c r="Q26" i="9"/>
  <c r="O26" i="9"/>
  <c r="P26" i="9" s="1"/>
  <c r="G26" i="9"/>
  <c r="F26" i="9"/>
  <c r="C26" i="9"/>
  <c r="E26" i="9" s="1"/>
  <c r="K26" i="9" s="1"/>
  <c r="BU25" i="9"/>
  <c r="BR25" i="9"/>
  <c r="BL25" i="9"/>
  <c r="BT25" i="9" s="1"/>
  <c r="BG25" i="9"/>
  <c r="BF25" i="9"/>
  <c r="BE25" i="9"/>
  <c r="AL25" i="9"/>
  <c r="AM25" i="9" s="1"/>
  <c r="AH25" i="9"/>
  <c r="AG25" i="9"/>
  <c r="AF25" i="9"/>
  <c r="X25" i="9"/>
  <c r="Z25" i="9" s="1"/>
  <c r="AC25" i="9" s="1"/>
  <c r="W25" i="9"/>
  <c r="R25" i="9"/>
  <c r="AT25" i="9" s="1"/>
  <c r="Q25" i="9"/>
  <c r="O25" i="9"/>
  <c r="P25" i="9" s="1"/>
  <c r="AS25" i="9" s="1"/>
  <c r="AU25" i="9" s="1"/>
  <c r="G25" i="9"/>
  <c r="F25" i="9"/>
  <c r="C25" i="9"/>
  <c r="E25" i="9" s="1"/>
  <c r="BU24" i="9"/>
  <c r="BR24" i="9"/>
  <c r="BT24" i="9" s="1"/>
  <c r="BL24" i="9"/>
  <c r="BM24" i="9" s="1"/>
  <c r="BG24" i="9"/>
  <c r="BF24" i="9"/>
  <c r="BE24" i="9"/>
  <c r="AH24" i="9"/>
  <c r="AG24" i="9"/>
  <c r="AF24" i="9"/>
  <c r="X24" i="9"/>
  <c r="Y24" i="9" s="1"/>
  <c r="AB24" i="9" s="1"/>
  <c r="W24" i="9"/>
  <c r="R24" i="9"/>
  <c r="Q24" i="9"/>
  <c r="O24" i="9"/>
  <c r="P24" i="9" s="1"/>
  <c r="AT24" i="9" s="1"/>
  <c r="G24" i="9"/>
  <c r="F24" i="9"/>
  <c r="C24" i="9"/>
  <c r="E24" i="9" s="1"/>
  <c r="K24" i="9" s="1"/>
  <c r="BU23" i="9"/>
  <c r="BR23" i="9"/>
  <c r="BL23" i="9"/>
  <c r="BM23" i="9" s="1"/>
  <c r="BG23" i="9"/>
  <c r="BF23" i="9"/>
  <c r="BE23" i="9"/>
  <c r="AS23" i="9"/>
  <c r="AQ23" i="9"/>
  <c r="AH23" i="9"/>
  <c r="AG23" i="9"/>
  <c r="AF23" i="9"/>
  <c r="Z23" i="9"/>
  <c r="AC23" i="9" s="1"/>
  <c r="X23" i="9"/>
  <c r="Y23" i="9" s="1"/>
  <c r="AB23" i="9" s="1"/>
  <c r="W23" i="9"/>
  <c r="R23" i="9"/>
  <c r="Q23" i="9"/>
  <c r="O23" i="9"/>
  <c r="P23" i="9" s="1"/>
  <c r="AT23" i="9" s="1"/>
  <c r="G23" i="9"/>
  <c r="F23" i="9"/>
  <c r="C23" i="9"/>
  <c r="D23" i="9" s="1"/>
  <c r="BU22" i="9"/>
  <c r="BR22" i="9"/>
  <c r="BL22" i="9"/>
  <c r="BM22" i="9" s="1"/>
  <c r="BG22" i="9"/>
  <c r="BF22" i="9"/>
  <c r="BE22" i="9"/>
  <c r="AL22" i="9"/>
  <c r="AM22" i="9" s="1"/>
  <c r="AH22" i="9"/>
  <c r="AG22" i="9"/>
  <c r="AF22" i="9"/>
  <c r="X22" i="9"/>
  <c r="Z22" i="9" s="1"/>
  <c r="AC22" i="9" s="1"/>
  <c r="W22" i="9"/>
  <c r="R22" i="9"/>
  <c r="Q22" i="9"/>
  <c r="O22" i="9"/>
  <c r="P22" i="9" s="1"/>
  <c r="G22" i="9"/>
  <c r="F22" i="9"/>
  <c r="C22" i="9"/>
  <c r="E22" i="9" s="1"/>
  <c r="K22" i="9" s="1"/>
  <c r="BU21" i="9"/>
  <c r="BR21" i="9"/>
  <c r="BL21" i="9"/>
  <c r="BM21" i="9"/>
  <c r="BG21" i="9"/>
  <c r="BF21" i="9"/>
  <c r="BE21" i="9"/>
  <c r="AH21" i="9"/>
  <c r="AG21" i="9"/>
  <c r="AF21" i="9"/>
  <c r="X21" i="9"/>
  <c r="Z21" i="9" s="1"/>
  <c r="AC21" i="9" s="1"/>
  <c r="W21" i="9"/>
  <c r="R21" i="9"/>
  <c r="Q21" i="9"/>
  <c r="O21" i="9"/>
  <c r="P21" i="9" s="1"/>
  <c r="AS21" i="9" s="1"/>
  <c r="G21" i="9"/>
  <c r="F21" i="9"/>
  <c r="C21" i="9"/>
  <c r="E21" i="9" s="1"/>
  <c r="K21" i="9" s="1"/>
  <c r="T21" i="9" s="1"/>
  <c r="BU20" i="9"/>
  <c r="BR20" i="9"/>
  <c r="BL20" i="9"/>
  <c r="BM20" i="9" s="1"/>
  <c r="BG20" i="9"/>
  <c r="BF20" i="9"/>
  <c r="BE20" i="9"/>
  <c r="AH20" i="9"/>
  <c r="AG20" i="9"/>
  <c r="AF20" i="9"/>
  <c r="X20" i="9"/>
  <c r="W20" i="9"/>
  <c r="R20" i="9"/>
  <c r="Q20" i="9"/>
  <c r="O20" i="9"/>
  <c r="P20" i="9" s="1"/>
  <c r="G20" i="9"/>
  <c r="F20" i="9"/>
  <c r="C20" i="9"/>
  <c r="E20" i="9" s="1"/>
  <c r="BU19" i="9"/>
  <c r="BR19" i="9"/>
  <c r="BL19" i="9"/>
  <c r="BM19" i="9"/>
  <c r="BG19" i="9"/>
  <c r="BF19" i="9"/>
  <c r="BE19" i="9"/>
  <c r="AH19" i="9"/>
  <c r="AG19" i="9"/>
  <c r="AF19" i="9"/>
  <c r="X19" i="9"/>
  <c r="Z19" i="9" s="1"/>
  <c r="AC19" i="9" s="1"/>
  <c r="W19" i="9"/>
  <c r="R19" i="9"/>
  <c r="Q19" i="9"/>
  <c r="O19" i="9"/>
  <c r="P19" i="9" s="1"/>
  <c r="G19" i="9"/>
  <c r="F19" i="9"/>
  <c r="C19" i="9"/>
  <c r="BU18" i="9"/>
  <c r="BR18" i="9"/>
  <c r="BT18" i="9" s="1"/>
  <c r="BL18" i="9"/>
  <c r="BM18" i="9" s="1"/>
  <c r="BG18" i="9"/>
  <c r="BF18" i="9"/>
  <c r="BE18" i="9"/>
  <c r="AL18" i="9"/>
  <c r="AM18" i="9" s="1"/>
  <c r="AH18" i="9"/>
  <c r="AG18" i="9"/>
  <c r="AF18" i="9"/>
  <c r="Z18" i="9"/>
  <c r="AC18" i="9" s="1"/>
  <c r="X18" i="9"/>
  <c r="Y18" i="9" s="1"/>
  <c r="AB18" i="9" s="1"/>
  <c r="W18" i="9"/>
  <c r="R18" i="9"/>
  <c r="Q18" i="9"/>
  <c r="O18" i="9"/>
  <c r="P18" i="9" s="1"/>
  <c r="G18" i="9"/>
  <c r="F18" i="9"/>
  <c r="C18" i="9"/>
  <c r="D18" i="9" s="1"/>
  <c r="BU17" i="9"/>
  <c r="BR17" i="9"/>
  <c r="BL17" i="9"/>
  <c r="BG17" i="9"/>
  <c r="BF17" i="9"/>
  <c r="BE17" i="9"/>
  <c r="AL17" i="9"/>
  <c r="AM17" i="9" s="1"/>
  <c r="AH17" i="9"/>
  <c r="AG17" i="9"/>
  <c r="AF17" i="9"/>
  <c r="X17" i="9"/>
  <c r="Z17" i="9" s="1"/>
  <c r="AC17" i="9" s="1"/>
  <c r="W17" i="9"/>
  <c r="R17" i="9"/>
  <c r="Q17" i="9"/>
  <c r="AQ17" i="9"/>
  <c r="O17" i="9"/>
  <c r="P17" i="9" s="1"/>
  <c r="AT17" i="9" s="1"/>
  <c r="G17" i="9"/>
  <c r="F17" i="9"/>
  <c r="E17" i="9"/>
  <c r="K17" i="9" s="1"/>
  <c r="D17" i="9"/>
  <c r="C17" i="9"/>
  <c r="BU16" i="9"/>
  <c r="BR16" i="9"/>
  <c r="BT16" i="9" s="1"/>
  <c r="BL16" i="9"/>
  <c r="BM16" i="9" s="1"/>
  <c r="BG16" i="9"/>
  <c r="BF16" i="9"/>
  <c r="BE16" i="9"/>
  <c r="AS16" i="9"/>
  <c r="AL16" i="9"/>
  <c r="AM16" i="9" s="1"/>
  <c r="AH16" i="9"/>
  <c r="AG16" i="9"/>
  <c r="AF16" i="9"/>
  <c r="X16" i="9"/>
  <c r="Z16" i="9" s="1"/>
  <c r="AC16" i="9" s="1"/>
  <c r="W16" i="9"/>
  <c r="R16" i="9"/>
  <c r="Q16" i="9"/>
  <c r="AR16" i="9" s="1"/>
  <c r="O16" i="9"/>
  <c r="P16" i="9" s="1"/>
  <c r="AQ16" i="9" s="1"/>
  <c r="G16" i="9"/>
  <c r="F16" i="9"/>
  <c r="C16" i="9"/>
  <c r="E16" i="9" s="1"/>
  <c r="BU15" i="9"/>
  <c r="BR15" i="9"/>
  <c r="BT15" i="9" s="1"/>
  <c r="BL15" i="9"/>
  <c r="BM15" i="9" s="1"/>
  <c r="BG15" i="9"/>
  <c r="BF15" i="9"/>
  <c r="BE15" i="9"/>
  <c r="AT15" i="9"/>
  <c r="AH15" i="9"/>
  <c r="AG15" i="9"/>
  <c r="AF15" i="9"/>
  <c r="X15" i="9"/>
  <c r="Z15" i="9" s="1"/>
  <c r="AC15" i="9" s="1"/>
  <c r="W15" i="9"/>
  <c r="R15" i="9"/>
  <c r="Q15" i="9"/>
  <c r="O15" i="9"/>
  <c r="P15" i="9" s="1"/>
  <c r="AS15" i="9" s="1"/>
  <c r="G15" i="9"/>
  <c r="F15" i="9"/>
  <c r="C15" i="9"/>
  <c r="E15" i="9" s="1"/>
  <c r="K15" i="9" s="1"/>
  <c r="T15" i="9" s="1"/>
  <c r="BU14" i="9"/>
  <c r="BR14" i="9"/>
  <c r="BT14" i="9" s="1"/>
  <c r="BL14" i="9"/>
  <c r="BM14" i="9" s="1"/>
  <c r="BG14" i="9"/>
  <c r="BF14" i="9"/>
  <c r="BE14" i="9"/>
  <c r="AL14" i="9"/>
  <c r="AM14" i="9" s="1"/>
  <c r="AH14" i="9"/>
  <c r="AG14" i="9"/>
  <c r="AF14" i="9"/>
  <c r="AC14" i="9"/>
  <c r="X14" i="9"/>
  <c r="Z14" i="9" s="1"/>
  <c r="W14" i="9"/>
  <c r="R14" i="9"/>
  <c r="Q14" i="9"/>
  <c r="O14" i="9"/>
  <c r="P14" i="9" s="1"/>
  <c r="AS14" i="9" s="1"/>
  <c r="G14" i="9"/>
  <c r="F14" i="9"/>
  <c r="C14" i="9"/>
  <c r="D14" i="9" s="1"/>
  <c r="BU13" i="9"/>
  <c r="BR13" i="9"/>
  <c r="BL13" i="9"/>
  <c r="BM13" i="9" s="1"/>
  <c r="BG13" i="9"/>
  <c r="BF13" i="9"/>
  <c r="BE13" i="9"/>
  <c r="AH13" i="9"/>
  <c r="AG13" i="9"/>
  <c r="AF13" i="9"/>
  <c r="X13" i="9"/>
  <c r="Z13" i="9" s="1"/>
  <c r="AC13" i="9" s="1"/>
  <c r="W13" i="9"/>
  <c r="R13" i="9"/>
  <c r="Q13" i="9"/>
  <c r="O13" i="9"/>
  <c r="P13" i="9" s="1"/>
  <c r="AQ13" i="9" s="1"/>
  <c r="G13" i="9"/>
  <c r="F13" i="9"/>
  <c r="E13" i="9"/>
  <c r="K13" i="9" s="1"/>
  <c r="C13" i="9"/>
  <c r="D13" i="9" s="1"/>
  <c r="BU12" i="9"/>
  <c r="BR12" i="9"/>
  <c r="BT12" i="9" s="1"/>
  <c r="BL12" i="9"/>
  <c r="BM12" i="9" s="1"/>
  <c r="BG12" i="9"/>
  <c r="BF12" i="9"/>
  <c r="BE12" i="9"/>
  <c r="AT12" i="9"/>
  <c r="AH12" i="9"/>
  <c r="AG12" i="9"/>
  <c r="AF12" i="9"/>
  <c r="X12" i="9"/>
  <c r="Z12" i="9" s="1"/>
  <c r="AC12" i="9" s="1"/>
  <c r="W12" i="9"/>
  <c r="R12" i="9"/>
  <c r="Q12" i="9"/>
  <c r="O12" i="9"/>
  <c r="P12" i="9" s="1"/>
  <c r="AQ12" i="9" s="1"/>
  <c r="G12" i="9"/>
  <c r="F12" i="9"/>
  <c r="C12" i="9"/>
  <c r="E12" i="9" s="1"/>
  <c r="K12" i="9" s="1"/>
  <c r="T12" i="9" s="1"/>
  <c r="BU11" i="9"/>
  <c r="BR11" i="9"/>
  <c r="BT11" i="9" s="1"/>
  <c r="BL11" i="9"/>
  <c r="BM11" i="9" s="1"/>
  <c r="BG11" i="9"/>
  <c r="BF11" i="9"/>
  <c r="BE11" i="9"/>
  <c r="AH11" i="9"/>
  <c r="AG11" i="9"/>
  <c r="AF11" i="9"/>
  <c r="X11" i="9"/>
  <c r="Z11" i="9" s="1"/>
  <c r="AC11" i="9" s="1"/>
  <c r="W11" i="9"/>
  <c r="R11" i="9"/>
  <c r="Q11" i="9"/>
  <c r="O11" i="9"/>
  <c r="P11" i="9" s="1"/>
  <c r="AT11" i="9" s="1"/>
  <c r="G11" i="9"/>
  <c r="F11" i="9"/>
  <c r="C11" i="9"/>
  <c r="D11" i="9" s="1"/>
  <c r="BU10" i="9"/>
  <c r="BR10" i="9"/>
  <c r="BL10" i="9"/>
  <c r="BM10" i="9"/>
  <c r="BG10" i="9"/>
  <c r="BF10" i="9"/>
  <c r="BE10" i="9"/>
  <c r="AL10" i="9"/>
  <c r="AM10" i="9" s="1"/>
  <c r="AH10" i="9"/>
  <c r="AG10" i="9"/>
  <c r="AF10" i="9"/>
  <c r="X10" i="9"/>
  <c r="Z10" i="9" s="1"/>
  <c r="AC10" i="9" s="1"/>
  <c r="W10" i="9"/>
  <c r="R10" i="9"/>
  <c r="Q10" i="9"/>
  <c r="O10" i="9"/>
  <c r="P10" i="9" s="1"/>
  <c r="AR10" i="9" s="1"/>
  <c r="G10" i="9"/>
  <c r="F10" i="9"/>
  <c r="E10" i="9"/>
  <c r="D10" i="9"/>
  <c r="J10" i="9" s="1"/>
  <c r="AN10" i="9" s="1"/>
  <c r="C10" i="9"/>
  <c r="BU9" i="9"/>
  <c r="BR9" i="9"/>
  <c r="BL9" i="9"/>
  <c r="BG9" i="9"/>
  <c r="BF9" i="9"/>
  <c r="BE9" i="9"/>
  <c r="AS9" i="9"/>
  <c r="AQ9" i="9"/>
  <c r="AL9" i="9"/>
  <c r="AM9" i="9" s="1"/>
  <c r="AH9" i="9"/>
  <c r="AG9" i="9"/>
  <c r="AF9" i="9"/>
  <c r="X9" i="9"/>
  <c r="Z9" i="9" s="1"/>
  <c r="AC9" i="9" s="1"/>
  <c r="W9" i="9"/>
  <c r="R9" i="9"/>
  <c r="Q9" i="9"/>
  <c r="O9" i="9"/>
  <c r="P9" i="9" s="1"/>
  <c r="AT9" i="9" s="1"/>
  <c r="G9" i="9"/>
  <c r="F9" i="9"/>
  <c r="C9" i="9"/>
  <c r="E9" i="9" s="1"/>
  <c r="BU8" i="9"/>
  <c r="BR8" i="9"/>
  <c r="BL8" i="9"/>
  <c r="BM8" i="9" s="1"/>
  <c r="BG8" i="9"/>
  <c r="BF8" i="9"/>
  <c r="BE8" i="9"/>
  <c r="AL8" i="9"/>
  <c r="AM8" i="9" s="1"/>
  <c r="AH8" i="9"/>
  <c r="AG8" i="9"/>
  <c r="AF8" i="9"/>
  <c r="X8" i="9"/>
  <c r="Z8" i="9" s="1"/>
  <c r="AC8" i="9" s="1"/>
  <c r="W8" i="9"/>
  <c r="R8" i="9"/>
  <c r="Q8" i="9"/>
  <c r="O8" i="9"/>
  <c r="P8" i="9" s="1"/>
  <c r="G8" i="9"/>
  <c r="F8" i="9"/>
  <c r="C8" i="9"/>
  <c r="BU7" i="9"/>
  <c r="BR7" i="9"/>
  <c r="BL7" i="9"/>
  <c r="BM7" i="9" s="1"/>
  <c r="BG7" i="9"/>
  <c r="BF7" i="9"/>
  <c r="BE7" i="9"/>
  <c r="AH7" i="9"/>
  <c r="AG7" i="9"/>
  <c r="AF7" i="9"/>
  <c r="X7" i="9"/>
  <c r="Z7" i="9" s="1"/>
  <c r="AC7" i="9" s="1"/>
  <c r="W7" i="9"/>
  <c r="R7" i="9"/>
  <c r="Q7" i="9"/>
  <c r="O7" i="9"/>
  <c r="P7" i="9" s="1"/>
  <c r="AS7" i="9" s="1"/>
  <c r="G7" i="9"/>
  <c r="F7" i="9"/>
  <c r="D7" i="9"/>
  <c r="C7" i="9"/>
  <c r="E7" i="9" s="1"/>
  <c r="BU6" i="9"/>
  <c r="BR6" i="9"/>
  <c r="BL6" i="9"/>
  <c r="BM6" i="9" s="1"/>
  <c r="BG6" i="9"/>
  <c r="BF6" i="9"/>
  <c r="BE6" i="9"/>
  <c r="AQ6" i="9"/>
  <c r="AL6" i="9"/>
  <c r="AM6" i="9" s="1"/>
  <c r="AH6" i="9"/>
  <c r="AG6" i="9"/>
  <c r="AF6" i="9"/>
  <c r="X6" i="9"/>
  <c r="Z6" i="9" s="1"/>
  <c r="AC6" i="9" s="1"/>
  <c r="W6" i="9"/>
  <c r="R6" i="9"/>
  <c r="Q6" i="9"/>
  <c r="O6" i="9"/>
  <c r="P6" i="9" s="1"/>
  <c r="AT6" i="9" s="1"/>
  <c r="G6" i="9"/>
  <c r="K6" i="9" s="1"/>
  <c r="T6" i="9" s="1"/>
  <c r="F6" i="9"/>
  <c r="C6" i="9"/>
  <c r="E6" i="9" s="1"/>
  <c r="BU5" i="9"/>
  <c r="BR5" i="9"/>
  <c r="BM5" i="9"/>
  <c r="BL5" i="9"/>
  <c r="BG5" i="9"/>
  <c r="BF5" i="9"/>
  <c r="BE5" i="9"/>
  <c r="AL5" i="9"/>
  <c r="AM5" i="9" s="1"/>
  <c r="AH5" i="9"/>
  <c r="AG5" i="9"/>
  <c r="AF5" i="9"/>
  <c r="X5" i="9"/>
  <c r="Y5" i="9" s="1"/>
  <c r="W5" i="9"/>
  <c r="R5" i="9"/>
  <c r="Q5" i="9"/>
  <c r="O5" i="9"/>
  <c r="P5" i="9" s="1"/>
  <c r="AQ5" i="9" s="1"/>
  <c r="G5" i="9"/>
  <c r="F5" i="9"/>
  <c r="C5" i="9"/>
  <c r="E5" i="9" s="1"/>
  <c r="K5" i="9" s="1"/>
  <c r="T5" i="9" s="1"/>
  <c r="AD14" i="8"/>
  <c r="AD15" i="8"/>
  <c r="AD16" i="8"/>
  <c r="AD17" i="8"/>
  <c r="AD18" i="8"/>
  <c r="AD19" i="8"/>
  <c r="AD20" i="8"/>
  <c r="AD21" i="8"/>
  <c r="AD22" i="8"/>
  <c r="AD23" i="8"/>
  <c r="AD24" i="8"/>
  <c r="AD25" i="8"/>
  <c r="AD26" i="8"/>
  <c r="AD27" i="8"/>
  <c r="AD28" i="8"/>
  <c r="AD29" i="8"/>
  <c r="AD30" i="8"/>
  <c r="AD31" i="8"/>
  <c r="AD32" i="8"/>
  <c r="AD33" i="8"/>
  <c r="AD6" i="8"/>
  <c r="AD7" i="8"/>
  <c r="AD8" i="8"/>
  <c r="AD9" i="8"/>
  <c r="AD10" i="8"/>
  <c r="AD11" i="8"/>
  <c r="AD12" i="8"/>
  <c r="AD13" i="8"/>
  <c r="AD5" i="8"/>
  <c r="R17" i="8"/>
  <c r="R18" i="8"/>
  <c r="R19" i="8"/>
  <c r="R20" i="8"/>
  <c r="R21" i="8"/>
  <c r="R22" i="8"/>
  <c r="R23" i="8"/>
  <c r="R24" i="8"/>
  <c r="R25" i="8"/>
  <c r="R26" i="8"/>
  <c r="R27" i="8"/>
  <c r="R28" i="8"/>
  <c r="R29" i="8"/>
  <c r="R30" i="8"/>
  <c r="R31" i="8"/>
  <c r="R32" i="8"/>
  <c r="R33" i="8"/>
  <c r="Q17" i="8"/>
  <c r="Q18" i="8"/>
  <c r="Q19" i="8"/>
  <c r="Q20" i="8"/>
  <c r="Q21" i="8"/>
  <c r="Q22" i="8"/>
  <c r="Q23" i="8"/>
  <c r="Q24" i="8"/>
  <c r="Q25" i="8"/>
  <c r="Q26" i="8"/>
  <c r="Q27" i="8"/>
  <c r="Q28" i="8"/>
  <c r="Q29" i="8"/>
  <c r="Q30" i="8"/>
  <c r="Q31" i="8"/>
  <c r="Q32" i="8"/>
  <c r="Q33" i="8"/>
  <c r="BU33" i="8"/>
  <c r="BL33" i="8"/>
  <c r="BT33" i="8" s="1"/>
  <c r="BG33" i="8"/>
  <c r="BF33" i="8"/>
  <c r="BE33" i="8"/>
  <c r="AH33" i="8"/>
  <c r="AG33" i="8"/>
  <c r="AF33" i="8"/>
  <c r="W33" i="8"/>
  <c r="X33" i="8" s="1"/>
  <c r="O33" i="8"/>
  <c r="P33" i="8" s="1"/>
  <c r="K33" i="8"/>
  <c r="G33" i="8"/>
  <c r="F33" i="8"/>
  <c r="D33" i="8"/>
  <c r="C33" i="8"/>
  <c r="E33" i="8" s="1"/>
  <c r="BU32" i="8"/>
  <c r="BL32" i="8"/>
  <c r="BG32" i="8"/>
  <c r="BF32" i="8"/>
  <c r="BE32" i="8"/>
  <c r="AH32" i="8"/>
  <c r="AG32" i="8"/>
  <c r="AF32" i="8"/>
  <c r="W32" i="8"/>
  <c r="X32" i="8" s="1"/>
  <c r="Z32" i="8" s="1"/>
  <c r="AC32" i="8" s="1"/>
  <c r="O32" i="8"/>
  <c r="P32" i="8" s="1"/>
  <c r="K32" i="8"/>
  <c r="G32" i="8"/>
  <c r="F32" i="8"/>
  <c r="D32" i="8"/>
  <c r="J32" i="8" s="1"/>
  <c r="AN32" i="8" s="1"/>
  <c r="C32" i="8"/>
  <c r="E32" i="8" s="1"/>
  <c r="BU31" i="8"/>
  <c r="BL31" i="8"/>
  <c r="BM31" i="8"/>
  <c r="BG31" i="8"/>
  <c r="BF31" i="8"/>
  <c r="BE31" i="8"/>
  <c r="AH31" i="8"/>
  <c r="AG31" i="8"/>
  <c r="AF31" i="8"/>
  <c r="W31" i="8"/>
  <c r="X31" i="8" s="1"/>
  <c r="O31" i="8"/>
  <c r="P31" i="8" s="1"/>
  <c r="G31" i="8"/>
  <c r="F31" i="8"/>
  <c r="C31" i="8"/>
  <c r="BU30" i="8"/>
  <c r="BL30" i="8"/>
  <c r="BM30" i="8" s="1"/>
  <c r="BG30" i="8"/>
  <c r="BF30" i="8"/>
  <c r="BE30" i="8"/>
  <c r="AH30" i="8"/>
  <c r="AG30" i="8"/>
  <c r="AF30" i="8"/>
  <c r="W30" i="8"/>
  <c r="X30" i="8" s="1"/>
  <c r="Y30" i="8" s="1"/>
  <c r="AB30" i="8" s="1"/>
  <c r="O30" i="8"/>
  <c r="P30" i="8" s="1"/>
  <c r="G30" i="8"/>
  <c r="F30" i="8"/>
  <c r="C30" i="8"/>
  <c r="BU29" i="8"/>
  <c r="BL29" i="8"/>
  <c r="BG29" i="8"/>
  <c r="BF29" i="8"/>
  <c r="BE29" i="8"/>
  <c r="AH29" i="8"/>
  <c r="AG29" i="8"/>
  <c r="AF29" i="8"/>
  <c r="W29" i="8"/>
  <c r="X29" i="8" s="1"/>
  <c r="Z29" i="8" s="1"/>
  <c r="AC29" i="8" s="1"/>
  <c r="O29" i="8"/>
  <c r="P29" i="8" s="1"/>
  <c r="G29" i="8"/>
  <c r="F29" i="8"/>
  <c r="C29" i="8"/>
  <c r="E29" i="8" s="1"/>
  <c r="K29" i="8" s="1"/>
  <c r="BU28" i="8"/>
  <c r="BL28" i="8"/>
  <c r="BT28" i="8" s="1"/>
  <c r="BG28" i="8"/>
  <c r="BF28" i="8"/>
  <c r="BE28" i="8"/>
  <c r="AH28" i="8"/>
  <c r="AG28" i="8"/>
  <c r="AF28" i="8"/>
  <c r="W28" i="8"/>
  <c r="X28" i="8" s="1"/>
  <c r="Z28" i="8" s="1"/>
  <c r="AC28" i="8" s="1"/>
  <c r="O28" i="8"/>
  <c r="P28" i="8" s="1"/>
  <c r="G28" i="8"/>
  <c r="F28" i="8"/>
  <c r="C28" i="8"/>
  <c r="E28" i="8" s="1"/>
  <c r="BU27" i="8"/>
  <c r="BL27" i="8"/>
  <c r="BM27" i="8"/>
  <c r="BG27" i="8"/>
  <c r="BF27" i="8"/>
  <c r="BE27" i="8"/>
  <c r="AL27" i="8"/>
  <c r="AM27" i="8" s="1"/>
  <c r="AH27" i="8"/>
  <c r="AG27" i="8"/>
  <c r="AF27" i="8"/>
  <c r="W27" i="8"/>
  <c r="X27" i="8" s="1"/>
  <c r="O27" i="8"/>
  <c r="P27" i="8" s="1"/>
  <c r="G27" i="8"/>
  <c r="F27" i="8"/>
  <c r="C27" i="8"/>
  <c r="E27" i="8" s="1"/>
  <c r="K27" i="8" s="1"/>
  <c r="BU26" i="8"/>
  <c r="BL26" i="8"/>
  <c r="BM26" i="8" s="1"/>
  <c r="BG26" i="8"/>
  <c r="BF26" i="8"/>
  <c r="BE26" i="8"/>
  <c r="AL26" i="8"/>
  <c r="AM26" i="8" s="1"/>
  <c r="AH26" i="8"/>
  <c r="AG26" i="8"/>
  <c r="AF26" i="8"/>
  <c r="W26" i="8"/>
  <c r="X26" i="8" s="1"/>
  <c r="Z26" i="8" s="1"/>
  <c r="AC26" i="8" s="1"/>
  <c r="O26" i="8"/>
  <c r="P26" i="8" s="1"/>
  <c r="G26" i="8"/>
  <c r="F26" i="8"/>
  <c r="C26" i="8"/>
  <c r="BU25" i="8"/>
  <c r="BL25" i="8"/>
  <c r="BT25" i="8" s="1"/>
  <c r="BG25" i="8"/>
  <c r="BF25" i="8"/>
  <c r="BE25" i="8"/>
  <c r="AH25" i="8"/>
  <c r="AG25" i="8"/>
  <c r="AF25" i="8"/>
  <c r="W25" i="8"/>
  <c r="X25" i="8" s="1"/>
  <c r="Z25" i="8" s="1"/>
  <c r="AC25" i="8" s="1"/>
  <c r="O25" i="8"/>
  <c r="P25" i="8" s="1"/>
  <c r="K25" i="8"/>
  <c r="G25" i="8"/>
  <c r="F25" i="8"/>
  <c r="D25" i="8"/>
  <c r="C25" i="8"/>
  <c r="E25" i="8" s="1"/>
  <c r="BU24" i="8"/>
  <c r="BL24" i="8"/>
  <c r="BG24" i="8"/>
  <c r="BF24" i="8"/>
  <c r="BE24" i="8"/>
  <c r="AH24" i="8"/>
  <c r="AG24" i="8"/>
  <c r="AF24" i="8"/>
  <c r="W24" i="8"/>
  <c r="X24" i="8" s="1"/>
  <c r="Z24" i="8" s="1"/>
  <c r="AC24" i="8" s="1"/>
  <c r="O24" i="8"/>
  <c r="P24" i="8" s="1"/>
  <c r="G24" i="8"/>
  <c r="F24" i="8"/>
  <c r="C24" i="8"/>
  <c r="E24" i="8" s="1"/>
  <c r="BU23" i="8"/>
  <c r="BL23" i="8"/>
  <c r="BM23" i="8" s="1"/>
  <c r="BG23" i="8"/>
  <c r="BF23" i="8"/>
  <c r="BE23" i="8"/>
  <c r="AH23" i="8"/>
  <c r="AG23" i="8"/>
  <c r="AF23" i="8"/>
  <c r="W23" i="8"/>
  <c r="X23" i="8" s="1"/>
  <c r="O23" i="8"/>
  <c r="P23" i="8" s="1"/>
  <c r="G23" i="8"/>
  <c r="F23" i="8"/>
  <c r="C23" i="8"/>
  <c r="E23" i="8" s="1"/>
  <c r="K23" i="8" s="1"/>
  <c r="BU22" i="8"/>
  <c r="BL22" i="8"/>
  <c r="BM22" i="8" s="1"/>
  <c r="BG22" i="8"/>
  <c r="BF22" i="8"/>
  <c r="BE22" i="8"/>
  <c r="AL22" i="8"/>
  <c r="AM22" i="8" s="1"/>
  <c r="AH22" i="8"/>
  <c r="AG22" i="8"/>
  <c r="AF22" i="8"/>
  <c r="W22" i="8"/>
  <c r="X22" i="8" s="1"/>
  <c r="Z22" i="8" s="1"/>
  <c r="AC22" i="8" s="1"/>
  <c r="O22" i="8"/>
  <c r="P22" i="8" s="1"/>
  <c r="G22" i="8"/>
  <c r="F22" i="8"/>
  <c r="C22" i="8"/>
  <c r="BU21" i="8"/>
  <c r="BL21" i="8"/>
  <c r="BT21" i="8" s="1"/>
  <c r="BG21" i="8"/>
  <c r="BF21" i="8"/>
  <c r="BE21" i="8"/>
  <c r="AH21" i="8"/>
  <c r="AG21" i="8"/>
  <c r="AF21" i="8"/>
  <c r="W21" i="8"/>
  <c r="X21" i="8" s="1"/>
  <c r="Y21" i="8" s="1"/>
  <c r="AB21" i="8" s="1"/>
  <c r="O21" i="8"/>
  <c r="P21" i="8" s="1"/>
  <c r="G21" i="8"/>
  <c r="F21" i="8"/>
  <c r="C21" i="8"/>
  <c r="E21" i="8" s="1"/>
  <c r="K21" i="8" s="1"/>
  <c r="BU20" i="8"/>
  <c r="BL20" i="8"/>
  <c r="BT20" i="8" s="1"/>
  <c r="BM20" i="8"/>
  <c r="BG20" i="8"/>
  <c r="BE20" i="8"/>
  <c r="AH20" i="8"/>
  <c r="AG20" i="8"/>
  <c r="AF20" i="8"/>
  <c r="W20" i="8"/>
  <c r="X20" i="8" s="1"/>
  <c r="Y20" i="8" s="1"/>
  <c r="AB20" i="8" s="1"/>
  <c r="O20" i="8"/>
  <c r="P20" i="8" s="1"/>
  <c r="G20" i="8"/>
  <c r="K20" i="8" s="1"/>
  <c r="F20" i="8"/>
  <c r="C20" i="8"/>
  <c r="E20" i="8" s="1"/>
  <c r="BU19" i="8"/>
  <c r="BL19" i="8"/>
  <c r="BT19" i="8" s="1"/>
  <c r="BM19" i="8"/>
  <c r="BG19" i="8"/>
  <c r="BF19" i="8"/>
  <c r="BE19" i="8"/>
  <c r="AL19" i="8"/>
  <c r="AM19" i="8" s="1"/>
  <c r="AH19" i="8"/>
  <c r="AG19" i="8"/>
  <c r="AF19" i="8"/>
  <c r="W19" i="8"/>
  <c r="X19" i="8" s="1"/>
  <c r="Z19" i="8" s="1"/>
  <c r="AC19" i="8" s="1"/>
  <c r="O19" i="8"/>
  <c r="P19" i="8" s="1"/>
  <c r="G19" i="8"/>
  <c r="F19" i="8"/>
  <c r="C19" i="8"/>
  <c r="E19" i="8" s="1"/>
  <c r="BU18" i="8"/>
  <c r="BL18" i="8"/>
  <c r="BT18" i="8" s="1"/>
  <c r="BM18" i="8"/>
  <c r="BG18" i="8"/>
  <c r="BF18" i="8"/>
  <c r="BE18" i="8"/>
  <c r="AL18" i="8"/>
  <c r="AM18" i="8" s="1"/>
  <c r="AH18" i="8"/>
  <c r="AG18" i="8"/>
  <c r="AF18" i="8"/>
  <c r="W18" i="8"/>
  <c r="X18" i="8" s="1"/>
  <c r="O18" i="8"/>
  <c r="P18" i="8" s="1"/>
  <c r="G18" i="8"/>
  <c r="K18" i="8" s="1"/>
  <c r="F18" i="8"/>
  <c r="C18" i="8"/>
  <c r="E18" i="8" s="1"/>
  <c r="BU17" i="8"/>
  <c r="BL17" i="8"/>
  <c r="BG17" i="8"/>
  <c r="BF17" i="8"/>
  <c r="BE17" i="8"/>
  <c r="AH17" i="8"/>
  <c r="AG17" i="8"/>
  <c r="AF17" i="8"/>
  <c r="W17" i="8"/>
  <c r="X17" i="8" s="1"/>
  <c r="Y17" i="8" s="1"/>
  <c r="AB17" i="8" s="1"/>
  <c r="O17" i="8"/>
  <c r="P17" i="8" s="1"/>
  <c r="G17" i="8"/>
  <c r="F17" i="8"/>
  <c r="C17" i="8"/>
  <c r="BU16" i="8"/>
  <c r="BT16" i="8"/>
  <c r="BR16" i="8"/>
  <c r="BL16" i="8"/>
  <c r="BM16" i="8" s="1"/>
  <c r="BG16" i="8"/>
  <c r="BF16" i="8"/>
  <c r="BE16" i="8"/>
  <c r="AH16" i="8"/>
  <c r="AG16" i="8"/>
  <c r="AF16" i="8"/>
  <c r="W16" i="8"/>
  <c r="X16" i="8" s="1"/>
  <c r="Z16" i="8" s="1"/>
  <c r="AC16" i="8" s="1"/>
  <c r="R16" i="8"/>
  <c r="Q16" i="8"/>
  <c r="O16" i="8"/>
  <c r="P16" i="8" s="1"/>
  <c r="G16" i="8"/>
  <c r="F16" i="8"/>
  <c r="C16" i="8"/>
  <c r="BU15" i="8"/>
  <c r="BR15" i="8"/>
  <c r="BT15" i="8" s="1"/>
  <c r="BL15" i="8"/>
  <c r="BM15" i="8" s="1"/>
  <c r="BG15" i="8"/>
  <c r="BF15" i="8"/>
  <c r="BE15" i="8"/>
  <c r="AH15" i="8"/>
  <c r="AG15" i="8"/>
  <c r="AF15" i="8"/>
  <c r="W15" i="8"/>
  <c r="X15" i="8" s="1"/>
  <c r="Z15" i="8" s="1"/>
  <c r="AC15" i="8" s="1"/>
  <c r="R15" i="8"/>
  <c r="Q15" i="8"/>
  <c r="O15" i="8"/>
  <c r="P15" i="8" s="1"/>
  <c r="AQ15" i="8" s="1"/>
  <c r="G15" i="8"/>
  <c r="F15" i="8"/>
  <c r="C15" i="8"/>
  <c r="E15" i="8" s="1"/>
  <c r="BU14" i="8"/>
  <c r="BR14" i="8"/>
  <c r="BL14" i="8"/>
  <c r="BM14" i="8" s="1"/>
  <c r="BG14" i="8"/>
  <c r="BF14" i="8"/>
  <c r="BE14" i="8"/>
  <c r="AL14" i="8"/>
  <c r="AM14" i="8" s="1"/>
  <c r="AH14" i="8"/>
  <c r="AG14" i="8"/>
  <c r="AF14" i="8"/>
  <c r="W14" i="8"/>
  <c r="X14" i="8" s="1"/>
  <c r="Z14" i="8" s="1"/>
  <c r="AC14" i="8" s="1"/>
  <c r="R14" i="8"/>
  <c r="Q14" i="8"/>
  <c r="O14" i="8"/>
  <c r="P14" i="8" s="1"/>
  <c r="G14" i="8"/>
  <c r="F14" i="8"/>
  <c r="C14" i="8"/>
  <c r="E14" i="8" s="1"/>
  <c r="K14" i="8" s="1"/>
  <c r="BU13" i="8"/>
  <c r="BR13" i="8"/>
  <c r="BT13" i="8" s="1"/>
  <c r="BL13" i="8"/>
  <c r="BM13" i="8" s="1"/>
  <c r="BG13" i="8"/>
  <c r="BF13" i="8"/>
  <c r="BE13" i="8"/>
  <c r="AH13" i="8"/>
  <c r="AG13" i="8"/>
  <c r="AF13" i="8"/>
  <c r="W13" i="8"/>
  <c r="X13" i="8" s="1"/>
  <c r="Y13" i="8" s="1"/>
  <c r="AB13" i="8" s="1"/>
  <c r="R13" i="8"/>
  <c r="Q13" i="8"/>
  <c r="O13" i="8"/>
  <c r="P13" i="8" s="1"/>
  <c r="AQ13" i="8" s="1"/>
  <c r="G13" i="8"/>
  <c r="F13" i="8"/>
  <c r="C13" i="8"/>
  <c r="E13" i="8" s="1"/>
  <c r="K13" i="8" s="1"/>
  <c r="BU12" i="8"/>
  <c r="BR12" i="8"/>
  <c r="BL12" i="8"/>
  <c r="BT12" i="8" s="1"/>
  <c r="BM12" i="8"/>
  <c r="BG12" i="8"/>
  <c r="BF12" i="8"/>
  <c r="BE12" i="8"/>
  <c r="AH12" i="8"/>
  <c r="AG12" i="8"/>
  <c r="AF12" i="8"/>
  <c r="W12" i="8"/>
  <c r="X12" i="8" s="1"/>
  <c r="Z12" i="8" s="1"/>
  <c r="AC12" i="8" s="1"/>
  <c r="R12" i="8"/>
  <c r="Q12" i="8"/>
  <c r="O12" i="8"/>
  <c r="P12" i="8" s="1"/>
  <c r="G12" i="8"/>
  <c r="F12" i="8"/>
  <c r="C12" i="8"/>
  <c r="E12" i="8" s="1"/>
  <c r="BU11" i="8"/>
  <c r="BR11" i="8"/>
  <c r="BL11" i="8"/>
  <c r="BT11" i="8" s="1"/>
  <c r="BG11" i="8"/>
  <c r="BF11" i="8"/>
  <c r="BE11" i="8"/>
  <c r="AL11" i="8"/>
  <c r="AM11" i="8" s="1"/>
  <c r="AH11" i="8"/>
  <c r="AG11" i="8"/>
  <c r="AF11" i="8"/>
  <c r="W11" i="8"/>
  <c r="X11" i="8" s="1"/>
  <c r="R11" i="8"/>
  <c r="Q11" i="8"/>
  <c r="O11" i="8"/>
  <c r="P11" i="8" s="1"/>
  <c r="G11" i="8"/>
  <c r="F11" i="8"/>
  <c r="C11" i="8"/>
  <c r="E11" i="8" s="1"/>
  <c r="BU10" i="8"/>
  <c r="BR10" i="8"/>
  <c r="BL10" i="8"/>
  <c r="BM10" i="8" s="1"/>
  <c r="BG10" i="8"/>
  <c r="BF10" i="8"/>
  <c r="BE10" i="8"/>
  <c r="AL10" i="8"/>
  <c r="AM10" i="8" s="1"/>
  <c r="AH10" i="8"/>
  <c r="AG10" i="8"/>
  <c r="AF10" i="8"/>
  <c r="W10" i="8"/>
  <c r="X10" i="8" s="1"/>
  <c r="R10" i="8"/>
  <c r="Q10" i="8"/>
  <c r="O10" i="8"/>
  <c r="P10" i="8" s="1"/>
  <c r="G10" i="8"/>
  <c r="F10" i="8"/>
  <c r="C10" i="8"/>
  <c r="E10" i="8" s="1"/>
  <c r="BU9" i="8"/>
  <c r="BR9" i="8"/>
  <c r="BT9" i="8" s="1"/>
  <c r="BL9" i="8"/>
  <c r="BM9" i="8"/>
  <c r="BG9" i="8"/>
  <c r="BF9" i="8"/>
  <c r="BE9" i="8"/>
  <c r="AH9" i="8"/>
  <c r="AG9" i="8"/>
  <c r="AF9" i="8"/>
  <c r="W9" i="8"/>
  <c r="X9" i="8" s="1"/>
  <c r="Z9" i="8" s="1"/>
  <c r="AC9" i="8" s="1"/>
  <c r="R9" i="8"/>
  <c r="Q9" i="8"/>
  <c r="O9" i="8"/>
  <c r="P9" i="8" s="1"/>
  <c r="G9" i="8"/>
  <c r="F9" i="8"/>
  <c r="C9" i="8"/>
  <c r="D9" i="8" s="1"/>
  <c r="J9" i="8" s="1"/>
  <c r="BU8" i="8"/>
  <c r="BR8" i="8"/>
  <c r="BL8" i="8"/>
  <c r="BM8" i="8" s="1"/>
  <c r="BG8" i="8"/>
  <c r="BF8" i="8"/>
  <c r="BE8" i="8"/>
  <c r="AH8" i="8"/>
  <c r="AG8" i="8"/>
  <c r="AF8" i="8"/>
  <c r="W8" i="8"/>
  <c r="X8" i="8" s="1"/>
  <c r="R8" i="8"/>
  <c r="Q8" i="8"/>
  <c r="O8" i="8"/>
  <c r="P8" i="8" s="1"/>
  <c r="G8" i="8"/>
  <c r="F8" i="8"/>
  <c r="C8" i="8"/>
  <c r="D8" i="8" s="1"/>
  <c r="J8" i="8" s="1"/>
  <c r="AN8" i="8" s="1"/>
  <c r="BU7" i="8"/>
  <c r="BR7" i="8"/>
  <c r="BL7" i="8"/>
  <c r="BM7" i="8"/>
  <c r="BG7" i="8"/>
  <c r="BF7" i="8"/>
  <c r="BE7" i="8"/>
  <c r="AH7" i="8"/>
  <c r="AG7" i="8"/>
  <c r="AF7" i="8"/>
  <c r="W7" i="8"/>
  <c r="X7" i="8" s="1"/>
  <c r="R7" i="8"/>
  <c r="Q7" i="8"/>
  <c r="O7" i="8"/>
  <c r="P7" i="8" s="1"/>
  <c r="J7" i="8"/>
  <c r="AN7" i="8" s="1"/>
  <c r="G7" i="8"/>
  <c r="F7" i="8"/>
  <c r="C7" i="8"/>
  <c r="D7" i="8" s="1"/>
  <c r="BU6" i="8"/>
  <c r="BR6" i="8"/>
  <c r="BT6" i="8" s="1"/>
  <c r="BL6" i="8"/>
  <c r="BM6" i="8"/>
  <c r="BG6" i="8"/>
  <c r="BF6" i="8"/>
  <c r="BE6" i="8"/>
  <c r="AH6" i="8"/>
  <c r="AG6" i="8"/>
  <c r="AF6" i="8"/>
  <c r="W6" i="8"/>
  <c r="X6" i="8" s="1"/>
  <c r="Z6" i="8" s="1"/>
  <c r="AC6" i="8" s="1"/>
  <c r="R6" i="8"/>
  <c r="Q6" i="8"/>
  <c r="O6" i="8"/>
  <c r="P6" i="8" s="1"/>
  <c r="G6" i="8"/>
  <c r="F6" i="8"/>
  <c r="C6" i="8"/>
  <c r="BU5" i="8"/>
  <c r="BR5" i="8"/>
  <c r="BT5" i="8" s="1"/>
  <c r="BL5" i="8"/>
  <c r="BM5" i="8" s="1"/>
  <c r="BG5" i="8"/>
  <c r="BF5" i="8"/>
  <c r="BE5" i="8"/>
  <c r="AL5" i="8"/>
  <c r="AM5" i="8" s="1"/>
  <c r="AH5" i="8"/>
  <c r="AG5" i="8"/>
  <c r="AF5" i="8"/>
  <c r="W5" i="8"/>
  <c r="X5" i="8" s="1"/>
  <c r="R5" i="8"/>
  <c r="Q5" i="8"/>
  <c r="O5" i="8"/>
  <c r="P5" i="8" s="1"/>
  <c r="G5" i="8"/>
  <c r="F5" i="8"/>
  <c r="C5" i="8"/>
  <c r="E5" i="8" s="1"/>
  <c r="K5" i="8" s="1"/>
  <c r="AO5" i="8" s="1"/>
  <c r="AI36" i="7"/>
  <c r="AI37" i="7"/>
  <c r="AK37" i="7" s="1"/>
  <c r="AI35" i="7"/>
  <c r="AJ35" i="7" s="1"/>
  <c r="AI34" i="7"/>
  <c r="AI33" i="7"/>
  <c r="AI32" i="7"/>
  <c r="AJ32" i="7" s="1"/>
  <c r="AI31" i="7"/>
  <c r="AI30" i="7"/>
  <c r="AI29" i="7"/>
  <c r="AK29" i="7"/>
  <c r="AI26" i="7"/>
  <c r="AI27" i="7"/>
  <c r="AI28" i="7"/>
  <c r="AK28" i="7" s="1"/>
  <c r="AI25" i="7"/>
  <c r="AK25" i="7" s="1"/>
  <c r="AI21" i="7"/>
  <c r="AK21" i="7" s="1"/>
  <c r="AI22" i="7"/>
  <c r="AI23" i="7"/>
  <c r="AI24" i="7"/>
  <c r="R21" i="7"/>
  <c r="R22" i="7"/>
  <c r="R23" i="7"/>
  <c r="R24" i="7"/>
  <c r="R25" i="7"/>
  <c r="R26" i="7"/>
  <c r="R27" i="7"/>
  <c r="R28" i="7"/>
  <c r="R29" i="7"/>
  <c r="R30" i="7"/>
  <c r="R31" i="7"/>
  <c r="R32" i="7"/>
  <c r="R33" i="7"/>
  <c r="R34" i="7"/>
  <c r="R35" i="7"/>
  <c r="R36" i="7"/>
  <c r="R37" i="7"/>
  <c r="Q21" i="7"/>
  <c r="Q22" i="7"/>
  <c r="Q23" i="7"/>
  <c r="Q24" i="7"/>
  <c r="Q25" i="7"/>
  <c r="Q26" i="7"/>
  <c r="Q27" i="7"/>
  <c r="Q28" i="7"/>
  <c r="Q29" i="7"/>
  <c r="Q30" i="7"/>
  <c r="S30" i="7" s="1"/>
  <c r="Q31" i="7"/>
  <c r="Q32" i="7"/>
  <c r="Q33" i="7"/>
  <c r="Q34" i="7"/>
  <c r="Q35" i="7"/>
  <c r="Q36" i="7"/>
  <c r="Q37" i="7"/>
  <c r="P11" i="7"/>
  <c r="P12" i="7"/>
  <c r="P14" i="7"/>
  <c r="P18" i="7"/>
  <c r="S18" i="7" s="1"/>
  <c r="P20" i="7"/>
  <c r="P24" i="7"/>
  <c r="AG24" i="7" s="1"/>
  <c r="P25" i="7"/>
  <c r="AG25" i="7" s="1"/>
  <c r="P27" i="7"/>
  <c r="AG27" i="7" s="1"/>
  <c r="P30" i="7"/>
  <c r="P32" i="7"/>
  <c r="AG32" i="7" s="1"/>
  <c r="P33" i="7"/>
  <c r="P35" i="7"/>
  <c r="P36" i="7"/>
  <c r="P37" i="7"/>
  <c r="AQ37" i="7"/>
  <c r="AP37" i="7"/>
  <c r="AO37" i="7"/>
  <c r="AN37" i="7"/>
  <c r="AL37" i="7"/>
  <c r="AC37" i="7"/>
  <c r="AB37" i="7"/>
  <c r="O37" i="7"/>
  <c r="G37" i="7"/>
  <c r="F37" i="7"/>
  <c r="C37" i="7"/>
  <c r="E37" i="7" s="1"/>
  <c r="AQ36" i="7"/>
  <c r="AP36" i="7"/>
  <c r="AO36" i="7"/>
  <c r="AN36" i="7"/>
  <c r="AL36" i="7"/>
  <c r="AC36" i="7"/>
  <c r="AB36" i="7"/>
  <c r="O36" i="7"/>
  <c r="G36" i="7"/>
  <c r="F36" i="7"/>
  <c r="C36" i="7"/>
  <c r="E36" i="7" s="1"/>
  <c r="K36" i="7" s="1"/>
  <c r="AE36" i="7" s="1"/>
  <c r="AQ35" i="7"/>
  <c r="AP35" i="7"/>
  <c r="AO35" i="7"/>
  <c r="AN35" i="7"/>
  <c r="AL35" i="7"/>
  <c r="AC35" i="7"/>
  <c r="AB35" i="7"/>
  <c r="O35" i="7"/>
  <c r="G35" i="7"/>
  <c r="F35" i="7"/>
  <c r="C35" i="7"/>
  <c r="AQ34" i="7"/>
  <c r="AP34" i="7"/>
  <c r="AO34" i="7"/>
  <c r="AN34" i="7"/>
  <c r="AL34" i="7"/>
  <c r="AC34" i="7"/>
  <c r="AB34" i="7"/>
  <c r="O34" i="7"/>
  <c r="P34" i="7" s="1"/>
  <c r="G34" i="7"/>
  <c r="F34" i="7"/>
  <c r="C34" i="7"/>
  <c r="D34" i="7" s="1"/>
  <c r="J34" i="7" s="1"/>
  <c r="AD34" i="7" s="1"/>
  <c r="AQ33" i="7"/>
  <c r="AP33" i="7"/>
  <c r="AO33" i="7"/>
  <c r="AN33" i="7"/>
  <c r="AL33" i="7"/>
  <c r="AK33" i="7"/>
  <c r="AC33" i="7"/>
  <c r="AB33" i="7"/>
  <c r="S33" i="7"/>
  <c r="O33" i="7"/>
  <c r="G33" i="7"/>
  <c r="F33" i="7"/>
  <c r="C33" i="7"/>
  <c r="E33" i="7" s="1"/>
  <c r="AQ32" i="7"/>
  <c r="AP32" i="7"/>
  <c r="AO32" i="7"/>
  <c r="AN32" i="7"/>
  <c r="AL32" i="7"/>
  <c r="AC32" i="7"/>
  <c r="AB32" i="7"/>
  <c r="O32" i="7"/>
  <c r="G32" i="7"/>
  <c r="F32" i="7"/>
  <c r="C32" i="7"/>
  <c r="E32" i="7" s="1"/>
  <c r="K32" i="7" s="1"/>
  <c r="AE32" i="7" s="1"/>
  <c r="AS32" i="7" s="1"/>
  <c r="AQ31" i="7"/>
  <c r="AP31" i="7"/>
  <c r="AO31" i="7"/>
  <c r="AN31" i="7"/>
  <c r="AL31" i="7"/>
  <c r="AC31" i="7"/>
  <c r="AB31" i="7"/>
  <c r="O31" i="7"/>
  <c r="P31" i="7" s="1"/>
  <c r="AG31" i="7" s="1"/>
  <c r="G31" i="7"/>
  <c r="F31" i="7"/>
  <c r="C31" i="7"/>
  <c r="E31" i="7" s="1"/>
  <c r="K31" i="7" s="1"/>
  <c r="AE31" i="7" s="1"/>
  <c r="AS31" i="7" s="1"/>
  <c r="AQ30" i="7"/>
  <c r="AP30" i="7"/>
  <c r="AO30" i="7"/>
  <c r="AN30" i="7"/>
  <c r="AL30" i="7"/>
  <c r="AK30" i="7"/>
  <c r="AC30" i="7"/>
  <c r="AB30" i="7"/>
  <c r="O30" i="7"/>
  <c r="G30" i="7"/>
  <c r="F30" i="7"/>
  <c r="C30" i="7"/>
  <c r="E30" i="7" s="1"/>
  <c r="AQ29" i="7"/>
  <c r="AP29" i="7"/>
  <c r="AO29" i="7"/>
  <c r="AN29" i="7"/>
  <c r="AL29" i="7"/>
  <c r="AC29" i="7"/>
  <c r="AB29" i="7"/>
  <c r="O29" i="7"/>
  <c r="P29" i="7" s="1"/>
  <c r="AG29" i="7" s="1"/>
  <c r="G29" i="7"/>
  <c r="F29" i="7"/>
  <c r="C29" i="7"/>
  <c r="AQ28" i="7"/>
  <c r="AP28" i="7"/>
  <c r="AO28" i="7"/>
  <c r="AN28" i="7"/>
  <c r="AL28" i="7"/>
  <c r="AC28" i="7"/>
  <c r="AB28" i="7"/>
  <c r="O28" i="7"/>
  <c r="P28" i="7" s="1"/>
  <c r="AG28" i="7" s="1"/>
  <c r="G28" i="7"/>
  <c r="F28" i="7"/>
  <c r="C28" i="7"/>
  <c r="E28" i="7" s="1"/>
  <c r="AQ27" i="7"/>
  <c r="AP27" i="7"/>
  <c r="AO27" i="7"/>
  <c r="AN27" i="7"/>
  <c r="AL27" i="7"/>
  <c r="AC27" i="7"/>
  <c r="AB27" i="7"/>
  <c r="O27" i="7"/>
  <c r="G27" i="7"/>
  <c r="F27" i="7"/>
  <c r="C27" i="7"/>
  <c r="E27" i="7" s="1"/>
  <c r="AQ26" i="7"/>
  <c r="AP26" i="7"/>
  <c r="AO26" i="7"/>
  <c r="AN26" i="7"/>
  <c r="AL26" i="7"/>
  <c r="AK26" i="7"/>
  <c r="AC26" i="7"/>
  <c r="AB26" i="7"/>
  <c r="O26" i="7"/>
  <c r="P26" i="7" s="1"/>
  <c r="AG26" i="7" s="1"/>
  <c r="G26" i="7"/>
  <c r="F26" i="7"/>
  <c r="C26" i="7"/>
  <c r="E26" i="7" s="1"/>
  <c r="AQ25" i="7"/>
  <c r="AP25" i="7"/>
  <c r="AO25" i="7"/>
  <c r="AN25" i="7"/>
  <c r="AL25" i="7"/>
  <c r="AC25" i="7"/>
  <c r="AB25" i="7"/>
  <c r="O25" i="7"/>
  <c r="G25" i="7"/>
  <c r="F25" i="7"/>
  <c r="C25" i="7"/>
  <c r="AQ24" i="7"/>
  <c r="AP24" i="7"/>
  <c r="AO24" i="7"/>
  <c r="AN24" i="7"/>
  <c r="AL24" i="7"/>
  <c r="AC24" i="7"/>
  <c r="AB24" i="7"/>
  <c r="O24" i="7"/>
  <c r="G24" i="7"/>
  <c r="F24" i="7"/>
  <c r="C24" i="7"/>
  <c r="E24" i="7" s="1"/>
  <c r="AQ23" i="7"/>
  <c r="AP23" i="7"/>
  <c r="AO23" i="7"/>
  <c r="AN23" i="7"/>
  <c r="AL23" i="7"/>
  <c r="AC23" i="7"/>
  <c r="AB23" i="7"/>
  <c r="O23" i="7"/>
  <c r="P23" i="7" s="1"/>
  <c r="S23" i="7" s="1"/>
  <c r="G23" i="7"/>
  <c r="F23" i="7"/>
  <c r="C23" i="7"/>
  <c r="E23" i="7" s="1"/>
  <c r="AQ22" i="7"/>
  <c r="AP22" i="7"/>
  <c r="AO22" i="7"/>
  <c r="AN22" i="7"/>
  <c r="AL22" i="7"/>
  <c r="AK22" i="7"/>
  <c r="AC22" i="7"/>
  <c r="AB22" i="7"/>
  <c r="O22" i="7"/>
  <c r="P22" i="7" s="1"/>
  <c r="AG22" i="7" s="1"/>
  <c r="G22" i="7"/>
  <c r="F22" i="7"/>
  <c r="C22" i="7"/>
  <c r="E22" i="7" s="1"/>
  <c r="AQ21" i="7"/>
  <c r="AP21" i="7"/>
  <c r="AO21" i="7"/>
  <c r="AN21" i="7"/>
  <c r="AL21" i="7"/>
  <c r="AC21" i="7"/>
  <c r="AB21" i="7"/>
  <c r="O21" i="7"/>
  <c r="P21" i="7" s="1"/>
  <c r="AG21" i="7" s="1"/>
  <c r="G21" i="7"/>
  <c r="F21" i="7"/>
  <c r="C21" i="7"/>
  <c r="AQ20" i="7"/>
  <c r="AP20" i="7"/>
  <c r="AO20" i="7"/>
  <c r="AN20" i="7"/>
  <c r="AL20" i="7"/>
  <c r="AI20" i="7"/>
  <c r="AC20" i="7"/>
  <c r="AB20" i="7"/>
  <c r="R20" i="7"/>
  <c r="Q20" i="7"/>
  <c r="O20" i="7"/>
  <c r="G20" i="7"/>
  <c r="F20" i="7"/>
  <c r="C20" i="7"/>
  <c r="E20" i="7" s="1"/>
  <c r="AQ19" i="7"/>
  <c r="AP19" i="7"/>
  <c r="AO19" i="7"/>
  <c r="AN19" i="7"/>
  <c r="AL19" i="7"/>
  <c r="AI19" i="7"/>
  <c r="AC19" i="7"/>
  <c r="AB19" i="7"/>
  <c r="R19" i="7"/>
  <c r="Q19" i="7"/>
  <c r="O19" i="7"/>
  <c r="P19" i="7" s="1"/>
  <c r="AG19" i="7" s="1"/>
  <c r="G19" i="7"/>
  <c r="F19" i="7"/>
  <c r="C19" i="7"/>
  <c r="D19" i="7" s="1"/>
  <c r="J19" i="7" s="1"/>
  <c r="AD19" i="7" s="1"/>
  <c r="AQ18" i="7"/>
  <c r="AP18" i="7"/>
  <c r="AO18" i="7"/>
  <c r="AN18" i="7"/>
  <c r="AL18" i="7"/>
  <c r="AI18" i="7"/>
  <c r="AC18" i="7"/>
  <c r="AB18" i="7"/>
  <c r="R18" i="7"/>
  <c r="Q18" i="7"/>
  <c r="O18" i="7"/>
  <c r="G18" i="7"/>
  <c r="F18" i="7"/>
  <c r="C18" i="7"/>
  <c r="AQ17" i="7"/>
  <c r="AP17" i="7"/>
  <c r="AO17" i="7"/>
  <c r="AN17" i="7"/>
  <c r="AL17" i="7"/>
  <c r="AI17" i="7"/>
  <c r="AC17" i="7"/>
  <c r="AB17" i="7"/>
  <c r="R17" i="7"/>
  <c r="Q17" i="7"/>
  <c r="O17" i="7"/>
  <c r="P17" i="7" s="1"/>
  <c r="G17" i="7"/>
  <c r="F17" i="7"/>
  <c r="C17" i="7"/>
  <c r="D17" i="7" s="1"/>
  <c r="J17" i="7" s="1"/>
  <c r="AD17" i="7" s="1"/>
  <c r="AQ16" i="7"/>
  <c r="AP16" i="7"/>
  <c r="AO16" i="7"/>
  <c r="AN16" i="7"/>
  <c r="AL16" i="7"/>
  <c r="AI16" i="7"/>
  <c r="AC16" i="7"/>
  <c r="AB16" i="7"/>
  <c r="R16" i="7"/>
  <c r="Q16" i="7"/>
  <c r="O16" i="7"/>
  <c r="P16" i="7" s="1"/>
  <c r="AG16" i="7" s="1"/>
  <c r="G16" i="7"/>
  <c r="F16" i="7"/>
  <c r="C16" i="7"/>
  <c r="E16" i="7" s="1"/>
  <c r="K16" i="7" s="1"/>
  <c r="AE16" i="7" s="1"/>
  <c r="AQ15" i="7"/>
  <c r="AP15" i="7"/>
  <c r="AO15" i="7"/>
  <c r="AN15" i="7"/>
  <c r="AL15" i="7"/>
  <c r="AI15" i="7"/>
  <c r="AC15" i="7"/>
  <c r="AB15" i="7"/>
  <c r="R15" i="7"/>
  <c r="Q15" i="7"/>
  <c r="O15" i="7"/>
  <c r="P15" i="7" s="1"/>
  <c r="G15" i="7"/>
  <c r="F15" i="7"/>
  <c r="C15" i="7"/>
  <c r="D15" i="7" s="1"/>
  <c r="J15" i="7" s="1"/>
  <c r="AD15" i="7" s="1"/>
  <c r="AQ14" i="7"/>
  <c r="AP14" i="7"/>
  <c r="AO14" i="7"/>
  <c r="AN14" i="7"/>
  <c r="AL14" i="7"/>
  <c r="AI14" i="7"/>
  <c r="AG14" i="7"/>
  <c r="AC14" i="7"/>
  <c r="AB14" i="7"/>
  <c r="R14" i="7"/>
  <c r="Q14" i="7"/>
  <c r="O14" i="7"/>
  <c r="G14" i="7"/>
  <c r="F14" i="7"/>
  <c r="C14" i="7"/>
  <c r="D14" i="7" s="1"/>
  <c r="AQ13" i="7"/>
  <c r="AP13" i="7"/>
  <c r="AO13" i="7"/>
  <c r="AN13" i="7"/>
  <c r="AL13" i="7"/>
  <c r="AI13" i="7"/>
  <c r="AC13" i="7"/>
  <c r="AB13" i="7"/>
  <c r="R13" i="7"/>
  <c r="Q13" i="7"/>
  <c r="O13" i="7"/>
  <c r="P13" i="7" s="1"/>
  <c r="AG13" i="7" s="1"/>
  <c r="G13" i="7"/>
  <c r="F13" i="7"/>
  <c r="C13" i="7"/>
  <c r="AQ12" i="7"/>
  <c r="AP12" i="7"/>
  <c r="AO12" i="7"/>
  <c r="AN12" i="7"/>
  <c r="AL12" i="7"/>
  <c r="AI12" i="7"/>
  <c r="AC12" i="7"/>
  <c r="AB12" i="7"/>
  <c r="R12" i="7"/>
  <c r="Q12" i="7"/>
  <c r="O12" i="7"/>
  <c r="G12" i="7"/>
  <c r="F12" i="7"/>
  <c r="C12" i="7"/>
  <c r="E12" i="7" s="1"/>
  <c r="AQ11" i="7"/>
  <c r="AP11" i="7"/>
  <c r="AO11" i="7"/>
  <c r="AN11" i="7"/>
  <c r="AL11" i="7"/>
  <c r="AI11" i="7"/>
  <c r="AC11" i="7"/>
  <c r="AB11" i="7"/>
  <c r="R11" i="7"/>
  <c r="Q11" i="7"/>
  <c r="O11" i="7"/>
  <c r="G11" i="7"/>
  <c r="F11" i="7"/>
  <c r="C11" i="7"/>
  <c r="E11" i="7" s="1"/>
  <c r="AQ10" i="7"/>
  <c r="AP10" i="7"/>
  <c r="AO10" i="7"/>
  <c r="AN10" i="7"/>
  <c r="AL10" i="7"/>
  <c r="AI10" i="7"/>
  <c r="AC10" i="7"/>
  <c r="AB10" i="7"/>
  <c r="R10" i="7"/>
  <c r="Q10" i="7"/>
  <c r="O10" i="7"/>
  <c r="P10" i="7" s="1"/>
  <c r="G10" i="7"/>
  <c r="F10" i="7"/>
  <c r="C10" i="7"/>
  <c r="E10" i="7" s="1"/>
  <c r="AQ9" i="7"/>
  <c r="AP9" i="7"/>
  <c r="AO9" i="7"/>
  <c r="AN9" i="7"/>
  <c r="AL9" i="7"/>
  <c r="AI9" i="7"/>
  <c r="AC9" i="7"/>
  <c r="AB9" i="7"/>
  <c r="R9" i="7"/>
  <c r="Q9" i="7"/>
  <c r="O9" i="7"/>
  <c r="P9" i="7" s="1"/>
  <c r="S9" i="7" s="1"/>
  <c r="G9" i="7"/>
  <c r="F9" i="7"/>
  <c r="C9" i="7"/>
  <c r="E9" i="7" s="1"/>
  <c r="AQ8" i="7"/>
  <c r="AP8" i="7"/>
  <c r="AO8" i="7"/>
  <c r="AN8" i="7"/>
  <c r="AL8" i="7"/>
  <c r="AI8" i="7"/>
  <c r="AC8" i="7"/>
  <c r="AB8" i="7"/>
  <c r="R8" i="7"/>
  <c r="Q8" i="7"/>
  <c r="O8" i="7"/>
  <c r="P8" i="7" s="1"/>
  <c r="G8" i="7"/>
  <c r="F8" i="7"/>
  <c r="C8" i="7"/>
  <c r="E8" i="7" s="1"/>
  <c r="AQ7" i="7"/>
  <c r="AP7" i="7"/>
  <c r="AO7" i="7"/>
  <c r="AN7" i="7"/>
  <c r="AL7" i="7"/>
  <c r="AI7" i="7"/>
  <c r="AC7" i="7"/>
  <c r="AB7" i="7"/>
  <c r="R7" i="7"/>
  <c r="Q7" i="7"/>
  <c r="O7" i="7"/>
  <c r="P7" i="7" s="1"/>
  <c r="G7" i="7"/>
  <c r="F7" i="7"/>
  <c r="C7" i="7"/>
  <c r="D7" i="7" s="1"/>
  <c r="J7" i="7" s="1"/>
  <c r="AD7" i="7" s="1"/>
  <c r="BC23" i="14" l="1"/>
  <c r="AV26" i="12"/>
  <c r="AX26" i="12" s="1"/>
  <c r="AZ26" i="12" s="1"/>
  <c r="BP26" i="12" s="1"/>
  <c r="BM26" i="12" s="1"/>
  <c r="BN26" i="12" s="1"/>
  <c r="AV18" i="12"/>
  <c r="AX18" i="12" s="1"/>
  <c r="AZ18" i="12" s="1"/>
  <c r="BP18" i="12" s="1"/>
  <c r="BM18" i="12" s="1"/>
  <c r="BN18" i="12" s="1"/>
  <c r="AU40" i="12"/>
  <c r="AW40" i="12" s="1"/>
  <c r="AY40" i="12" s="1"/>
  <c r="BH40" i="12" s="1"/>
  <c r="BE40" i="12" s="1"/>
  <c r="BF40" i="12" s="1"/>
  <c r="BT13" i="9"/>
  <c r="J11" i="9"/>
  <c r="S11" i="9" s="1"/>
  <c r="T17" i="9"/>
  <c r="AS17" i="9"/>
  <c r="AU17" i="9" s="1"/>
  <c r="BT5" i="9"/>
  <c r="J13" i="9"/>
  <c r="S13" i="9" s="1"/>
  <c r="K16" i="9"/>
  <c r="T16" i="9" s="1"/>
  <c r="AQ25" i="9"/>
  <c r="T13" i="9"/>
  <c r="T24" i="9"/>
  <c r="AS10" i="9"/>
  <c r="AT20" i="9"/>
  <c r="BT20" i="9"/>
  <c r="BT22" i="9"/>
  <c r="D6" i="9"/>
  <c r="J6" i="9" s="1"/>
  <c r="S6" i="9" s="1"/>
  <c r="D9" i="9"/>
  <c r="J9" i="9" s="1"/>
  <c r="S9" i="9" s="1"/>
  <c r="AS12" i="9"/>
  <c r="AU12" i="9" s="1"/>
  <c r="BT7" i="9"/>
  <c r="AT10" i="9"/>
  <c r="AP12" i="9"/>
  <c r="D28" i="9"/>
  <c r="BT10" i="9"/>
  <c r="AR12" i="9"/>
  <c r="AQ15" i="9"/>
  <c r="AP15" i="9" s="1"/>
  <c r="K25" i="9"/>
  <c r="T25" i="9" s="1"/>
  <c r="BT9" i="9"/>
  <c r="AT14" i="9"/>
  <c r="AR15" i="9"/>
  <c r="J17" i="9"/>
  <c r="AN17" i="9" s="1"/>
  <c r="AT21" i="9"/>
  <c r="AU34" i="12"/>
  <c r="AW34" i="12" s="1"/>
  <c r="AY34" i="12" s="1"/>
  <c r="BH34" i="12" s="1"/>
  <c r="BE34" i="12" s="1"/>
  <c r="BF34" i="12" s="1"/>
  <c r="AU22" i="12"/>
  <c r="AW22" i="12" s="1"/>
  <c r="AY22" i="12" s="1"/>
  <c r="BH22" i="12" s="1"/>
  <c r="BE22" i="12" s="1"/>
  <c r="BF22" i="12" s="1"/>
  <c r="AV11" i="13"/>
  <c r="AX11" i="13" s="1"/>
  <c r="AZ11" i="13" s="1"/>
  <c r="BP11" i="13" s="1"/>
  <c r="BM11" i="13" s="1"/>
  <c r="BN11" i="13" s="1"/>
  <c r="BY11" i="13"/>
  <c r="BZ11" i="13" s="1"/>
  <c r="T26" i="9"/>
  <c r="AO26" i="9"/>
  <c r="S17" i="9"/>
  <c r="AO22" i="9"/>
  <c r="T22" i="9"/>
  <c r="T22" i="10"/>
  <c r="Y22" i="10" s="1"/>
  <c r="AJ22" i="10"/>
  <c r="AK13" i="7"/>
  <c r="AJ13" i="7"/>
  <c r="AK27" i="7"/>
  <c r="AJ27" i="7"/>
  <c r="K10" i="8"/>
  <c r="AO10" i="8" s="1"/>
  <c r="K12" i="7"/>
  <c r="AE12" i="7" s="1"/>
  <c r="AK18" i="7"/>
  <c r="AJ18" i="7"/>
  <c r="K23" i="7"/>
  <c r="AE23" i="7" s="1"/>
  <c r="AS23" i="7" s="1"/>
  <c r="K24" i="7"/>
  <c r="AE24" i="7" s="1"/>
  <c r="AS24" i="7" s="1"/>
  <c r="S31" i="7"/>
  <c r="X31" i="7" s="1"/>
  <c r="AJ26" i="7"/>
  <c r="D5" i="8"/>
  <c r="J5" i="8" s="1"/>
  <c r="AN5" i="8" s="1"/>
  <c r="BT8" i="8"/>
  <c r="K12" i="8"/>
  <c r="BT26" i="8"/>
  <c r="Y6" i="9"/>
  <c r="AB6" i="9" s="1"/>
  <c r="BT6" i="9"/>
  <c r="Y14" i="9"/>
  <c r="AB14" i="9" s="1"/>
  <c r="K20" i="9"/>
  <c r="T20" i="9" s="1"/>
  <c r="Z26" i="9"/>
  <c r="AC26" i="9" s="1"/>
  <c r="D30" i="9"/>
  <c r="AS31" i="9"/>
  <c r="AU31" i="9" s="1"/>
  <c r="AK12" i="10"/>
  <c r="J28" i="10"/>
  <c r="AD28" i="10" s="1"/>
  <c r="AR28" i="10" s="1"/>
  <c r="AK32" i="10"/>
  <c r="AJ32" i="10"/>
  <c r="J35" i="10"/>
  <c r="AD35" i="10" s="1"/>
  <c r="AR35" i="10" s="1"/>
  <c r="AL24" i="8"/>
  <c r="AM24" i="8" s="1"/>
  <c r="AL12" i="8"/>
  <c r="AM12" i="8" s="1"/>
  <c r="E7" i="10"/>
  <c r="K7" i="10" s="1"/>
  <c r="AE7" i="10" s="1"/>
  <c r="AS7" i="10" s="1"/>
  <c r="AK21" i="10"/>
  <c r="D23" i="10"/>
  <c r="J23" i="10" s="1"/>
  <c r="AD23" i="10" s="1"/>
  <c r="AR23" i="10" s="1"/>
  <c r="E32" i="10"/>
  <c r="K32" i="10" s="1"/>
  <c r="AE32" i="10" s="1"/>
  <c r="AS32" i="10" s="1"/>
  <c r="AK9" i="7"/>
  <c r="AJ9" i="7"/>
  <c r="Y7" i="9"/>
  <c r="AB7" i="9" s="1"/>
  <c r="Y8" i="9"/>
  <c r="AB8" i="9" s="1"/>
  <c r="Y10" i="9"/>
  <c r="AB10" i="9" s="1"/>
  <c r="AQ11" i="9"/>
  <c r="K8" i="7"/>
  <c r="AE8" i="7" s="1"/>
  <c r="AS8" i="7" s="1"/>
  <c r="AK10" i="7"/>
  <c r="AJ10" i="7"/>
  <c r="AK19" i="7"/>
  <c r="AJ19" i="7"/>
  <c r="S25" i="7"/>
  <c r="Z25" i="7" s="1"/>
  <c r="AJ30" i="7"/>
  <c r="E9" i="8"/>
  <c r="K9" i="8" s="1"/>
  <c r="T9" i="8" s="1"/>
  <c r="BT10" i="8"/>
  <c r="AR13" i="9"/>
  <c r="AP13" i="9" s="1"/>
  <c r="E14" i="9"/>
  <c r="K14" i="9" s="1"/>
  <c r="T14" i="9" s="1"/>
  <c r="AT16" i="9"/>
  <c r="AU16" i="9" s="1"/>
  <c r="E18" i="9"/>
  <c r="K18" i="9" s="1"/>
  <c r="BT21" i="9"/>
  <c r="D24" i="9"/>
  <c r="J24" i="9" s="1"/>
  <c r="D25" i="9"/>
  <c r="J25" i="9" s="1"/>
  <c r="D26" i="9"/>
  <c r="BT33" i="9"/>
  <c r="BM33" i="8"/>
  <c r="AJ11" i="10"/>
  <c r="AK15" i="10"/>
  <c r="AJ15" i="10"/>
  <c r="AK18" i="10"/>
  <c r="K20" i="10"/>
  <c r="AE20" i="10" s="1"/>
  <c r="AS20" i="10" s="1"/>
  <c r="AK26" i="10"/>
  <c r="D29" i="10"/>
  <c r="J29" i="10" s="1"/>
  <c r="AD29" i="10" s="1"/>
  <c r="AR29" i="10" s="1"/>
  <c r="AK33" i="10"/>
  <c r="AK36" i="10"/>
  <c r="AJ29" i="10"/>
  <c r="AT31" i="9"/>
  <c r="AK14" i="7"/>
  <c r="AJ14" i="7"/>
  <c r="BT14" i="8"/>
  <c r="D5" i="9"/>
  <c r="J5" i="9" s="1"/>
  <c r="S5" i="9" s="1"/>
  <c r="BT8" i="9"/>
  <c r="AR31" i="9"/>
  <c r="AP31" i="9" s="1"/>
  <c r="AK15" i="7"/>
  <c r="AJ15" i="7"/>
  <c r="AK31" i="7"/>
  <c r="AJ31" i="7"/>
  <c r="K15" i="8"/>
  <c r="T15" i="8" s="1"/>
  <c r="AS13" i="9"/>
  <c r="AU13" i="9" s="1"/>
  <c r="J14" i="9"/>
  <c r="S14" i="9" s="1"/>
  <c r="J23" i="9"/>
  <c r="K29" i="9"/>
  <c r="AO29" i="9" s="1"/>
  <c r="AW29" i="9" s="1"/>
  <c r="Z33" i="9"/>
  <c r="AC33" i="9" s="1"/>
  <c r="AJ8" i="10"/>
  <c r="AK11" i="10"/>
  <c r="AK13" i="10"/>
  <c r="D18" i="10"/>
  <c r="J18" i="10" s="1"/>
  <c r="AD18" i="10" s="1"/>
  <c r="AR18" i="10" s="1"/>
  <c r="AK30" i="10"/>
  <c r="AJ30" i="10"/>
  <c r="AK20" i="7"/>
  <c r="AJ20" i="7"/>
  <c r="AK24" i="7"/>
  <c r="AJ24" i="7"/>
  <c r="BM25" i="8"/>
  <c r="AK25" i="10"/>
  <c r="AJ25" i="10"/>
  <c r="AJ29" i="7"/>
  <c r="AG33" i="7"/>
  <c r="AG34" i="7"/>
  <c r="AK23" i="7"/>
  <c r="AJ23" i="7"/>
  <c r="AJ33" i="7"/>
  <c r="D11" i="8"/>
  <c r="J11" i="8" s="1"/>
  <c r="K24" i="8"/>
  <c r="K28" i="8"/>
  <c r="AR6" i="9"/>
  <c r="AP6" i="9" s="1"/>
  <c r="K10" i="9"/>
  <c r="T10" i="9" s="1"/>
  <c r="AR14" i="9"/>
  <c r="D15" i="9"/>
  <c r="J15" i="9" s="1"/>
  <c r="D22" i="9"/>
  <c r="Y32" i="9"/>
  <c r="AB32" i="9" s="1"/>
  <c r="AL16" i="8"/>
  <c r="AM16" i="8" s="1"/>
  <c r="E8" i="10"/>
  <c r="K8" i="10" s="1"/>
  <c r="AE8" i="10" s="1"/>
  <c r="AS8" i="10" s="1"/>
  <c r="J13" i="10"/>
  <c r="AD13" i="10" s="1"/>
  <c r="AR13" i="10" s="1"/>
  <c r="J21" i="10"/>
  <c r="AD21" i="10" s="1"/>
  <c r="AR21" i="10" s="1"/>
  <c r="AK27" i="10"/>
  <c r="AJ27" i="10"/>
  <c r="AJ31" i="10"/>
  <c r="K33" i="10"/>
  <c r="AE33" i="10" s="1"/>
  <c r="AS33" i="10" s="1"/>
  <c r="AJ11" i="7"/>
  <c r="AK11" i="7"/>
  <c r="AK16" i="7"/>
  <c r="AJ16" i="7"/>
  <c r="AK32" i="7"/>
  <c r="AK35" i="7"/>
  <c r="AJ22" i="7"/>
  <c r="AK34" i="7"/>
  <c r="AJ34" i="7"/>
  <c r="AT7" i="8"/>
  <c r="D28" i="8"/>
  <c r="J28" i="8" s="1"/>
  <c r="AN28" i="8" s="1"/>
  <c r="AS6" i="9"/>
  <c r="AU6" i="9" s="1"/>
  <c r="K7" i="9"/>
  <c r="AQ7" i="9"/>
  <c r="K9" i="9"/>
  <c r="T9" i="9" s="1"/>
  <c r="AR9" i="9"/>
  <c r="AQ14" i="9"/>
  <c r="AP14" i="9" s="1"/>
  <c r="AL21" i="8"/>
  <c r="AM21" i="8" s="1"/>
  <c r="AL15" i="8"/>
  <c r="AM15" i="8" s="1"/>
  <c r="AL9" i="8"/>
  <c r="AM9" i="8" s="1"/>
  <c r="AJ9" i="10"/>
  <c r="E13" i="10"/>
  <c r="K13" i="10" s="1"/>
  <c r="AE13" i="10" s="1"/>
  <c r="AS13" i="10" s="1"/>
  <c r="AK16" i="10"/>
  <c r="AJ16" i="10"/>
  <c r="AK19" i="10"/>
  <c r="AJ19" i="10"/>
  <c r="K26" i="10"/>
  <c r="AE26" i="10" s="1"/>
  <c r="AS26" i="10" s="1"/>
  <c r="AK31" i="10"/>
  <c r="AU21" i="9"/>
  <c r="AJ21" i="7"/>
  <c r="AR7" i="9"/>
  <c r="AP7" i="9" s="1"/>
  <c r="AQ21" i="9"/>
  <c r="AK28" i="10"/>
  <c r="AJ28" i="10"/>
  <c r="J30" i="10"/>
  <c r="AD30" i="10" s="1"/>
  <c r="AR30" i="10" s="1"/>
  <c r="AJ35" i="10"/>
  <c r="AJ37" i="10"/>
  <c r="S10" i="9"/>
  <c r="AK12" i="7"/>
  <c r="AJ12" i="7"/>
  <c r="AK7" i="7"/>
  <c r="AJ7" i="7"/>
  <c r="K20" i="7"/>
  <c r="AE20" i="7" s="1"/>
  <c r="AJ25" i="7"/>
  <c r="AJ37" i="7"/>
  <c r="K19" i="8"/>
  <c r="D29" i="8"/>
  <c r="T32" i="8"/>
  <c r="AT7" i="9"/>
  <c r="AQ10" i="9"/>
  <c r="AP10" i="9" s="1"/>
  <c r="AV10" i="9" s="1"/>
  <c r="E11" i="9"/>
  <c r="K11" i="9" s="1"/>
  <c r="T11" i="9" s="1"/>
  <c r="D12" i="9"/>
  <c r="J12" i="9" s="1"/>
  <c r="AT13" i="9"/>
  <c r="D16" i="9"/>
  <c r="J16" i="9" s="1"/>
  <c r="AQ20" i="9"/>
  <c r="AP20" i="9" s="1"/>
  <c r="BT29" i="9"/>
  <c r="AS33" i="9"/>
  <c r="BT31" i="8"/>
  <c r="T11" i="10"/>
  <c r="AA11" i="10" s="1"/>
  <c r="AK17" i="10"/>
  <c r="AJ17" i="10"/>
  <c r="J19" i="10"/>
  <c r="AD19" i="10" s="1"/>
  <c r="AR19" i="10" s="1"/>
  <c r="AK20" i="10"/>
  <c r="AJ20" i="10"/>
  <c r="K22" i="10"/>
  <c r="AE22" i="10" s="1"/>
  <c r="AS22" i="10" s="1"/>
  <c r="AK17" i="7"/>
  <c r="AJ17" i="7"/>
  <c r="Z33" i="7"/>
  <c r="AJ28" i="7"/>
  <c r="AK36" i="7"/>
  <c r="AJ36" i="7"/>
  <c r="Z5" i="9"/>
  <c r="AC5" i="9" s="1"/>
  <c r="AS11" i="9"/>
  <c r="AU11" i="9" s="1"/>
  <c r="BT17" i="9"/>
  <c r="D20" i="9"/>
  <c r="AS20" i="9"/>
  <c r="AU20" i="9" s="1"/>
  <c r="K28" i="9"/>
  <c r="T28" i="9" s="1"/>
  <c r="AL32" i="8"/>
  <c r="AM32" i="8" s="1"/>
  <c r="AL20" i="8"/>
  <c r="AM20" i="8" s="1"/>
  <c r="AL8" i="8"/>
  <c r="AM8" i="8" s="1"/>
  <c r="BT30" i="8"/>
  <c r="AK10" i="10"/>
  <c r="AJ10" i="10"/>
  <c r="AK14" i="10"/>
  <c r="AJ14" i="10"/>
  <c r="E19" i="10"/>
  <c r="K19" i="10" s="1"/>
  <c r="AE19" i="10" s="1"/>
  <c r="AS19" i="10" s="1"/>
  <c r="D27" i="10"/>
  <c r="J27" i="10" s="1"/>
  <c r="AD27" i="10" s="1"/>
  <c r="AR27" i="10" s="1"/>
  <c r="D37" i="10"/>
  <c r="J37" i="10" s="1"/>
  <c r="AD37" i="10" s="1"/>
  <c r="AR37" i="10" s="1"/>
  <c r="AK8" i="7"/>
  <c r="AJ8" i="7"/>
  <c r="K30" i="9"/>
  <c r="T30" i="9" s="1"/>
  <c r="AK7" i="10"/>
  <c r="AJ7" i="10"/>
  <c r="K9" i="10"/>
  <c r="AE9" i="10" s="1"/>
  <c r="AS9" i="10" s="1"/>
  <c r="K16" i="10"/>
  <c r="AE16" i="10" s="1"/>
  <c r="AS16" i="10" s="1"/>
  <c r="K35" i="10"/>
  <c r="AE35" i="10" s="1"/>
  <c r="AS35" i="10" s="1"/>
  <c r="AW46" i="13"/>
  <c r="AY46" i="13"/>
  <c r="BY7" i="13"/>
  <c r="BZ7" i="13" s="1"/>
  <c r="AV7" i="13"/>
  <c r="AX7" i="13" s="1"/>
  <c r="AZ7" i="13" s="1"/>
  <c r="BP7" i="13" s="1"/>
  <c r="BM7" i="13" s="1"/>
  <c r="BN7" i="13" s="1"/>
  <c r="BH46" i="13"/>
  <c r="BE5" i="13"/>
  <c r="BF5" i="13" s="1"/>
  <c r="BF46" i="13" s="1"/>
  <c r="T46" i="13"/>
  <c r="AV9" i="13"/>
  <c r="AX9" i="13" s="1"/>
  <c r="AZ9" i="13" s="1"/>
  <c r="BP9" i="13" s="1"/>
  <c r="BM9" i="13" s="1"/>
  <c r="BN9" i="13" s="1"/>
  <c r="BY9" i="13"/>
  <c r="BZ9" i="13" s="1"/>
  <c r="AV8" i="13"/>
  <c r="AX8" i="13" s="1"/>
  <c r="AZ8" i="13" s="1"/>
  <c r="BP8" i="13" s="1"/>
  <c r="BM8" i="13" s="1"/>
  <c r="BN8" i="13" s="1"/>
  <c r="BY8" i="13"/>
  <c r="BZ8" i="13" s="1"/>
  <c r="AV5" i="13"/>
  <c r="AX5" i="13" s="1"/>
  <c r="AZ5" i="13" s="1"/>
  <c r="BY5" i="13"/>
  <c r="BZ5" i="13" s="1"/>
  <c r="BY10" i="13"/>
  <c r="BZ10" i="13" s="1"/>
  <c r="AV10" i="13"/>
  <c r="AX10" i="13" s="1"/>
  <c r="AZ10" i="13" s="1"/>
  <c r="BP10" i="13" s="1"/>
  <c r="BM10" i="13" s="1"/>
  <c r="BN10" i="13" s="1"/>
  <c r="BY6" i="13"/>
  <c r="BZ6" i="13" s="1"/>
  <c r="AV6" i="13"/>
  <c r="AX6" i="13" s="1"/>
  <c r="AZ6" i="13" s="1"/>
  <c r="BP6" i="13" s="1"/>
  <c r="BM6" i="13" s="1"/>
  <c r="BN6" i="13" s="1"/>
  <c r="S46" i="12"/>
  <c r="AU26" i="12"/>
  <c r="AW26" i="12" s="1"/>
  <c r="AY26" i="12" s="1"/>
  <c r="BH26" i="12" s="1"/>
  <c r="BE26" i="12" s="1"/>
  <c r="BF26" i="12" s="1"/>
  <c r="T46" i="12"/>
  <c r="BE5" i="12"/>
  <c r="BF5" i="12" s="1"/>
  <c r="BY11" i="12"/>
  <c r="BZ11" i="12" s="1"/>
  <c r="AV11" i="12"/>
  <c r="AX11" i="12" s="1"/>
  <c r="AZ11" i="12" s="1"/>
  <c r="BP11" i="12" s="1"/>
  <c r="BM11" i="12" s="1"/>
  <c r="BN11" i="12" s="1"/>
  <c r="AV6" i="12"/>
  <c r="AX6" i="12" s="1"/>
  <c r="AZ6" i="12" s="1"/>
  <c r="BP6" i="12" s="1"/>
  <c r="BM6" i="12" s="1"/>
  <c r="BN6" i="12" s="1"/>
  <c r="BY6" i="12"/>
  <c r="BZ6" i="12" s="1"/>
  <c r="BY5" i="12"/>
  <c r="BZ5" i="12" s="1"/>
  <c r="AV5" i="12"/>
  <c r="AX5" i="12" s="1"/>
  <c r="AZ5" i="12" s="1"/>
  <c r="T19" i="10"/>
  <c r="W19" i="10" s="1"/>
  <c r="AU19" i="10" s="1"/>
  <c r="S19" i="10"/>
  <c r="X19" i="10" s="1"/>
  <c r="BT22" i="8"/>
  <c r="BT24" i="8"/>
  <c r="D24" i="8"/>
  <c r="J24" i="8" s="1"/>
  <c r="AN24" i="8" s="1"/>
  <c r="BT23" i="8"/>
  <c r="BM21" i="8"/>
  <c r="Z33" i="8"/>
  <c r="AC33" i="8" s="1"/>
  <c r="Y33" i="8"/>
  <c r="AB33" i="8" s="1"/>
  <c r="T33" i="8"/>
  <c r="AS33" i="8"/>
  <c r="S32" i="8"/>
  <c r="AS32" i="8"/>
  <c r="AT32" i="8"/>
  <c r="AQ8" i="8"/>
  <c r="S8" i="8"/>
  <c r="Y8" i="8"/>
  <c r="AB8" i="8" s="1"/>
  <c r="Z8" i="8"/>
  <c r="AC8" i="8" s="1"/>
  <c r="T29" i="9"/>
  <c r="AT29" i="9"/>
  <c r="AU29" i="9" s="1"/>
  <c r="AQ29" i="9"/>
  <c r="Y29" i="9"/>
  <c r="AB29" i="9" s="1"/>
  <c r="AQ28" i="9"/>
  <c r="AS28" i="9"/>
  <c r="AU28" i="9" s="1"/>
  <c r="AS27" i="9"/>
  <c r="Y27" i="9"/>
  <c r="AB27" i="9" s="1"/>
  <c r="AU9" i="9"/>
  <c r="AP16" i="9"/>
  <c r="AU23" i="9"/>
  <c r="Z24" i="9"/>
  <c r="AC24" i="9" s="1"/>
  <c r="Y22" i="9"/>
  <c r="AB22" i="9" s="1"/>
  <c r="Y21" i="9"/>
  <c r="AB21" i="9" s="1"/>
  <c r="Y19" i="9"/>
  <c r="AB19" i="9" s="1"/>
  <c r="S25" i="10"/>
  <c r="X25" i="10" s="1"/>
  <c r="AA63" i="10" s="1"/>
  <c r="S21" i="10"/>
  <c r="V21" i="10" s="1"/>
  <c r="AG21" i="10"/>
  <c r="T21" i="10"/>
  <c r="W21" i="10" s="1"/>
  <c r="AG19" i="10"/>
  <c r="AG15" i="10"/>
  <c r="S15" i="10"/>
  <c r="X15" i="10" s="1"/>
  <c r="AA53" i="10" s="1"/>
  <c r="T15" i="10"/>
  <c r="AA15" i="10" s="1"/>
  <c r="Z11" i="10"/>
  <c r="S35" i="10"/>
  <c r="Z35" i="10" s="1"/>
  <c r="AG35" i="10"/>
  <c r="T35" i="10"/>
  <c r="Y35" i="10" s="1"/>
  <c r="AB73" i="10" s="1"/>
  <c r="T24" i="10"/>
  <c r="Y24" i="10" s="1"/>
  <c r="AB62" i="10" s="1"/>
  <c r="S24" i="10"/>
  <c r="Z24" i="10" s="1"/>
  <c r="AG24" i="10"/>
  <c r="S30" i="10"/>
  <c r="V30" i="10" s="1"/>
  <c r="AG30" i="10"/>
  <c r="T30" i="10"/>
  <c r="Y30" i="10" s="1"/>
  <c r="AB68" i="10" s="1"/>
  <c r="AG36" i="10"/>
  <c r="T36" i="10"/>
  <c r="Y36" i="10" s="1"/>
  <c r="AB74" i="10" s="1"/>
  <c r="S36" i="10"/>
  <c r="V36" i="10" s="1"/>
  <c r="AC46" i="10"/>
  <c r="AT8" i="10"/>
  <c r="AW8" i="10" s="1"/>
  <c r="S10" i="10"/>
  <c r="V10" i="10" s="1"/>
  <c r="AG10" i="10"/>
  <c r="X10" i="10"/>
  <c r="T10" i="10"/>
  <c r="AA10" i="10" s="1"/>
  <c r="T7" i="10"/>
  <c r="W7" i="10" s="1"/>
  <c r="S7" i="10"/>
  <c r="X7" i="10" s="1"/>
  <c r="AA45" i="10" s="1"/>
  <c r="AG7" i="10"/>
  <c r="S13" i="10"/>
  <c r="V13" i="10" s="1"/>
  <c r="AG13" i="10"/>
  <c r="T13" i="10"/>
  <c r="W13" i="10" s="1"/>
  <c r="T18" i="10"/>
  <c r="Y18" i="10" s="1"/>
  <c r="AB56" i="10" s="1"/>
  <c r="S18" i="10"/>
  <c r="Z18" i="10" s="1"/>
  <c r="AG18" i="10"/>
  <c r="T27" i="10"/>
  <c r="AA27" i="10" s="1"/>
  <c r="X27" i="10"/>
  <c r="AA65" i="10" s="1"/>
  <c r="AG27" i="10"/>
  <c r="S27" i="10"/>
  <c r="Z27" i="10" s="1"/>
  <c r="AG9" i="10"/>
  <c r="T33" i="10"/>
  <c r="W33" i="10" s="1"/>
  <c r="AG33" i="10"/>
  <c r="S33" i="10"/>
  <c r="Z33" i="10" s="1"/>
  <c r="T8" i="10"/>
  <c r="W8" i="10" s="1"/>
  <c r="Z8" i="10"/>
  <c r="T14" i="10"/>
  <c r="W14" i="10" s="1"/>
  <c r="S14" i="10"/>
  <c r="Z14" i="10" s="1"/>
  <c r="J16" i="10"/>
  <c r="AD16" i="10" s="1"/>
  <c r="AR16" i="10" s="1"/>
  <c r="V28" i="10"/>
  <c r="X28" i="10"/>
  <c r="AG28" i="10"/>
  <c r="T28" i="10"/>
  <c r="AA28" i="10" s="1"/>
  <c r="T29" i="10"/>
  <c r="AA29" i="10" s="1"/>
  <c r="S31" i="10"/>
  <c r="V31" i="10" s="1"/>
  <c r="Z31" i="10"/>
  <c r="AG31" i="10"/>
  <c r="J11" i="10"/>
  <c r="AD11" i="10" s="1"/>
  <c r="AR11" i="10" s="1"/>
  <c r="AG14" i="10"/>
  <c r="K21" i="10"/>
  <c r="AE21" i="10" s="1"/>
  <c r="AS21" i="10" s="1"/>
  <c r="AG34" i="10"/>
  <c r="T34" i="10"/>
  <c r="W34" i="10" s="1"/>
  <c r="S34" i="10"/>
  <c r="V34" i="10" s="1"/>
  <c r="V20" i="10"/>
  <c r="S20" i="10"/>
  <c r="Z20" i="10" s="1"/>
  <c r="T20" i="10"/>
  <c r="AA20" i="10" s="1"/>
  <c r="S12" i="10"/>
  <c r="V12" i="10" s="1"/>
  <c r="AG17" i="10"/>
  <c r="T17" i="10"/>
  <c r="AA17" i="10" s="1"/>
  <c r="S17" i="10"/>
  <c r="Z17" i="10" s="1"/>
  <c r="AG20" i="10"/>
  <c r="T31" i="10"/>
  <c r="AA31" i="10" s="1"/>
  <c r="D9" i="10"/>
  <c r="J9" i="10" s="1"/>
  <c r="AD9" i="10" s="1"/>
  <c r="AR9" i="10" s="1"/>
  <c r="D10" i="10"/>
  <c r="J10" i="10" s="1"/>
  <c r="AD10" i="10" s="1"/>
  <c r="AR10" i="10" s="1"/>
  <c r="T16" i="10"/>
  <c r="W16" i="10" s="1"/>
  <c r="AG16" i="10"/>
  <c r="V11" i="10"/>
  <c r="W20" i="10"/>
  <c r="W22" i="10"/>
  <c r="AG26" i="10"/>
  <c r="T26" i="10"/>
  <c r="S26" i="10"/>
  <c r="Z26" i="10" s="1"/>
  <c r="X8" i="10"/>
  <c r="AA46" i="10" s="1"/>
  <c r="AG8" i="10"/>
  <c r="S9" i="10"/>
  <c r="V9" i="10" s="1"/>
  <c r="T12" i="10"/>
  <c r="AA12" i="10" s="1"/>
  <c r="AG12" i="10"/>
  <c r="D17" i="10"/>
  <c r="J17" i="10" s="1"/>
  <c r="AD17" i="10" s="1"/>
  <c r="AR17" i="10" s="1"/>
  <c r="D33" i="10"/>
  <c r="J33" i="10" s="1"/>
  <c r="AD33" i="10" s="1"/>
  <c r="AR33" i="10" s="1"/>
  <c r="W37" i="10"/>
  <c r="AG37" i="10"/>
  <c r="T37" i="10"/>
  <c r="AA37" i="10" s="1"/>
  <c r="S37" i="10"/>
  <c r="V37" i="10" s="1"/>
  <c r="T23" i="10"/>
  <c r="AA23" i="10" s="1"/>
  <c r="AG23" i="10"/>
  <c r="S23" i="10"/>
  <c r="Z23" i="10" s="1"/>
  <c r="E28" i="10"/>
  <c r="K28" i="10" s="1"/>
  <c r="AE28" i="10" s="1"/>
  <c r="AS28" i="10" s="1"/>
  <c r="D31" i="10"/>
  <c r="J31" i="10" s="1"/>
  <c r="AD31" i="10" s="1"/>
  <c r="AR31" i="10" s="1"/>
  <c r="D34" i="10"/>
  <c r="J34" i="10" s="1"/>
  <c r="AD34" i="10" s="1"/>
  <c r="AR34" i="10" s="1"/>
  <c r="T9" i="10"/>
  <c r="Y9" i="10" s="1"/>
  <c r="AB47" i="10" s="1"/>
  <c r="AG11" i="10"/>
  <c r="S16" i="10"/>
  <c r="Z16" i="10" s="1"/>
  <c r="S29" i="10"/>
  <c r="Z29" i="10" s="1"/>
  <c r="Z32" i="10"/>
  <c r="AG32" i="10"/>
  <c r="T32" i="10"/>
  <c r="Y32" i="10" s="1"/>
  <c r="AB70" i="10" s="1"/>
  <c r="S32" i="10"/>
  <c r="X32" i="10" s="1"/>
  <c r="AA70" i="10" s="1"/>
  <c r="T25" i="10"/>
  <c r="AA25" i="10" s="1"/>
  <c r="Z25" i="10"/>
  <c r="J36" i="10"/>
  <c r="AD36" i="10" s="1"/>
  <c r="AR36" i="10" s="1"/>
  <c r="AA19" i="10"/>
  <c r="W57" i="10" s="1"/>
  <c r="V19" i="10"/>
  <c r="Y21" i="10"/>
  <c r="AA21" i="10"/>
  <c r="S22" i="10"/>
  <c r="V22" i="10" s="1"/>
  <c r="AG22" i="10"/>
  <c r="D24" i="10"/>
  <c r="J24" i="10" s="1"/>
  <c r="AD24" i="10" s="1"/>
  <c r="AR24" i="10" s="1"/>
  <c r="E24" i="10"/>
  <c r="K24" i="10" s="1"/>
  <c r="AE24" i="10" s="1"/>
  <c r="AS24" i="10" s="1"/>
  <c r="K14" i="10"/>
  <c r="AE14" i="10" s="1"/>
  <c r="AS14" i="10" s="1"/>
  <c r="E15" i="10"/>
  <c r="K15" i="10" s="1"/>
  <c r="AE15" i="10" s="1"/>
  <c r="AS15" i="10" s="1"/>
  <c r="D20" i="10"/>
  <c r="J20" i="10" s="1"/>
  <c r="AD20" i="10" s="1"/>
  <c r="AR20" i="10" s="1"/>
  <c r="K23" i="10"/>
  <c r="AE23" i="10" s="1"/>
  <c r="AS23" i="10" s="1"/>
  <c r="Y29" i="10"/>
  <c r="AB67" i="10" s="1"/>
  <c r="S7" i="8"/>
  <c r="AR7" i="8"/>
  <c r="T7" i="8"/>
  <c r="AQ7" i="8"/>
  <c r="AS7" i="8"/>
  <c r="AU7" i="8" s="1"/>
  <c r="T6" i="8"/>
  <c r="AT5" i="8"/>
  <c r="AS5" i="8"/>
  <c r="AQ5" i="8"/>
  <c r="T5" i="8"/>
  <c r="AR5" i="8"/>
  <c r="D20" i="8"/>
  <c r="J20" i="8" s="1"/>
  <c r="AN20" i="8" s="1"/>
  <c r="AS12" i="8"/>
  <c r="T12" i="8"/>
  <c r="AS22" i="8"/>
  <c r="S26" i="8"/>
  <c r="AS26" i="8"/>
  <c r="AU26" i="8" s="1"/>
  <c r="S31" i="8"/>
  <c r="AS30" i="8"/>
  <c r="AT30" i="8"/>
  <c r="AU30" i="8" s="1"/>
  <c r="AS29" i="8"/>
  <c r="T29" i="8"/>
  <c r="S28" i="8"/>
  <c r="T28" i="8"/>
  <c r="S27" i="8"/>
  <c r="T27" i="8"/>
  <c r="AT27" i="8"/>
  <c r="AT26" i="8"/>
  <c r="T25" i="8"/>
  <c r="AS24" i="8"/>
  <c r="T24" i="8"/>
  <c r="AT23" i="8"/>
  <c r="T23" i="8"/>
  <c r="AT22" i="8"/>
  <c r="AS21" i="8"/>
  <c r="T21" i="8"/>
  <c r="AT20" i="8"/>
  <c r="AS19" i="8"/>
  <c r="S19" i="8"/>
  <c r="T19" i="8"/>
  <c r="AS18" i="8"/>
  <c r="S18" i="8"/>
  <c r="T18" i="8"/>
  <c r="AR18" i="8"/>
  <c r="S17" i="8"/>
  <c r="AR14" i="8"/>
  <c r="T14" i="8"/>
  <c r="S14" i="8"/>
  <c r="AQ14" i="8"/>
  <c r="T13" i="8"/>
  <c r="S13" i="8"/>
  <c r="AQ12" i="8"/>
  <c r="AS11" i="8"/>
  <c r="S11" i="8"/>
  <c r="AS10" i="8"/>
  <c r="AQ10" i="8"/>
  <c r="T10" i="8"/>
  <c r="Z10" i="8"/>
  <c r="AC10" i="8" s="1"/>
  <c r="Y10" i="8"/>
  <c r="AB10" i="8" s="1"/>
  <c r="AR10" i="8"/>
  <c r="AP10" i="8" s="1"/>
  <c r="AT10" i="8"/>
  <c r="AT9" i="8"/>
  <c r="S9" i="8"/>
  <c r="AS9" i="8"/>
  <c r="AQ9" i="8"/>
  <c r="AR9" i="8"/>
  <c r="Y9" i="8"/>
  <c r="AB9" i="8" s="1"/>
  <c r="BT29" i="8"/>
  <c r="BT32" i="8"/>
  <c r="AO9" i="9"/>
  <c r="AW9" i="9" s="1"/>
  <c r="E8" i="9"/>
  <c r="K8" i="9" s="1"/>
  <c r="T8" i="9" s="1"/>
  <c r="D8" i="9"/>
  <c r="J8" i="9" s="1"/>
  <c r="S8" i="9" s="1"/>
  <c r="AO14" i="9"/>
  <c r="AR19" i="9"/>
  <c r="AQ19" i="9"/>
  <c r="AT19" i="9"/>
  <c r="Z20" i="9"/>
  <c r="AC20" i="9" s="1"/>
  <c r="Y20" i="9"/>
  <c r="AB20" i="9" s="1"/>
  <c r="E23" i="9"/>
  <c r="K23" i="9" s="1"/>
  <c r="T23" i="9" s="1"/>
  <c r="AN6" i="9"/>
  <c r="AO5" i="9"/>
  <c r="AO6" i="9"/>
  <c r="BM9" i="9"/>
  <c r="AO13" i="9"/>
  <c r="AS19" i="9"/>
  <c r="BM25" i="9"/>
  <c r="AN5" i="9"/>
  <c r="AN13" i="9"/>
  <c r="AU7" i="9"/>
  <c r="AO21" i="9"/>
  <c r="Y9" i="9"/>
  <c r="AB9" i="9" s="1"/>
  <c r="Y12" i="9"/>
  <c r="AB12" i="9" s="1"/>
  <c r="AO12" i="9"/>
  <c r="BM17" i="9"/>
  <c r="AR22" i="9"/>
  <c r="AS22" i="9"/>
  <c r="AT22" i="9"/>
  <c r="AQ22" i="9"/>
  <c r="AO24" i="9"/>
  <c r="Y13" i="9"/>
  <c r="AB13" i="9" s="1"/>
  <c r="AT5" i="9"/>
  <c r="AS5" i="9"/>
  <c r="AR5" i="9"/>
  <c r="AP5" i="9" s="1"/>
  <c r="AS8" i="9"/>
  <c r="AR8" i="9"/>
  <c r="AQ8" i="9"/>
  <c r="AT8" i="9"/>
  <c r="AN9" i="9"/>
  <c r="AO25" i="9"/>
  <c r="AW25" i="9" s="1"/>
  <c r="J7" i="9"/>
  <c r="S7" i="9" s="1"/>
  <c r="Y11" i="9"/>
  <c r="AB11" i="9" s="1"/>
  <c r="AO11" i="9"/>
  <c r="AR27" i="9"/>
  <c r="AQ27" i="9"/>
  <c r="AT27" i="9"/>
  <c r="Z28" i="9"/>
  <c r="AC28" i="9" s="1"/>
  <c r="Y28" i="9"/>
  <c r="AB28" i="9" s="1"/>
  <c r="AU33" i="9"/>
  <c r="J18" i="9"/>
  <c r="S18" i="9" s="1"/>
  <c r="J26" i="9"/>
  <c r="S26" i="9" s="1"/>
  <c r="AR32" i="9"/>
  <c r="AT32" i="9"/>
  <c r="AU14" i="9"/>
  <c r="AO15" i="9"/>
  <c r="Y15" i="9"/>
  <c r="AB15" i="9" s="1"/>
  <c r="AU15" i="9"/>
  <c r="AO16" i="9"/>
  <c r="Y16" i="9"/>
  <c r="AB16" i="9" s="1"/>
  <c r="AO17" i="9"/>
  <c r="AW17" i="9" s="1"/>
  <c r="Y17" i="9"/>
  <c r="AB17" i="9" s="1"/>
  <c r="J20" i="9"/>
  <c r="S20" i="9" s="1"/>
  <c r="Y25" i="9"/>
  <c r="AB25" i="9" s="1"/>
  <c r="J28" i="9"/>
  <c r="S28" i="9" s="1"/>
  <c r="AR30" i="9"/>
  <c r="AP30" i="9" s="1"/>
  <c r="AS30" i="9"/>
  <c r="AU30" i="9" s="1"/>
  <c r="AR18" i="9"/>
  <c r="AT18" i="9"/>
  <c r="AS18" i="9"/>
  <c r="D21" i="9"/>
  <c r="J21" i="9" s="1"/>
  <c r="S21" i="9" s="1"/>
  <c r="BT23" i="9"/>
  <c r="AR24" i="9"/>
  <c r="AS24" i="9"/>
  <c r="AU24" i="9" s="1"/>
  <c r="AQ24" i="9"/>
  <c r="AR26" i="9"/>
  <c r="AT26" i="9"/>
  <c r="AS26" i="9"/>
  <c r="D29" i="9"/>
  <c r="J29" i="9" s="1"/>
  <c r="S29" i="9" s="1"/>
  <c r="AQ32" i="9"/>
  <c r="AR11" i="9"/>
  <c r="BT19" i="9"/>
  <c r="BT27" i="9"/>
  <c r="Z31" i="9"/>
  <c r="AC31" i="9" s="1"/>
  <c r="AS32" i="9"/>
  <c r="AR33" i="9"/>
  <c r="AQ33" i="9"/>
  <c r="AP9" i="9"/>
  <c r="AQ18" i="9"/>
  <c r="E19" i="9"/>
  <c r="K19" i="9" s="1"/>
  <c r="T19" i="9" s="1"/>
  <c r="D19" i="9"/>
  <c r="J19" i="9" s="1"/>
  <c r="S19" i="9" s="1"/>
  <c r="AQ26" i="9"/>
  <c r="E27" i="9"/>
  <c r="K27" i="9" s="1"/>
  <c r="T27" i="9" s="1"/>
  <c r="D27" i="9"/>
  <c r="J27" i="9" s="1"/>
  <c r="S27" i="9" s="1"/>
  <c r="AR21" i="9"/>
  <c r="AP21" i="9" s="1"/>
  <c r="AR29" i="9"/>
  <c r="AR17" i="9"/>
  <c r="AP17" i="9" s="1"/>
  <c r="AR25" i="9"/>
  <c r="AP25" i="9" s="1"/>
  <c r="E31" i="9"/>
  <c r="K31" i="9" s="1"/>
  <c r="T31" i="9" s="1"/>
  <c r="D31" i="9"/>
  <c r="J31" i="9" s="1"/>
  <c r="S31" i="9" s="1"/>
  <c r="BM33" i="9"/>
  <c r="AR20" i="9"/>
  <c r="J22" i="9"/>
  <c r="S22" i="9" s="1"/>
  <c r="AR28" i="9"/>
  <c r="J30" i="9"/>
  <c r="S30" i="9" s="1"/>
  <c r="BM30" i="9"/>
  <c r="E32" i="9"/>
  <c r="K32" i="9" s="1"/>
  <c r="T32" i="9" s="1"/>
  <c r="D32" i="9"/>
  <c r="J32" i="9" s="1"/>
  <c r="S32" i="9" s="1"/>
  <c r="E33" i="9"/>
  <c r="K33" i="9" s="1"/>
  <c r="T33" i="9" s="1"/>
  <c r="D33" i="9"/>
  <c r="J33" i="9" s="1"/>
  <c r="S33" i="9" s="1"/>
  <c r="AR23" i="9"/>
  <c r="AP23" i="9" s="1"/>
  <c r="AR12" i="8"/>
  <c r="AQ11" i="8"/>
  <c r="AQ20" i="8"/>
  <c r="AT11" i="8"/>
  <c r="AQ18" i="8"/>
  <c r="AR19" i="8"/>
  <c r="AS20" i="8"/>
  <c r="Y19" i="8"/>
  <c r="AB19" i="8" s="1"/>
  <c r="Y26" i="8"/>
  <c r="AB26" i="8" s="1"/>
  <c r="Y15" i="8"/>
  <c r="AB15" i="8" s="1"/>
  <c r="Z13" i="8"/>
  <c r="AC13" i="8" s="1"/>
  <c r="Y16" i="8"/>
  <c r="AB16" i="8" s="1"/>
  <c r="Y25" i="8"/>
  <c r="AB25" i="8" s="1"/>
  <c r="Y29" i="8"/>
  <c r="AB29" i="8" s="1"/>
  <c r="Y28" i="8"/>
  <c r="AB28" i="8" s="1"/>
  <c r="Z20" i="8"/>
  <c r="AC20" i="8" s="1"/>
  <c r="Z21" i="8"/>
  <c r="AC21" i="8" s="1"/>
  <c r="Y24" i="8"/>
  <c r="AB24" i="8" s="1"/>
  <c r="Z30" i="8"/>
  <c r="AC30" i="8" s="1"/>
  <c r="Y32" i="8"/>
  <c r="AB32" i="8" s="1"/>
  <c r="Z17" i="8"/>
  <c r="AC17" i="8" s="1"/>
  <c r="Y12" i="8"/>
  <c r="AB12" i="8" s="1"/>
  <c r="AO12" i="8"/>
  <c r="AO13" i="8"/>
  <c r="Z5" i="8"/>
  <c r="AC5" i="8" s="1"/>
  <c r="Y5" i="8"/>
  <c r="AB5" i="8" s="1"/>
  <c r="AN9" i="8"/>
  <c r="D12" i="8"/>
  <c r="J12" i="8" s="1"/>
  <c r="S12" i="8" s="1"/>
  <c r="D13" i="8"/>
  <c r="J13" i="8" s="1"/>
  <c r="AT16" i="8"/>
  <c r="AR16" i="8"/>
  <c r="AS16" i="8"/>
  <c r="AQ17" i="8"/>
  <c r="AS17" i="8"/>
  <c r="AT17" i="8"/>
  <c r="AR17" i="8"/>
  <c r="D21" i="8"/>
  <c r="J21" i="8" s="1"/>
  <c r="S21" i="8" s="1"/>
  <c r="AR28" i="8"/>
  <c r="AQ28" i="8"/>
  <c r="AP28" i="8" s="1"/>
  <c r="AV28" i="8" s="1"/>
  <c r="AS28" i="8"/>
  <c r="D14" i="8"/>
  <c r="J14" i="8" s="1"/>
  <c r="AQ19" i="8"/>
  <c r="AT19" i="8"/>
  <c r="AR25" i="8"/>
  <c r="AQ25" i="8"/>
  <c r="AT25" i="8"/>
  <c r="AS25" i="8"/>
  <c r="AO27" i="8"/>
  <c r="Y6" i="8"/>
  <c r="AB6" i="8" s="1"/>
  <c r="D10" i="8"/>
  <c r="J10" i="8" s="1"/>
  <c r="S10" i="8" s="1"/>
  <c r="AN11" i="8"/>
  <c r="D16" i="8"/>
  <c r="J16" i="8" s="1"/>
  <c r="S16" i="8" s="1"/>
  <c r="E16" i="8"/>
  <c r="K16" i="8" s="1"/>
  <c r="T16" i="8" s="1"/>
  <c r="AO23" i="8"/>
  <c r="D27" i="8"/>
  <c r="J27" i="8" s="1"/>
  <c r="AT8" i="8"/>
  <c r="AS8" i="8"/>
  <c r="AR8" i="8"/>
  <c r="AP8" i="8" s="1"/>
  <c r="AV8" i="8" s="1"/>
  <c r="K11" i="8"/>
  <c r="T11" i="8" s="1"/>
  <c r="Z11" i="8"/>
  <c r="AC11" i="8" s="1"/>
  <c r="Y11" i="8"/>
  <c r="AB11" i="8" s="1"/>
  <c r="BM11" i="8"/>
  <c r="E17" i="8"/>
  <c r="K17" i="8" s="1"/>
  <c r="T17" i="8" s="1"/>
  <c r="D17" i="8"/>
  <c r="J17" i="8" s="1"/>
  <c r="D23" i="8"/>
  <c r="J23" i="8" s="1"/>
  <c r="S23" i="8" s="1"/>
  <c r="BM32" i="8"/>
  <c r="AO21" i="8"/>
  <c r="AO9" i="8"/>
  <c r="AO14" i="8"/>
  <c r="BT7" i="8"/>
  <c r="AT12" i="8"/>
  <c r="AR13" i="8"/>
  <c r="AP13" i="8" s="1"/>
  <c r="AT13" i="8"/>
  <c r="AS13" i="8"/>
  <c r="Y23" i="8"/>
  <c r="AB23" i="8" s="1"/>
  <c r="Z23" i="8"/>
  <c r="AC23" i="8" s="1"/>
  <c r="AO29" i="8"/>
  <c r="AO33" i="8"/>
  <c r="Y18" i="8"/>
  <c r="AB18" i="8" s="1"/>
  <c r="Z18" i="8"/>
  <c r="AC18" i="8" s="1"/>
  <c r="AO32" i="8"/>
  <c r="E8" i="8"/>
  <c r="K8" i="8" s="1"/>
  <c r="T8" i="8" s="1"/>
  <c r="D6" i="8"/>
  <c r="J6" i="8" s="1"/>
  <c r="S6" i="8" s="1"/>
  <c r="E6" i="8"/>
  <c r="K6" i="8" s="1"/>
  <c r="Z7" i="8"/>
  <c r="AC7" i="8" s="1"/>
  <c r="Y7" i="8"/>
  <c r="AB7" i="8" s="1"/>
  <c r="D15" i="8"/>
  <c r="J15" i="8" s="1"/>
  <c r="S15" i="8" s="1"/>
  <c r="AR6" i="8"/>
  <c r="AQ6" i="8"/>
  <c r="AT6" i="8"/>
  <c r="AS6" i="8"/>
  <c r="AT14" i="8"/>
  <c r="AS14" i="8"/>
  <c r="AR15" i="8"/>
  <c r="AP15" i="8" s="1"/>
  <c r="AS15" i="8"/>
  <c r="AT15" i="8"/>
  <c r="AQ16" i="8"/>
  <c r="AO19" i="8"/>
  <c r="AT28" i="8"/>
  <c r="AO20" i="8"/>
  <c r="AO25" i="8"/>
  <c r="E7" i="8"/>
  <c r="K7" i="8" s="1"/>
  <c r="AR11" i="8"/>
  <c r="Y14" i="8"/>
  <c r="AB14" i="8" s="1"/>
  <c r="BM17" i="8"/>
  <c r="D18" i="8"/>
  <c r="J18" i="8" s="1"/>
  <c r="AT18" i="8"/>
  <c r="AQ21" i="8"/>
  <c r="AT21" i="8"/>
  <c r="AR21" i="8"/>
  <c r="BM28" i="8"/>
  <c r="BM29" i="8"/>
  <c r="AR31" i="8"/>
  <c r="AQ31" i="8"/>
  <c r="AS31" i="8"/>
  <c r="AT31" i="8"/>
  <c r="BT17" i="8"/>
  <c r="E30" i="8"/>
  <c r="K30" i="8" s="1"/>
  <c r="T30" i="8" s="1"/>
  <c r="D30" i="8"/>
  <c r="J30" i="8" s="1"/>
  <c r="S30" i="8" s="1"/>
  <c r="D19" i="8"/>
  <c r="J19" i="8" s="1"/>
  <c r="Y22" i="8"/>
  <c r="AB22" i="8" s="1"/>
  <c r="AO28" i="8"/>
  <c r="AR32" i="8"/>
  <c r="AQ32" i="8"/>
  <c r="AO18" i="8"/>
  <c r="Z27" i="8"/>
  <c r="AC27" i="8" s="1"/>
  <c r="Y27" i="8"/>
  <c r="AB27" i="8" s="1"/>
  <c r="AR29" i="8"/>
  <c r="AQ29" i="8"/>
  <c r="AT29" i="8"/>
  <c r="E31" i="8"/>
  <c r="K31" i="8" s="1"/>
  <c r="T31" i="8" s="1"/>
  <c r="D31" i="8"/>
  <c r="J31" i="8" s="1"/>
  <c r="AO24" i="8"/>
  <c r="AR20" i="8"/>
  <c r="AR24" i="8"/>
  <c r="AQ24" i="8"/>
  <c r="AT24" i="8"/>
  <c r="BM24" i="8"/>
  <c r="J25" i="8"/>
  <c r="S25" i="8" s="1"/>
  <c r="Z31" i="8"/>
  <c r="AC31" i="8" s="1"/>
  <c r="Y31" i="8"/>
  <c r="AB31" i="8" s="1"/>
  <c r="AR33" i="8"/>
  <c r="AQ33" i="8"/>
  <c r="AT33" i="8"/>
  <c r="E22" i="8"/>
  <c r="K22" i="8" s="1"/>
  <c r="T22" i="8" s="1"/>
  <c r="D22" i="8"/>
  <c r="J22" i="8" s="1"/>
  <c r="S22" i="8" s="1"/>
  <c r="AR23" i="8"/>
  <c r="AQ23" i="8"/>
  <c r="AS23" i="8"/>
  <c r="E26" i="8"/>
  <c r="K26" i="8" s="1"/>
  <c r="T26" i="8" s="1"/>
  <c r="D26" i="8"/>
  <c r="J26" i="8" s="1"/>
  <c r="AR27" i="8"/>
  <c r="AQ27" i="8"/>
  <c r="AS27" i="8"/>
  <c r="AR22" i="8"/>
  <c r="AQ22" i="8"/>
  <c r="AR26" i="8"/>
  <c r="AQ26" i="8"/>
  <c r="AR30" i="8"/>
  <c r="AQ30" i="8"/>
  <c r="J29" i="8"/>
  <c r="S29" i="8" s="1"/>
  <c r="J33" i="8"/>
  <c r="S33" i="8" s="1"/>
  <c r="T34" i="7"/>
  <c r="AA34" i="7" s="1"/>
  <c r="T23" i="7"/>
  <c r="AA23" i="7" s="1"/>
  <c r="T30" i="7"/>
  <c r="AA30" i="7" s="1"/>
  <c r="Z30" i="7"/>
  <c r="AG23" i="7"/>
  <c r="X30" i="7"/>
  <c r="AG30" i="7"/>
  <c r="S27" i="7"/>
  <c r="X27" i="7" s="1"/>
  <c r="Z27" i="7"/>
  <c r="D22" i="7"/>
  <c r="J22" i="7" s="1"/>
  <c r="AD22" i="7" s="1"/>
  <c r="X15" i="7"/>
  <c r="T14" i="7"/>
  <c r="Y14" i="7" s="1"/>
  <c r="AA15" i="7"/>
  <c r="S11" i="7"/>
  <c r="V11" i="7" s="1"/>
  <c r="AT11" i="7" s="1"/>
  <c r="Z11" i="7"/>
  <c r="AG12" i="7"/>
  <c r="T10" i="7"/>
  <c r="Y10" i="7" s="1"/>
  <c r="AB48" i="7" s="1"/>
  <c r="S28" i="7"/>
  <c r="Z28" i="7" s="1"/>
  <c r="X28" i="7"/>
  <c r="W35" i="7"/>
  <c r="AU35" i="7" s="1"/>
  <c r="E18" i="7"/>
  <c r="K18" i="7" s="1"/>
  <c r="AE18" i="7" s="1"/>
  <c r="D18" i="7"/>
  <c r="J18" i="7" s="1"/>
  <c r="AD18" i="7" s="1"/>
  <c r="AR18" i="7" s="1"/>
  <c r="AG9" i="7"/>
  <c r="K26" i="7"/>
  <c r="AE26" i="7" s="1"/>
  <c r="AS26" i="7" s="1"/>
  <c r="X18" i="7"/>
  <c r="T22" i="7"/>
  <c r="Y22" i="7" s="1"/>
  <c r="K33" i="7"/>
  <c r="AE33" i="7" s="1"/>
  <c r="AS33" i="7" s="1"/>
  <c r="T37" i="7"/>
  <c r="W37" i="7" s="1"/>
  <c r="AU37" i="7" s="1"/>
  <c r="AG15" i="7"/>
  <c r="K22" i="7"/>
  <c r="AE22" i="7" s="1"/>
  <c r="X33" i="7"/>
  <c r="Z31" i="7"/>
  <c r="X25" i="7"/>
  <c r="Z23" i="7"/>
  <c r="K37" i="7"/>
  <c r="AE37" i="7" s="1"/>
  <c r="AS37" i="7" s="1"/>
  <c r="Z18" i="7"/>
  <c r="Y15" i="7"/>
  <c r="V23" i="7"/>
  <c r="AT23" i="7" s="1"/>
  <c r="X23" i="7"/>
  <c r="AG20" i="7"/>
  <c r="E15" i="7"/>
  <c r="K15" i="7" s="1"/>
  <c r="AE15" i="7" s="1"/>
  <c r="AS15" i="7" s="1"/>
  <c r="D31" i="7"/>
  <c r="J31" i="7" s="1"/>
  <c r="AD31" i="7" s="1"/>
  <c r="D37" i="7"/>
  <c r="J37" i="7" s="1"/>
  <c r="AD37" i="7" s="1"/>
  <c r="AR37" i="7" s="1"/>
  <c r="S7" i="7"/>
  <c r="X7" i="7" s="1"/>
  <c r="S10" i="7"/>
  <c r="Z10" i="7" s="1"/>
  <c r="T18" i="7"/>
  <c r="Y18" i="7" s="1"/>
  <c r="K9" i="7"/>
  <c r="AE9" i="7" s="1"/>
  <c r="AS9" i="7" s="1"/>
  <c r="K10" i="7"/>
  <c r="AE10" i="7" s="1"/>
  <c r="AS10" i="7" s="1"/>
  <c r="J14" i="7"/>
  <c r="AD14" i="7" s="1"/>
  <c r="K27" i="7"/>
  <c r="AE27" i="7" s="1"/>
  <c r="AS27" i="7" s="1"/>
  <c r="V30" i="7"/>
  <c r="AT30" i="7" s="1"/>
  <c r="T31" i="7"/>
  <c r="AA31" i="7" s="1"/>
  <c r="D32" i="7"/>
  <c r="J32" i="7" s="1"/>
  <c r="AD32" i="7" s="1"/>
  <c r="AR32" i="7" s="1"/>
  <c r="D20" i="7"/>
  <c r="J20" i="7" s="1"/>
  <c r="AD20" i="7" s="1"/>
  <c r="AR20" i="7" s="1"/>
  <c r="AG10" i="7"/>
  <c r="D16" i="7"/>
  <c r="J16" i="7" s="1"/>
  <c r="AD16" i="7" s="1"/>
  <c r="AR16" i="7" s="1"/>
  <c r="T20" i="7"/>
  <c r="AA20" i="7" s="1"/>
  <c r="D26" i="7"/>
  <c r="J26" i="7" s="1"/>
  <c r="AD26" i="7" s="1"/>
  <c r="AR26" i="7" s="1"/>
  <c r="D28" i="7"/>
  <c r="J28" i="7" s="1"/>
  <c r="AD28" i="7" s="1"/>
  <c r="AR28" i="7" s="1"/>
  <c r="S34" i="7"/>
  <c r="X34" i="7" s="1"/>
  <c r="V18" i="7"/>
  <c r="AT18" i="7" s="1"/>
  <c r="T26" i="7"/>
  <c r="Y26" i="7" s="1"/>
  <c r="E34" i="7"/>
  <c r="K34" i="7" s="1"/>
  <c r="AE34" i="7" s="1"/>
  <c r="AS34" i="7" s="1"/>
  <c r="E7" i="7"/>
  <c r="K7" i="7" s="1"/>
  <c r="AE7" i="7" s="1"/>
  <c r="AG11" i="7"/>
  <c r="V33" i="7"/>
  <c r="AT33" i="7" s="1"/>
  <c r="V25" i="7"/>
  <c r="D36" i="7"/>
  <c r="J36" i="7" s="1"/>
  <c r="AD36" i="7" s="1"/>
  <c r="AR36" i="7" s="1"/>
  <c r="V28" i="7"/>
  <c r="AT28" i="7" s="1"/>
  <c r="T16" i="7"/>
  <c r="W16" i="7" s="1"/>
  <c r="AU16" i="7" s="1"/>
  <c r="AG18" i="7"/>
  <c r="T28" i="7"/>
  <c r="AA28" i="7" s="1"/>
  <c r="T13" i="7"/>
  <c r="W13" i="7" s="1"/>
  <c r="AU13" i="7" s="1"/>
  <c r="D8" i="7"/>
  <c r="J8" i="7" s="1"/>
  <c r="AD8" i="7" s="1"/>
  <c r="AR8" i="7" s="1"/>
  <c r="D12" i="7"/>
  <c r="J12" i="7" s="1"/>
  <c r="AD12" i="7" s="1"/>
  <c r="AR12" i="7" s="1"/>
  <c r="K28" i="7"/>
  <c r="AE28" i="7" s="1"/>
  <c r="AS28" i="7" s="1"/>
  <c r="D30" i="7"/>
  <c r="K30" i="7"/>
  <c r="AE30" i="7" s="1"/>
  <c r="S32" i="7"/>
  <c r="AR22" i="7"/>
  <c r="AR7" i="7"/>
  <c r="AS12" i="7"/>
  <c r="S16" i="7"/>
  <c r="X16" i="7" s="1"/>
  <c r="K11" i="7"/>
  <c r="AE11" i="7" s="1"/>
  <c r="D13" i="7"/>
  <c r="J13" i="7" s="1"/>
  <c r="AD13" i="7" s="1"/>
  <c r="E13" i="7"/>
  <c r="K13" i="7" s="1"/>
  <c r="AE13" i="7" s="1"/>
  <c r="AS16" i="7"/>
  <c r="T9" i="7"/>
  <c r="AA9" i="7" s="1"/>
  <c r="S13" i="7"/>
  <c r="Z13" i="7" s="1"/>
  <c r="AR17" i="7"/>
  <c r="AS22" i="7"/>
  <c r="T7" i="7"/>
  <c r="AR14" i="7"/>
  <c r="AR15" i="7"/>
  <c r="V9" i="7"/>
  <c r="AT9" i="7" s="1"/>
  <c r="AS7" i="7"/>
  <c r="D9" i="7"/>
  <c r="J9" i="7" s="1"/>
  <c r="AD9" i="7" s="1"/>
  <c r="S8" i="7"/>
  <c r="Z8" i="7" s="1"/>
  <c r="D11" i="7"/>
  <c r="J11" i="7" s="1"/>
  <c r="AD11" i="7" s="1"/>
  <c r="AG7" i="7"/>
  <c r="T8" i="7"/>
  <c r="AA8" i="7" s="1"/>
  <c r="D10" i="7"/>
  <c r="J10" i="7" s="1"/>
  <c r="AD10" i="7" s="1"/>
  <c r="T12" i="7"/>
  <c r="AA12" i="7" s="1"/>
  <c r="T15" i="7"/>
  <c r="W15" i="7" s="1"/>
  <c r="AU15" i="7" s="1"/>
  <c r="E17" i="7"/>
  <c r="K17" i="7" s="1"/>
  <c r="AE17" i="7" s="1"/>
  <c r="E21" i="7"/>
  <c r="K21" i="7" s="1"/>
  <c r="AE21" i="7" s="1"/>
  <c r="D21" i="7"/>
  <c r="J21" i="7" s="1"/>
  <c r="AD21" i="7" s="1"/>
  <c r="D24" i="7"/>
  <c r="J24" i="7" s="1"/>
  <c r="AD24" i="7" s="1"/>
  <c r="S26" i="7"/>
  <c r="X26" i="7" s="1"/>
  <c r="T29" i="7"/>
  <c r="W29" i="7" s="1"/>
  <c r="AU29" i="7" s="1"/>
  <c r="E35" i="7"/>
  <c r="K35" i="7" s="1"/>
  <c r="AE35" i="7" s="1"/>
  <c r="D35" i="7"/>
  <c r="J35" i="7" s="1"/>
  <c r="AD35" i="7" s="1"/>
  <c r="AG8" i="7"/>
  <c r="T11" i="7"/>
  <c r="Y11" i="7" s="1"/>
  <c r="E14" i="7"/>
  <c r="K14" i="7" s="1"/>
  <c r="AE14" i="7" s="1"/>
  <c r="S14" i="7"/>
  <c r="T17" i="7"/>
  <c r="Y17" i="7" s="1"/>
  <c r="S19" i="7"/>
  <c r="X19" i="7" s="1"/>
  <c r="J30" i="7"/>
  <c r="AD30" i="7" s="1"/>
  <c r="AR31" i="7"/>
  <c r="AS36" i="7"/>
  <c r="E29" i="7"/>
  <c r="K29" i="7" s="1"/>
  <c r="AE29" i="7" s="1"/>
  <c r="D29" i="7"/>
  <c r="J29" i="7" s="1"/>
  <c r="AD29" i="7" s="1"/>
  <c r="E19" i="7"/>
  <c r="K19" i="7" s="1"/>
  <c r="AE19" i="7" s="1"/>
  <c r="S21" i="7"/>
  <c r="X21" i="7" s="1"/>
  <c r="S24" i="7"/>
  <c r="Z24" i="7" s="1"/>
  <c r="T25" i="7"/>
  <c r="T27" i="7"/>
  <c r="Y27" i="7" s="1"/>
  <c r="AR34" i="7"/>
  <c r="S35" i="7"/>
  <c r="X35" i="7" s="1"/>
  <c r="T35" i="7"/>
  <c r="Y35" i="7" s="1"/>
  <c r="AG35" i="7"/>
  <c r="AR19" i="7"/>
  <c r="T19" i="7"/>
  <c r="AA19" i="7" s="1"/>
  <c r="AS20" i="7"/>
  <c r="S17" i="7"/>
  <c r="AG17" i="7"/>
  <c r="T21" i="7"/>
  <c r="W21" i="7" s="1"/>
  <c r="AU21" i="7" s="1"/>
  <c r="S22" i="7"/>
  <c r="T36" i="7"/>
  <c r="AA36" i="7" s="1"/>
  <c r="S36" i="7"/>
  <c r="X36" i="7" s="1"/>
  <c r="AG36" i="7"/>
  <c r="T32" i="7"/>
  <c r="W32" i="7" s="1"/>
  <c r="AU32" i="7" s="1"/>
  <c r="AX32" i="7" s="1"/>
  <c r="S12" i="7"/>
  <c r="X12" i="7" s="1"/>
  <c r="S15" i="7"/>
  <c r="Z15" i="7" s="1"/>
  <c r="T24" i="7"/>
  <c r="W24" i="7" s="1"/>
  <c r="AU24" i="7" s="1"/>
  <c r="AX24" i="7" s="1"/>
  <c r="E25" i="7"/>
  <c r="K25" i="7" s="1"/>
  <c r="AE25" i="7" s="1"/>
  <c r="D25" i="7"/>
  <c r="J25" i="7" s="1"/>
  <c r="AD25" i="7" s="1"/>
  <c r="D27" i="7"/>
  <c r="J27" i="7" s="1"/>
  <c r="AD27" i="7" s="1"/>
  <c r="S29" i="7"/>
  <c r="D33" i="7"/>
  <c r="J33" i="7" s="1"/>
  <c r="AD33" i="7" s="1"/>
  <c r="T33" i="7"/>
  <c r="W33" i="7" s="1"/>
  <c r="AU33" i="7" s="1"/>
  <c r="AG37" i="7"/>
  <c r="S20" i="7"/>
  <c r="Z20" i="7" s="1"/>
  <c r="D23" i="7"/>
  <c r="J23" i="7" s="1"/>
  <c r="AD23" i="7" s="1"/>
  <c r="S37" i="7"/>
  <c r="X37" i="7" s="1"/>
  <c r="AJ20" i="4"/>
  <c r="AJ21" i="4"/>
  <c r="AJ22" i="4"/>
  <c r="AJ23" i="4"/>
  <c r="AJ24" i="4"/>
  <c r="AJ25" i="4"/>
  <c r="AJ26" i="4"/>
  <c r="AJ27" i="4"/>
  <c r="AJ28" i="4"/>
  <c r="AJ29" i="4"/>
  <c r="AJ30" i="4"/>
  <c r="AJ31" i="4"/>
  <c r="AJ32" i="4"/>
  <c r="AJ33" i="4"/>
  <c r="AJ34" i="4"/>
  <c r="AJ35" i="4"/>
  <c r="AJ36" i="4"/>
  <c r="AJ37" i="4"/>
  <c r="S26" i="4"/>
  <c r="S27" i="4"/>
  <c r="S28" i="4"/>
  <c r="S29" i="4"/>
  <c r="S30" i="4"/>
  <c r="S31" i="4"/>
  <c r="S32" i="4"/>
  <c r="S33" i="4"/>
  <c r="S34" i="4"/>
  <c r="S35" i="4"/>
  <c r="S36" i="4"/>
  <c r="S37" i="4"/>
  <c r="S25" i="4"/>
  <c r="P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36" i="6"/>
  <c r="U37" i="6"/>
  <c r="U7" i="6"/>
  <c r="L6" i="6"/>
  <c r="L7" i="6"/>
  <c r="L8" i="6"/>
  <c r="R8" i="6" s="1"/>
  <c r="L9" i="6"/>
  <c r="R9" i="6" s="1"/>
  <c r="L10" i="6"/>
  <c r="R10" i="6" s="1"/>
  <c r="L11" i="6"/>
  <c r="R11" i="6" s="1"/>
  <c r="L12" i="6"/>
  <c r="L13" i="6"/>
  <c r="R13" i="6" s="1"/>
  <c r="L14" i="6"/>
  <c r="L15" i="6"/>
  <c r="R15" i="6" s="1"/>
  <c r="L16" i="6"/>
  <c r="R16" i="6" s="1"/>
  <c r="L17" i="6"/>
  <c r="R17" i="6" s="1"/>
  <c r="L18" i="6"/>
  <c r="R18" i="6" s="1"/>
  <c r="L19" i="6"/>
  <c r="R19" i="6" s="1"/>
  <c r="L20" i="6"/>
  <c r="R20" i="6" s="1"/>
  <c r="L21" i="6"/>
  <c r="R21" i="6" s="1"/>
  <c r="L22" i="6"/>
  <c r="L23" i="6"/>
  <c r="L24" i="6"/>
  <c r="R24" i="6" s="1"/>
  <c r="L25" i="6"/>
  <c r="R25" i="6" s="1"/>
  <c r="L26" i="6"/>
  <c r="R26" i="6" s="1"/>
  <c r="L27" i="6"/>
  <c r="R27" i="6" s="1"/>
  <c r="L28" i="6"/>
  <c r="R28" i="6" s="1"/>
  <c r="L29" i="6"/>
  <c r="L30" i="6"/>
  <c r="R30" i="6" s="1"/>
  <c r="L31" i="6"/>
  <c r="R31" i="6" s="1"/>
  <c r="L32" i="6"/>
  <c r="R32" i="6" s="1"/>
  <c r="L33" i="6"/>
  <c r="R33" i="6" s="1"/>
  <c r="L34" i="6"/>
  <c r="R34" i="6" s="1"/>
  <c r="L35" i="6"/>
  <c r="R35" i="6" s="1"/>
  <c r="L36" i="6"/>
  <c r="R36" i="6" s="1"/>
  <c r="L37" i="6"/>
  <c r="L38" i="6"/>
  <c r="L39" i="6"/>
  <c r="L40" i="6"/>
  <c r="L41" i="6"/>
  <c r="L42" i="6"/>
  <c r="L43" i="6"/>
  <c r="L44" i="6"/>
  <c r="L45" i="6"/>
  <c r="L46" i="6"/>
  <c r="L47" i="6"/>
  <c r="L48" i="6"/>
  <c r="L49" i="6"/>
  <c r="L5" i="6"/>
  <c r="R12" i="6"/>
  <c r="R14" i="6"/>
  <c r="R22" i="6"/>
  <c r="R23" i="6"/>
  <c r="R29" i="6"/>
  <c r="R37" i="6"/>
  <c r="R7" i="6"/>
  <c r="AP11" i="9" l="1"/>
  <c r="AO30" i="9"/>
  <c r="AV17" i="9"/>
  <c r="AU10" i="9"/>
  <c r="AW12" i="9"/>
  <c r="BC12" i="9" s="1"/>
  <c r="AW16" i="9"/>
  <c r="AU27" i="9"/>
  <c r="AN11" i="9"/>
  <c r="BF46" i="12"/>
  <c r="BH46" i="12"/>
  <c r="AT21" i="10"/>
  <c r="AW21" i="10" s="1"/>
  <c r="AC59" i="10"/>
  <c r="S12" i="9"/>
  <c r="AN12" i="9"/>
  <c r="AV12" i="9" s="1"/>
  <c r="BA12" i="9" s="1"/>
  <c r="AA10" i="7"/>
  <c r="AO10" i="9"/>
  <c r="AW10" i="9" s="1"/>
  <c r="AN14" i="9"/>
  <c r="AV14" i="9" s="1"/>
  <c r="BA14" i="9" s="1"/>
  <c r="AW21" i="9"/>
  <c r="BC21" i="9" s="1"/>
  <c r="AW6" i="9"/>
  <c r="X37" i="10"/>
  <c r="AA75" i="10" s="1"/>
  <c r="Y10" i="10"/>
  <c r="AB48" i="10" s="1"/>
  <c r="X29" i="10"/>
  <c r="AA67" i="10" s="1"/>
  <c r="AX46" i="13"/>
  <c r="AB60" i="10"/>
  <c r="AA63" i="7"/>
  <c r="W23" i="7"/>
  <c r="AU23" i="7" s="1"/>
  <c r="Z36" i="7"/>
  <c r="V27" i="7"/>
  <c r="AT27" i="7" s="1"/>
  <c r="AP28" i="9"/>
  <c r="AW24" i="9"/>
  <c r="AY24" i="9" s="1"/>
  <c r="BB24" i="9" s="1"/>
  <c r="BS24" i="9" s="1"/>
  <c r="BP24" i="9" s="1"/>
  <c r="BQ24" i="9" s="1"/>
  <c r="AV13" i="9"/>
  <c r="S24" i="8"/>
  <c r="AA22" i="10"/>
  <c r="W60" i="10" s="1"/>
  <c r="X20" i="10"/>
  <c r="X21" i="10"/>
  <c r="AA59" i="10" s="1"/>
  <c r="X34" i="10"/>
  <c r="W28" i="10"/>
  <c r="W66" i="10" s="1"/>
  <c r="AA16" i="10"/>
  <c r="AD57" i="10"/>
  <c r="AF57" i="10" s="1"/>
  <c r="AN15" i="9"/>
  <c r="AV15" i="9" s="1"/>
  <c r="S15" i="9"/>
  <c r="AN25" i="9"/>
  <c r="AV25" i="9" s="1"/>
  <c r="S25" i="9"/>
  <c r="AO7" i="9"/>
  <c r="AW7" i="9" s="1"/>
  <c r="T7" i="9"/>
  <c r="T34" i="9" s="1"/>
  <c r="S24" i="9"/>
  <c r="AN24" i="9"/>
  <c r="Y14" i="10"/>
  <c r="AA66" i="10"/>
  <c r="AX33" i="7"/>
  <c r="AO15" i="8"/>
  <c r="AV6" i="9"/>
  <c r="V31" i="7"/>
  <c r="W9" i="7"/>
  <c r="AU9" i="7" s="1"/>
  <c r="AX9" i="7" s="1"/>
  <c r="W11" i="7"/>
  <c r="AU11" i="7" s="1"/>
  <c r="AU22" i="9"/>
  <c r="AW22" i="9" s="1"/>
  <c r="AY22" i="9" s="1"/>
  <c r="BB22" i="9" s="1"/>
  <c r="BS22" i="9" s="1"/>
  <c r="BP22" i="9" s="1"/>
  <c r="BQ22" i="9" s="1"/>
  <c r="AO28" i="9"/>
  <c r="AW28" i="9" s="1"/>
  <c r="AY28" i="9" s="1"/>
  <c r="BB28" i="9" s="1"/>
  <c r="BS28" i="9" s="1"/>
  <c r="BP28" i="9" s="1"/>
  <c r="BQ28" i="9" s="1"/>
  <c r="S5" i="8"/>
  <c r="Z21" i="10"/>
  <c r="Y19" i="10"/>
  <c r="AB57" i="10" s="1"/>
  <c r="Y28" i="10"/>
  <c r="AB66" i="10" s="1"/>
  <c r="W35" i="10"/>
  <c r="AO18" i="9"/>
  <c r="T18" i="9"/>
  <c r="Y23" i="7"/>
  <c r="AB61" i="7" s="1"/>
  <c r="T20" i="8"/>
  <c r="W23" i="10"/>
  <c r="W11" i="10"/>
  <c r="AU11" i="10" s="1"/>
  <c r="AX11" i="10" s="1"/>
  <c r="V34" i="7"/>
  <c r="AC72" i="7" s="1"/>
  <c r="Y34" i="7"/>
  <c r="Y31" i="7"/>
  <c r="AB69" i="7" s="1"/>
  <c r="Y30" i="7"/>
  <c r="AO20" i="9"/>
  <c r="AB59" i="10"/>
  <c r="Y20" i="10"/>
  <c r="AB58" i="10" s="1"/>
  <c r="Y11" i="10"/>
  <c r="AB49" i="10" s="1"/>
  <c r="Y23" i="10"/>
  <c r="AB61" i="10" s="1"/>
  <c r="W27" i="10"/>
  <c r="X35" i="10"/>
  <c r="AA73" i="10" s="1"/>
  <c r="AA57" i="10"/>
  <c r="W18" i="7"/>
  <c r="AU18" i="7" s="1"/>
  <c r="AU10" i="8"/>
  <c r="AW10" i="8" s="1"/>
  <c r="Y17" i="10"/>
  <c r="AB55" i="10" s="1"/>
  <c r="W9" i="10"/>
  <c r="AX19" i="10"/>
  <c r="Y16" i="7"/>
  <c r="AA14" i="7"/>
  <c r="AW13" i="9"/>
  <c r="BC13" i="9" s="1"/>
  <c r="Y16" i="10"/>
  <c r="AB54" i="10" s="1"/>
  <c r="AN16" i="9"/>
  <c r="AV16" i="9" s="1"/>
  <c r="BA16" i="9" s="1"/>
  <c r="S16" i="9"/>
  <c r="AN23" i="9"/>
  <c r="AV23" i="9" s="1"/>
  <c r="S23" i="9"/>
  <c r="AZ46" i="13"/>
  <c r="BP5" i="13"/>
  <c r="AY46" i="12"/>
  <c r="AZ46" i="12"/>
  <c r="BP5" i="12"/>
  <c r="AA48" i="10"/>
  <c r="AB52" i="10"/>
  <c r="Z19" i="10"/>
  <c r="X18" i="10"/>
  <c r="AA56" i="10" s="1"/>
  <c r="V16" i="10"/>
  <c r="AC54" i="10" s="1"/>
  <c r="AE54" i="10" s="1"/>
  <c r="Z15" i="10"/>
  <c r="V15" i="10"/>
  <c r="AC53" i="10" s="1"/>
  <c r="AE53" i="10" s="1"/>
  <c r="W15" i="10"/>
  <c r="W53" i="10" s="1"/>
  <c r="Y15" i="10"/>
  <c r="AA14" i="10"/>
  <c r="AP22" i="8"/>
  <c r="AP24" i="8"/>
  <c r="AV24" i="8" s="1"/>
  <c r="AP23" i="8"/>
  <c r="AU32" i="8"/>
  <c r="AU33" i="8"/>
  <c r="AP33" i="8"/>
  <c r="AW32" i="8"/>
  <c r="BC32" i="8" s="1"/>
  <c r="AP14" i="8"/>
  <c r="AP12" i="8"/>
  <c r="AU5" i="8"/>
  <c r="AW5" i="8" s="1"/>
  <c r="AY5" i="8" s="1"/>
  <c r="AP7" i="8"/>
  <c r="AV7" i="8" s="1"/>
  <c r="AP5" i="8"/>
  <c r="AV5" i="8" s="1"/>
  <c r="AP29" i="9"/>
  <c r="AB34" i="9"/>
  <c r="AC34" i="9"/>
  <c r="AX12" i="9"/>
  <c r="AZ12" i="9" s="1"/>
  <c r="BK12" i="9" s="1"/>
  <c r="BH12" i="9" s="1"/>
  <c r="BI12" i="9" s="1"/>
  <c r="AW20" i="9"/>
  <c r="BC20" i="9" s="1"/>
  <c r="AP8" i="9"/>
  <c r="AU32" i="9"/>
  <c r="AU26" i="9"/>
  <c r="AW26" i="9" s="1"/>
  <c r="BC26" i="9" s="1"/>
  <c r="AW14" i="9"/>
  <c r="AV5" i="9"/>
  <c r="AX5" i="9" s="1"/>
  <c r="AV9" i="9"/>
  <c r="AX9" i="9" s="1"/>
  <c r="AZ9" i="9" s="1"/>
  <c r="BK9" i="9" s="1"/>
  <c r="BH9" i="9" s="1"/>
  <c r="BI9" i="9" s="1"/>
  <c r="AP26" i="9"/>
  <c r="AB60" i="7"/>
  <c r="AX15" i="7"/>
  <c r="V32" i="10"/>
  <c r="AT32" i="10" s="1"/>
  <c r="AW32" i="10" s="1"/>
  <c r="W31" i="10"/>
  <c r="AD69" i="10" s="1"/>
  <c r="W30" i="10"/>
  <c r="AD68" i="10" s="1"/>
  <c r="AF68" i="10" s="1"/>
  <c r="AA30" i="10"/>
  <c r="W65" i="10"/>
  <c r="Y27" i="10"/>
  <c r="AB65" i="10" s="1"/>
  <c r="V25" i="10"/>
  <c r="AA24" i="10"/>
  <c r="X23" i="10"/>
  <c r="AA61" i="10" s="1"/>
  <c r="V23" i="10"/>
  <c r="AD59" i="10"/>
  <c r="AF59" i="10" s="1"/>
  <c r="V59" i="10"/>
  <c r="AU21" i="10"/>
  <c r="AX21" i="10" s="1"/>
  <c r="W59" i="10"/>
  <c r="V57" i="10"/>
  <c r="V18" i="10"/>
  <c r="AC56" i="10" s="1"/>
  <c r="W18" i="10"/>
  <c r="V56" i="10" s="1"/>
  <c r="X16" i="10"/>
  <c r="AA54" i="10" s="1"/>
  <c r="AT15" i="10"/>
  <c r="AW15" i="10" s="1"/>
  <c r="W52" i="10"/>
  <c r="AA13" i="10"/>
  <c r="W51" i="10" s="1"/>
  <c r="Y13" i="10"/>
  <c r="AB51" i="10" s="1"/>
  <c r="W12" i="10"/>
  <c r="W50" i="10" s="1"/>
  <c r="Y12" i="10"/>
  <c r="AB50" i="10" s="1"/>
  <c r="Z10" i="10"/>
  <c r="Z9" i="10"/>
  <c r="X9" i="10"/>
  <c r="AA47" i="10" s="1"/>
  <c r="Y8" i="10"/>
  <c r="AB46" i="10" s="1"/>
  <c r="V7" i="10"/>
  <c r="Y7" i="10"/>
  <c r="AB45" i="10" s="1"/>
  <c r="AA7" i="10"/>
  <c r="W45" i="10" s="1"/>
  <c r="Z7" i="10"/>
  <c r="AD45" i="10"/>
  <c r="V45" i="10"/>
  <c r="AU7" i="10"/>
  <c r="AX7" i="10" s="1"/>
  <c r="AT12" i="10"/>
  <c r="AW12" i="10" s="1"/>
  <c r="AC50" i="10"/>
  <c r="AC51" i="10"/>
  <c r="AT13" i="10"/>
  <c r="AW13" i="10" s="1"/>
  <c r="AC75" i="10"/>
  <c r="AT37" i="10"/>
  <c r="AW37" i="10" s="1"/>
  <c r="AD71" i="10"/>
  <c r="AU33" i="10"/>
  <c r="AX33" i="10" s="1"/>
  <c r="AT34" i="10"/>
  <c r="AW34" i="10" s="1"/>
  <c r="AC72" i="10"/>
  <c r="AC74" i="10"/>
  <c r="AT36" i="10"/>
  <c r="AW36" i="10" s="1"/>
  <c r="AT30" i="10"/>
  <c r="AW30" i="10" s="1"/>
  <c r="AC68" i="10"/>
  <c r="AT9" i="10"/>
  <c r="AW9" i="10" s="1"/>
  <c r="AC47" i="10"/>
  <c r="AD54" i="10"/>
  <c r="AF54" i="10" s="1"/>
  <c r="V54" i="10"/>
  <c r="AU16" i="10"/>
  <c r="AX16" i="10" s="1"/>
  <c r="AD46" i="10"/>
  <c r="AU8" i="10"/>
  <c r="AX8" i="10" s="1"/>
  <c r="AC69" i="10"/>
  <c r="AT31" i="10"/>
  <c r="AW31" i="10" s="1"/>
  <c r="AT18" i="10"/>
  <c r="AW18" i="10" s="1"/>
  <c r="W54" i="10"/>
  <c r="AD73" i="10"/>
  <c r="AF73" i="10" s="1"/>
  <c r="AU35" i="10"/>
  <c r="AX35" i="10" s="1"/>
  <c r="V73" i="10"/>
  <c r="AD65" i="10"/>
  <c r="AU27" i="10"/>
  <c r="AX27" i="10" s="1"/>
  <c r="V65" i="10"/>
  <c r="W58" i="10"/>
  <c r="AC45" i="10"/>
  <c r="AE45" i="10" s="1"/>
  <c r="AT7" i="10"/>
  <c r="AW7" i="10" s="1"/>
  <c r="X22" i="10"/>
  <c r="AA60" i="10" s="1"/>
  <c r="AA33" i="10"/>
  <c r="W71" i="10" s="1"/>
  <c r="W75" i="10"/>
  <c r="AA58" i="10"/>
  <c r="AD60" i="10"/>
  <c r="AF60" i="10" s="1"/>
  <c r="V60" i="10"/>
  <c r="AU22" i="10"/>
  <c r="AX22" i="10" s="1"/>
  <c r="AT25" i="10"/>
  <c r="AW25" i="10" s="1"/>
  <c r="AC63" i="10"/>
  <c r="AE63" i="10" s="1"/>
  <c r="X31" i="10"/>
  <c r="AA69" i="10" s="1"/>
  <c r="AD66" i="10"/>
  <c r="AF66" i="10" s="1"/>
  <c r="V66" i="10"/>
  <c r="AU28" i="10"/>
  <c r="AX28" i="10" s="1"/>
  <c r="AU12" i="10"/>
  <c r="AX12" i="10" s="1"/>
  <c r="X33" i="10"/>
  <c r="AA71" i="10" s="1"/>
  <c r="V51" i="10"/>
  <c r="AU13" i="10"/>
  <c r="AX13" i="10" s="1"/>
  <c r="AD51" i="10"/>
  <c r="Z37" i="10"/>
  <c r="Z36" i="10"/>
  <c r="Z34" i="10"/>
  <c r="X30" i="10"/>
  <c r="AA68" i="10" s="1"/>
  <c r="X24" i="10"/>
  <c r="AA62" i="10" s="1"/>
  <c r="V29" i="10"/>
  <c r="W17" i="10"/>
  <c r="W55" i="10" s="1"/>
  <c r="AA9" i="10"/>
  <c r="W47" i="10" s="1"/>
  <c r="Z12" i="10"/>
  <c r="AD53" i="10"/>
  <c r="AU15" i="10"/>
  <c r="AX15" i="10" s="1"/>
  <c r="Y31" i="10"/>
  <c r="AB69" i="10" s="1"/>
  <c r="Y33" i="10"/>
  <c r="AB71" i="10" s="1"/>
  <c r="V27" i="10"/>
  <c r="AA18" i="10"/>
  <c r="W56" i="10" s="1"/>
  <c r="X13" i="10"/>
  <c r="AA51" i="10" s="1"/>
  <c r="W10" i="10"/>
  <c r="W48" i="10" s="1"/>
  <c r="X36" i="10"/>
  <c r="AA74" i="10" s="1"/>
  <c r="V35" i="10"/>
  <c r="AD72" i="10"/>
  <c r="AU34" i="10"/>
  <c r="AX34" i="10" s="1"/>
  <c r="AD75" i="10"/>
  <c r="AU37" i="10"/>
  <c r="AX37" i="10" s="1"/>
  <c r="AC49" i="10"/>
  <c r="AT11" i="10"/>
  <c r="AW11" i="10" s="1"/>
  <c r="AA72" i="10"/>
  <c r="AT23" i="10"/>
  <c r="AW23" i="10" s="1"/>
  <c r="AC61" i="10"/>
  <c r="Z30" i="10"/>
  <c r="W32" i="10"/>
  <c r="Y37" i="10"/>
  <c r="AB75" i="10" s="1"/>
  <c r="V26" i="10"/>
  <c r="V17" i="10"/>
  <c r="AA8" i="10"/>
  <c r="W46" i="10" s="1"/>
  <c r="V14" i="10"/>
  <c r="X14" i="10"/>
  <c r="AA52" i="10" s="1"/>
  <c r="V33" i="10"/>
  <c r="Z13" i="10"/>
  <c r="W36" i="10"/>
  <c r="V24" i="10"/>
  <c r="AC60" i="10"/>
  <c r="AT22" i="10"/>
  <c r="AW22" i="10" s="1"/>
  <c r="AA26" i="10"/>
  <c r="W26" i="10"/>
  <c r="AD47" i="10"/>
  <c r="AF47" i="10" s="1"/>
  <c r="AU9" i="10"/>
  <c r="AX9" i="10" s="1"/>
  <c r="V47" i="10"/>
  <c r="AT28" i="10"/>
  <c r="AW28" i="10" s="1"/>
  <c r="AC66" i="10"/>
  <c r="AE66" i="10" s="1"/>
  <c r="Y25" i="10"/>
  <c r="AB63" i="10" s="1"/>
  <c r="W25" i="10"/>
  <c r="W63" i="10" s="1"/>
  <c r="AA32" i="10"/>
  <c r="W61" i="10"/>
  <c r="AA49" i="10"/>
  <c r="X26" i="10"/>
  <c r="AA64" i="10" s="1"/>
  <c r="X17" i="10"/>
  <c r="AA55" i="10" s="1"/>
  <c r="W29" i="10"/>
  <c r="W67" i="10" s="1"/>
  <c r="Z22" i="10"/>
  <c r="X12" i="10"/>
  <c r="AA50" i="10" s="1"/>
  <c r="AE46" i="10"/>
  <c r="AA36" i="10"/>
  <c r="W74" i="10" s="1"/>
  <c r="W24" i="10"/>
  <c r="W62" i="10" s="1"/>
  <c r="AA35" i="10"/>
  <c r="W73" i="10" s="1"/>
  <c r="AD61" i="10"/>
  <c r="AU23" i="10"/>
  <c r="AX23" i="10" s="1"/>
  <c r="V58" i="10"/>
  <c r="AU20" i="10"/>
  <c r="AX20" i="10" s="1"/>
  <c r="AD58" i="10"/>
  <c r="AF58" i="10" s="1"/>
  <c r="AA34" i="10"/>
  <c r="W72" i="10" s="1"/>
  <c r="Y34" i="10"/>
  <c r="AB72" i="10" s="1"/>
  <c r="AC57" i="10"/>
  <c r="AT19" i="10"/>
  <c r="AW19" i="10" s="1"/>
  <c r="AC58" i="10"/>
  <c r="AT20" i="10"/>
  <c r="AW20" i="10" s="1"/>
  <c r="AD52" i="10"/>
  <c r="AF52" i="10" s="1"/>
  <c r="V52" i="10"/>
  <c r="AU14" i="10"/>
  <c r="AX14" i="10" s="1"/>
  <c r="Y26" i="10"/>
  <c r="AB64" i="10" s="1"/>
  <c r="AC48" i="10"/>
  <c r="AE48" i="10" s="1"/>
  <c r="AT10" i="10"/>
  <c r="AW10" i="10" s="1"/>
  <c r="AU19" i="8"/>
  <c r="AW19" i="8" s="1"/>
  <c r="AU6" i="8"/>
  <c r="S20" i="8"/>
  <c r="AU27" i="8"/>
  <c r="AU23" i="8"/>
  <c r="AW23" i="8" s="1"/>
  <c r="AU22" i="8"/>
  <c r="AU12" i="8"/>
  <c r="AW12" i="8" s="1"/>
  <c r="AU11" i="8"/>
  <c r="AP16" i="8"/>
  <c r="AP18" i="8"/>
  <c r="AU21" i="8"/>
  <c r="AW21" i="8" s="1"/>
  <c r="AU24" i="8"/>
  <c r="AW24" i="8" s="1"/>
  <c r="AU29" i="8"/>
  <c r="AU20" i="8"/>
  <c r="AW20" i="8" s="1"/>
  <c r="AU18" i="8"/>
  <c r="AW18" i="8" s="1"/>
  <c r="AU17" i="8"/>
  <c r="AP11" i="8"/>
  <c r="AV11" i="8" s="1"/>
  <c r="AU9" i="8"/>
  <c r="AW9" i="8" s="1"/>
  <c r="AP9" i="8"/>
  <c r="AV9" i="8" s="1"/>
  <c r="AX17" i="9"/>
  <c r="AZ17" i="9" s="1"/>
  <c r="BK17" i="9" s="1"/>
  <c r="BH17" i="9" s="1"/>
  <c r="BI17" i="9" s="1"/>
  <c r="BA17" i="9"/>
  <c r="AO32" i="9"/>
  <c r="AV11" i="9"/>
  <c r="AN21" i="9"/>
  <c r="AV21" i="9" s="1"/>
  <c r="AY10" i="9"/>
  <c r="BB10" i="9" s="1"/>
  <c r="BS10" i="9" s="1"/>
  <c r="BP10" i="9" s="1"/>
  <c r="BQ10" i="9" s="1"/>
  <c r="BC10" i="9"/>
  <c r="AY6" i="9"/>
  <c r="BB6" i="9" s="1"/>
  <c r="BS6" i="9" s="1"/>
  <c r="BP6" i="9" s="1"/>
  <c r="BQ6" i="9" s="1"/>
  <c r="BC6" i="9"/>
  <c r="AO33" i="9"/>
  <c r="AW33" i="9" s="1"/>
  <c r="AN27" i="9"/>
  <c r="AN20" i="9"/>
  <c r="AV20" i="9" s="1"/>
  <c r="BC16" i="9"/>
  <c r="AY16" i="9"/>
  <c r="BB16" i="9" s="1"/>
  <c r="BS16" i="9" s="1"/>
  <c r="BP16" i="9" s="1"/>
  <c r="BQ16" i="9" s="1"/>
  <c r="BA15" i="9"/>
  <c r="AX15" i="9"/>
  <c r="AZ15" i="9" s="1"/>
  <c r="BK15" i="9" s="1"/>
  <c r="BH15" i="9" s="1"/>
  <c r="BI15" i="9" s="1"/>
  <c r="BC25" i="9"/>
  <c r="AY25" i="9"/>
  <c r="BB25" i="9" s="1"/>
  <c r="BS25" i="9" s="1"/>
  <c r="BP25" i="9" s="1"/>
  <c r="BQ25" i="9" s="1"/>
  <c r="BC7" i="9"/>
  <c r="AY7" i="9"/>
  <c r="BB7" i="9" s="1"/>
  <c r="BS7" i="9" s="1"/>
  <c r="BP7" i="9" s="1"/>
  <c r="BQ7" i="9" s="1"/>
  <c r="AO23" i="9"/>
  <c r="AW23" i="9" s="1"/>
  <c r="AN32" i="9"/>
  <c r="AN31" i="9"/>
  <c r="AV31" i="9" s="1"/>
  <c r="AO27" i="9"/>
  <c r="AW27" i="9" s="1"/>
  <c r="AP33" i="9"/>
  <c r="AW11" i="9"/>
  <c r="BA10" i="9"/>
  <c r="AX10" i="9"/>
  <c r="AZ10" i="9" s="1"/>
  <c r="BK10" i="9" s="1"/>
  <c r="BH10" i="9" s="1"/>
  <c r="BI10" i="9" s="1"/>
  <c r="AU5" i="9"/>
  <c r="AW5" i="9" s="1"/>
  <c r="AW30" i="9"/>
  <c r="AU19" i="9"/>
  <c r="AP19" i="9"/>
  <c r="AO31" i="9"/>
  <c r="AW31" i="9" s="1"/>
  <c r="BC17" i="9"/>
  <c r="AY17" i="9"/>
  <c r="BB17" i="9" s="1"/>
  <c r="BS17" i="9" s="1"/>
  <c r="BP17" i="9" s="1"/>
  <c r="BQ17" i="9" s="1"/>
  <c r="AN26" i="9"/>
  <c r="AV26" i="9" s="1"/>
  <c r="AN30" i="9"/>
  <c r="AV30" i="9" s="1"/>
  <c r="BC22" i="9"/>
  <c r="AP18" i="9"/>
  <c r="AP32" i="9"/>
  <c r="AW15" i="9"/>
  <c r="AN18" i="9"/>
  <c r="AP22" i="9"/>
  <c r="AY9" i="9"/>
  <c r="BB9" i="9" s="1"/>
  <c r="BS9" i="9" s="1"/>
  <c r="BP9" i="9" s="1"/>
  <c r="BQ9" i="9" s="1"/>
  <c r="BC9" i="9"/>
  <c r="AO19" i="9"/>
  <c r="AN22" i="9"/>
  <c r="AP24" i="9"/>
  <c r="AU18" i="9"/>
  <c r="AW18" i="9" s="1"/>
  <c r="AN28" i="9"/>
  <c r="AP27" i="9"/>
  <c r="AN7" i="9"/>
  <c r="AV7" i="9" s="1"/>
  <c r="BC28" i="9"/>
  <c r="AX6" i="9"/>
  <c r="AZ6" i="9" s="1"/>
  <c r="BK6" i="9" s="1"/>
  <c r="BH6" i="9" s="1"/>
  <c r="BI6" i="9" s="1"/>
  <c r="BA6" i="9"/>
  <c r="AN8" i="9"/>
  <c r="AN19" i="9"/>
  <c r="BC14" i="9"/>
  <c r="AY14" i="9"/>
  <c r="BB14" i="9" s="1"/>
  <c r="BS14" i="9" s="1"/>
  <c r="BP14" i="9" s="1"/>
  <c r="BQ14" i="9" s="1"/>
  <c r="AN33" i="9"/>
  <c r="AN29" i="9"/>
  <c r="AV29" i="9" s="1"/>
  <c r="AX16" i="9"/>
  <c r="AZ16" i="9" s="1"/>
  <c r="BK16" i="9" s="1"/>
  <c r="BH16" i="9" s="1"/>
  <c r="BI16" i="9" s="1"/>
  <c r="AU8" i="9"/>
  <c r="AX13" i="9"/>
  <c r="AZ13" i="9" s="1"/>
  <c r="BK13" i="9" s="1"/>
  <c r="BH13" i="9" s="1"/>
  <c r="BI13" i="9" s="1"/>
  <c r="BA13" i="9"/>
  <c r="BC29" i="9"/>
  <c r="AY29" i="9"/>
  <c r="BB29" i="9" s="1"/>
  <c r="BS29" i="9" s="1"/>
  <c r="BP29" i="9" s="1"/>
  <c r="BQ29" i="9" s="1"/>
  <c r="AO8" i="9"/>
  <c r="AP26" i="8"/>
  <c r="AP29" i="8"/>
  <c r="AW29" i="8"/>
  <c r="AY29" i="8" s="1"/>
  <c r="BB29" i="8" s="1"/>
  <c r="BS29" i="8" s="1"/>
  <c r="BP29" i="8" s="1"/>
  <c r="BQ29" i="8" s="1"/>
  <c r="AP19" i="8"/>
  <c r="AP21" i="8"/>
  <c r="AU31" i="8"/>
  <c r="AU8" i="8"/>
  <c r="AU16" i="8"/>
  <c r="AP20" i="8"/>
  <c r="AV20" i="8" s="1"/>
  <c r="AX20" i="8" s="1"/>
  <c r="AZ20" i="8" s="1"/>
  <c r="BK20" i="8" s="1"/>
  <c r="BH20" i="8" s="1"/>
  <c r="BI20" i="8" s="1"/>
  <c r="AP31" i="8"/>
  <c r="AP6" i="8"/>
  <c r="AX28" i="8"/>
  <c r="AZ28" i="8" s="1"/>
  <c r="BK28" i="8" s="1"/>
  <c r="BH28" i="8" s="1"/>
  <c r="BI28" i="8" s="1"/>
  <c r="BA28" i="8"/>
  <c r="AX8" i="8"/>
  <c r="AZ8" i="8" s="1"/>
  <c r="BK8" i="8" s="1"/>
  <c r="BH8" i="8" s="1"/>
  <c r="BI8" i="8" s="1"/>
  <c r="BA8" i="8"/>
  <c r="AN19" i="8"/>
  <c r="AO6" i="8"/>
  <c r="AN21" i="8"/>
  <c r="AX7" i="8"/>
  <c r="AZ7" i="8" s="1"/>
  <c r="BK7" i="8" s="1"/>
  <c r="BH7" i="8" s="1"/>
  <c r="BI7" i="8" s="1"/>
  <c r="BA7" i="8"/>
  <c r="AO30" i="8"/>
  <c r="AW30" i="8" s="1"/>
  <c r="AN18" i="8"/>
  <c r="AN6" i="8"/>
  <c r="AN23" i="8"/>
  <c r="AW27" i="8"/>
  <c r="AB34" i="8"/>
  <c r="AN33" i="8"/>
  <c r="AV33" i="8" s="1"/>
  <c r="AU14" i="8"/>
  <c r="AW14" i="8" s="1"/>
  <c r="AU25" i="8"/>
  <c r="AW25" i="8" s="1"/>
  <c r="AN14" i="8"/>
  <c r="AV14" i="8" s="1"/>
  <c r="AC34" i="8"/>
  <c r="AN25" i="8"/>
  <c r="AO7" i="8"/>
  <c r="AW7" i="8" s="1"/>
  <c r="AO17" i="8"/>
  <c r="AO16" i="8"/>
  <c r="AO26" i="8"/>
  <c r="AW26" i="8" s="1"/>
  <c r="AN30" i="8"/>
  <c r="AU15" i="8"/>
  <c r="AW15" i="8" s="1"/>
  <c r="AN29" i="8"/>
  <c r="AV29" i="8" s="1"/>
  <c r="AN22" i="8"/>
  <c r="AN31" i="8"/>
  <c r="AO8" i="8"/>
  <c r="AW8" i="8" s="1"/>
  <c r="AN27" i="8"/>
  <c r="AP30" i="8"/>
  <c r="AP27" i="8"/>
  <c r="AO22" i="8"/>
  <c r="AO31" i="8"/>
  <c r="AN15" i="8"/>
  <c r="AV15" i="8" s="1"/>
  <c r="AW33" i="8"/>
  <c r="BC5" i="8"/>
  <c r="AP25" i="8"/>
  <c r="AP17" i="8"/>
  <c r="AN13" i="8"/>
  <c r="AV13" i="8" s="1"/>
  <c r="AN26" i="8"/>
  <c r="AN16" i="8"/>
  <c r="AX24" i="8"/>
  <c r="AZ24" i="8" s="1"/>
  <c r="BK24" i="8" s="1"/>
  <c r="BH24" i="8" s="1"/>
  <c r="BI24" i="8" s="1"/>
  <c r="BA24" i="8"/>
  <c r="AP32" i="8"/>
  <c r="AV32" i="8" s="1"/>
  <c r="AU13" i="8"/>
  <c r="AW13" i="8" s="1"/>
  <c r="AY10" i="8"/>
  <c r="BB10" i="8" s="1"/>
  <c r="BS10" i="8" s="1"/>
  <c r="BP10" i="8" s="1"/>
  <c r="BQ10" i="8" s="1"/>
  <c r="BC10" i="8"/>
  <c r="AN17" i="8"/>
  <c r="AO11" i="8"/>
  <c r="AN10" i="8"/>
  <c r="AV10" i="8" s="1"/>
  <c r="AU28" i="8"/>
  <c r="AW28" i="8" s="1"/>
  <c r="AN12" i="8"/>
  <c r="AV12" i="8" s="1"/>
  <c r="AX5" i="8"/>
  <c r="BA5" i="8"/>
  <c r="W34" i="7"/>
  <c r="W28" i="7"/>
  <c r="AU28" i="7" s="1"/>
  <c r="AX28" i="7" s="1"/>
  <c r="AA26" i="7"/>
  <c r="W64" i="7" s="1"/>
  <c r="Z35" i="7"/>
  <c r="Z34" i="7"/>
  <c r="W66" i="7"/>
  <c r="X9" i="7"/>
  <c r="Y29" i="7"/>
  <c r="AB67" i="7" s="1"/>
  <c r="AD51" i="7"/>
  <c r="AA18" i="7"/>
  <c r="Y32" i="7"/>
  <c r="V70" i="7" s="1"/>
  <c r="Z12" i="7"/>
  <c r="AC61" i="7"/>
  <c r="AA35" i="7"/>
  <c r="W73" i="7" s="1"/>
  <c r="Y28" i="7"/>
  <c r="W10" i="7"/>
  <c r="V8" i="7"/>
  <c r="AT8" i="7" s="1"/>
  <c r="AW8" i="7" s="1"/>
  <c r="Z19" i="7"/>
  <c r="Z16" i="7"/>
  <c r="AA29" i="7"/>
  <c r="W67" i="7" s="1"/>
  <c r="AA22" i="7"/>
  <c r="W22" i="7"/>
  <c r="V60" i="7" s="1"/>
  <c r="Z21" i="7"/>
  <c r="W30" i="7"/>
  <c r="AU30" i="7" s="1"/>
  <c r="AA13" i="7"/>
  <c r="W51" i="7" s="1"/>
  <c r="AB56" i="7"/>
  <c r="W53" i="7"/>
  <c r="W17" i="7"/>
  <c r="AU17" i="7" s="1"/>
  <c r="Y25" i="7"/>
  <c r="AB63" i="7" s="1"/>
  <c r="AA25" i="7"/>
  <c r="Y33" i="7"/>
  <c r="V71" i="7" s="1"/>
  <c r="AA33" i="7"/>
  <c r="W71" i="7" s="1"/>
  <c r="V17" i="7"/>
  <c r="AT17" i="7" s="1"/>
  <c r="AW17" i="7" s="1"/>
  <c r="Z17" i="7"/>
  <c r="AW28" i="7"/>
  <c r="Y20" i="7"/>
  <c r="AA71" i="7"/>
  <c r="V48" i="7"/>
  <c r="AS30" i="7"/>
  <c r="V7" i="7"/>
  <c r="AA16" i="7"/>
  <c r="X20" i="7"/>
  <c r="Y24" i="7"/>
  <c r="AB62" i="7" s="1"/>
  <c r="AA27" i="7"/>
  <c r="Z9" i="7"/>
  <c r="W8" i="7"/>
  <c r="AU8" i="7" s="1"/>
  <c r="AX8" i="7" s="1"/>
  <c r="X11" i="7"/>
  <c r="W20" i="7"/>
  <c r="AA37" i="7"/>
  <c r="W75" i="7" s="1"/>
  <c r="X13" i="7"/>
  <c r="Y8" i="7"/>
  <c r="AB46" i="7" s="1"/>
  <c r="AX29" i="7"/>
  <c r="AC63" i="7"/>
  <c r="AE63" i="7" s="1"/>
  <c r="AT25" i="7"/>
  <c r="V20" i="7"/>
  <c r="AT20" i="7" s="1"/>
  <c r="AW20" i="7" s="1"/>
  <c r="W26" i="7"/>
  <c r="AU26" i="7" s="1"/>
  <c r="AX26" i="7" s="1"/>
  <c r="W31" i="7"/>
  <c r="AU31" i="7" s="1"/>
  <c r="AX31" i="7" s="1"/>
  <c r="W27" i="7"/>
  <c r="AU27" i="7" s="1"/>
  <c r="AX27" i="7" s="1"/>
  <c r="Z26" i="7"/>
  <c r="Y36" i="7"/>
  <c r="Y13" i="7"/>
  <c r="V51" i="7" s="1"/>
  <c r="AA11" i="7"/>
  <c r="W49" i="7" s="1"/>
  <c r="Z37" i="7"/>
  <c r="X10" i="7"/>
  <c r="AA48" i="7" s="1"/>
  <c r="Y19" i="7"/>
  <c r="Z7" i="7"/>
  <c r="AW30" i="7"/>
  <c r="V29" i="7"/>
  <c r="AT29" i="7" s="1"/>
  <c r="Z29" i="7"/>
  <c r="Y7" i="7"/>
  <c r="AA69" i="7"/>
  <c r="X17" i="7"/>
  <c r="AA55" i="7" s="1"/>
  <c r="Y21" i="7"/>
  <c r="AB59" i="7" s="1"/>
  <c r="AA17" i="7"/>
  <c r="AA32" i="7"/>
  <c r="W70" i="7" s="1"/>
  <c r="W25" i="7"/>
  <c r="AU25" i="7" s="1"/>
  <c r="AX25" i="7" s="1"/>
  <c r="X29" i="7"/>
  <c r="AA67" i="7" s="1"/>
  <c r="Z32" i="7"/>
  <c r="X32" i="7"/>
  <c r="AA70" i="7" s="1"/>
  <c r="X22" i="7"/>
  <c r="AA60" i="7" s="1"/>
  <c r="Z22" i="7"/>
  <c r="Y12" i="7"/>
  <c r="W72" i="7"/>
  <c r="AA49" i="7"/>
  <c r="AX16" i="7"/>
  <c r="AA7" i="7"/>
  <c r="W7" i="7"/>
  <c r="AU7" i="7" s="1"/>
  <c r="AX7" i="7" s="1"/>
  <c r="AX23" i="7"/>
  <c r="AA24" i="7"/>
  <c r="W12" i="7"/>
  <c r="AU12" i="7" s="1"/>
  <c r="AX12" i="7" s="1"/>
  <c r="Y37" i="7"/>
  <c r="AB75" i="7" s="1"/>
  <c r="W14" i="7"/>
  <c r="AU14" i="7" s="1"/>
  <c r="W19" i="7"/>
  <c r="AU19" i="7" s="1"/>
  <c r="AX37" i="7"/>
  <c r="V14" i="7"/>
  <c r="AT14" i="7" s="1"/>
  <c r="AW14" i="7" s="1"/>
  <c r="X14" i="7"/>
  <c r="Z14" i="7"/>
  <c r="V24" i="7"/>
  <c r="AT24" i="7" s="1"/>
  <c r="X24" i="7"/>
  <c r="AA62" i="7" s="1"/>
  <c r="V22" i="7"/>
  <c r="AT22" i="7" s="1"/>
  <c r="AW22" i="7" s="1"/>
  <c r="Y9" i="7"/>
  <c r="W36" i="7"/>
  <c r="AU36" i="7" s="1"/>
  <c r="AX36" i="7" s="1"/>
  <c r="AC65" i="7"/>
  <c r="V16" i="7"/>
  <c r="AT16" i="7" s="1"/>
  <c r="AW16" i="7" s="1"/>
  <c r="AW18" i="7"/>
  <c r="X8" i="7"/>
  <c r="AA46" i="7" s="1"/>
  <c r="AA21" i="7"/>
  <c r="AA72" i="7"/>
  <c r="AA66" i="7"/>
  <c r="V21" i="7"/>
  <c r="AT21" i="7" s="1"/>
  <c r="AB66" i="7"/>
  <c r="W48" i="7"/>
  <c r="AD66" i="7"/>
  <c r="V15" i="7"/>
  <c r="AT15" i="7" s="1"/>
  <c r="AW15" i="7" s="1"/>
  <c r="V12" i="7"/>
  <c r="AT12" i="7" s="1"/>
  <c r="AW12" i="7" s="1"/>
  <c r="V19" i="7"/>
  <c r="V10" i="7"/>
  <c r="V36" i="7"/>
  <c r="AT36" i="7" s="1"/>
  <c r="AW36" i="7" s="1"/>
  <c r="AD56" i="7"/>
  <c r="AB64" i="7"/>
  <c r="V32" i="7"/>
  <c r="AT32" i="7" s="1"/>
  <c r="AW32" i="7" s="1"/>
  <c r="V37" i="7"/>
  <c r="AT37" i="7" s="1"/>
  <c r="AW37" i="7" s="1"/>
  <c r="V35" i="7"/>
  <c r="V26" i="7"/>
  <c r="AT26" i="7" s="1"/>
  <c r="AW26" i="7" s="1"/>
  <c r="V13" i="7"/>
  <c r="AT13" i="7" s="1"/>
  <c r="AA61" i="7"/>
  <c r="AE61" i="7" s="1"/>
  <c r="AA59" i="7"/>
  <c r="AB65" i="7"/>
  <c r="AA74" i="7"/>
  <c r="AA75" i="7"/>
  <c r="AD73" i="7"/>
  <c r="V73" i="7"/>
  <c r="AS13" i="7"/>
  <c r="AX13" i="7" s="1"/>
  <c r="AB70" i="7"/>
  <c r="V52" i="7"/>
  <c r="AD69" i="7"/>
  <c r="AF69" i="7" s="1"/>
  <c r="AR25" i="7"/>
  <c r="AD54" i="7"/>
  <c r="V54" i="7"/>
  <c r="AB53" i="7"/>
  <c r="AS19" i="7"/>
  <c r="AR21" i="7"/>
  <c r="AB45" i="7"/>
  <c r="AA51" i="7"/>
  <c r="AR23" i="7"/>
  <c r="AW23" i="7" s="1"/>
  <c r="W61" i="7"/>
  <c r="AC66" i="7"/>
  <c r="AB68" i="7"/>
  <c r="AS25" i="7"/>
  <c r="AA53" i="7"/>
  <c r="AS21" i="7"/>
  <c r="AX21" i="7" s="1"/>
  <c r="AR10" i="7"/>
  <c r="W54" i="7"/>
  <c r="V61" i="7"/>
  <c r="AD61" i="7"/>
  <c r="AF61" i="7" s="1"/>
  <c r="AB58" i="7"/>
  <c r="AB47" i="7"/>
  <c r="AR30" i="7"/>
  <c r="AC68" i="7"/>
  <c r="AS17" i="7"/>
  <c r="AB52" i="7"/>
  <c r="AD71" i="7"/>
  <c r="V58" i="7"/>
  <c r="AR29" i="7"/>
  <c r="V53" i="7"/>
  <c r="AD53" i="7"/>
  <c r="AC56" i="7"/>
  <c r="AA73" i="7"/>
  <c r="AS14" i="7"/>
  <c r="AB73" i="7"/>
  <c r="AR13" i="7"/>
  <c r="AD70" i="7"/>
  <c r="AR33" i="7"/>
  <c r="AW33" i="7" s="1"/>
  <c r="AC71" i="7"/>
  <c r="AE71" i="7" s="1"/>
  <c r="AD75" i="7"/>
  <c r="AR27" i="7"/>
  <c r="AW27" i="7" s="1"/>
  <c r="AA65" i="7"/>
  <c r="AS29" i="7"/>
  <c r="AA57" i="7"/>
  <c r="AD49" i="7"/>
  <c r="V49" i="7"/>
  <c r="AR35" i="7"/>
  <c r="AD67" i="7"/>
  <c r="AR11" i="7"/>
  <c r="AW11" i="7" s="1"/>
  <c r="AA56" i="7"/>
  <c r="AC49" i="7"/>
  <c r="AA50" i="7"/>
  <c r="AR9" i="7"/>
  <c r="AW9" i="7" s="1"/>
  <c r="AB57" i="7"/>
  <c r="AB72" i="7"/>
  <c r="AA45" i="7"/>
  <c r="AA68" i="7"/>
  <c r="AB49" i="7"/>
  <c r="AS18" i="7"/>
  <c r="AX18" i="7" s="1"/>
  <c r="AS35" i="7"/>
  <c r="AX35" i="7" s="1"/>
  <c r="AR24" i="7"/>
  <c r="AS11" i="7"/>
  <c r="AX11" i="7" s="1"/>
  <c r="E52"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 i="6"/>
  <c r="B54" i="6"/>
  <c r="B53" i="6" s="1"/>
  <c r="B6" i="6"/>
  <c r="B7" i="6" s="1"/>
  <c r="B8" i="6" s="1"/>
  <c r="B9" i="6" s="1"/>
  <c r="B10" i="6" s="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AK20" i="4"/>
  <c r="AJ19" i="4"/>
  <c r="AK19" i="4" s="1"/>
  <c r="AJ18" i="4"/>
  <c r="AK18" i="4" s="1"/>
  <c r="AJ17" i="4"/>
  <c r="AK17" i="4" s="1"/>
  <c r="AJ16" i="4"/>
  <c r="AK16" i="4" s="1"/>
  <c r="AJ15" i="4"/>
  <c r="AK15" i="4" s="1"/>
  <c r="AJ14" i="4"/>
  <c r="AK14" i="4" s="1"/>
  <c r="AJ13" i="4"/>
  <c r="AK13" i="4" s="1"/>
  <c r="AJ12" i="4"/>
  <c r="AK12" i="4" s="1"/>
  <c r="AJ11" i="4"/>
  <c r="AK11" i="4" s="1"/>
  <c r="AJ10" i="4"/>
  <c r="AK10" i="4" s="1"/>
  <c r="AJ9" i="4"/>
  <c r="AK9" i="4" s="1"/>
  <c r="AJ8" i="4"/>
  <c r="AK8" i="4" s="1"/>
  <c r="AJ7" i="4"/>
  <c r="AK7" i="4" s="1"/>
  <c r="AM12" i="5"/>
  <c r="AM15" i="5"/>
  <c r="AM18" i="5"/>
  <c r="AM20" i="5"/>
  <c r="AM22" i="5"/>
  <c r="AM24" i="5"/>
  <c r="AM26" i="5"/>
  <c r="AM28" i="5"/>
  <c r="AM30" i="5"/>
  <c r="AM32" i="5"/>
  <c r="AM34" i="5"/>
  <c r="AM38" i="5"/>
  <c r="AM40" i="5"/>
  <c r="AM46" i="5"/>
  <c r="AM7" i="5"/>
  <c r="AM17" i="5"/>
  <c r="AM16" i="5"/>
  <c r="AM14" i="5"/>
  <c r="AM13" i="5"/>
  <c r="AM11" i="5"/>
  <c r="AM10" i="5"/>
  <c r="AM9" i="5"/>
  <c r="AM8" i="5"/>
  <c r="AM6" i="5"/>
  <c r="S20" i="4"/>
  <c r="R20" i="4"/>
  <c r="T20" i="4" s="1"/>
  <c r="Y20" i="4" s="1"/>
  <c r="AH16" i="4"/>
  <c r="AM35" i="5"/>
  <c r="AM33" i="5"/>
  <c r="T17" i="5"/>
  <c r="T16" i="5"/>
  <c r="T45" i="5"/>
  <c r="T41" i="5"/>
  <c r="T39" i="5"/>
  <c r="T35" i="5"/>
  <c r="T34" i="5"/>
  <c r="T33" i="5"/>
  <c r="T31" i="5"/>
  <c r="T30" i="5"/>
  <c r="T27" i="5"/>
  <c r="T23" i="5"/>
  <c r="T19" i="5"/>
  <c r="T18" i="5"/>
  <c r="T9" i="5"/>
  <c r="T6" i="5"/>
  <c r="AH29" i="4"/>
  <c r="AH27" i="4"/>
  <c r="AH26" i="4"/>
  <c r="AH22" i="4"/>
  <c r="AH21" i="4"/>
  <c r="S24" i="4"/>
  <c r="S23" i="4"/>
  <c r="S22" i="4"/>
  <c r="S21" i="4"/>
  <c r="U21" i="4" s="1"/>
  <c r="X21" i="4" s="1"/>
  <c r="AZ21" i="4" s="1"/>
  <c r="S19" i="4"/>
  <c r="S18" i="4"/>
  <c r="S17" i="4"/>
  <c r="S16" i="4"/>
  <c r="S15" i="4"/>
  <c r="S14" i="4"/>
  <c r="U14" i="4" s="1"/>
  <c r="X14" i="4" s="1"/>
  <c r="AZ14" i="4" s="1"/>
  <c r="S13" i="4"/>
  <c r="U13" i="4" s="1"/>
  <c r="Z13" i="4" s="1"/>
  <c r="S12" i="4"/>
  <c r="S11" i="4"/>
  <c r="S10" i="4"/>
  <c r="S9" i="4"/>
  <c r="S8" i="4"/>
  <c r="S7" i="4"/>
  <c r="AK37" i="4"/>
  <c r="AK36" i="4"/>
  <c r="AK35" i="4"/>
  <c r="AK34" i="4"/>
  <c r="AK33" i="4"/>
  <c r="AM45" i="5"/>
  <c r="AM44" i="5"/>
  <c r="AM43" i="5"/>
  <c r="AM42" i="5"/>
  <c r="S45" i="5"/>
  <c r="S39" i="5"/>
  <c r="S36" i="5"/>
  <c r="AM41" i="5"/>
  <c r="AM39" i="5"/>
  <c r="AM37" i="5"/>
  <c r="AL36" i="5"/>
  <c r="AM31" i="5"/>
  <c r="AM29" i="5"/>
  <c r="S18" i="5"/>
  <c r="S30" i="5"/>
  <c r="S8" i="5"/>
  <c r="S12" i="5"/>
  <c r="S7" i="5"/>
  <c r="S6" i="5"/>
  <c r="AK32" i="4"/>
  <c r="AK31" i="4"/>
  <c r="AK27" i="4"/>
  <c r="AK26" i="4"/>
  <c r="AK25" i="4"/>
  <c r="AH18" i="4"/>
  <c r="R7" i="4"/>
  <c r="R8" i="4"/>
  <c r="R37" i="4"/>
  <c r="R36" i="4"/>
  <c r="R35" i="4"/>
  <c r="R34" i="4"/>
  <c r="R33" i="4"/>
  <c r="R32" i="4"/>
  <c r="R31" i="4"/>
  <c r="R30" i="4"/>
  <c r="R29" i="4"/>
  <c r="R28" i="4"/>
  <c r="R27" i="4"/>
  <c r="R26" i="4"/>
  <c r="R25" i="4"/>
  <c r="R24" i="4"/>
  <c r="T24" i="4" s="1"/>
  <c r="Y24" i="4" s="1"/>
  <c r="R23" i="4"/>
  <c r="R22" i="4"/>
  <c r="R21" i="4"/>
  <c r="R19" i="4"/>
  <c r="R18" i="4"/>
  <c r="R17" i="4"/>
  <c r="R16" i="4"/>
  <c r="R15" i="4"/>
  <c r="R14" i="4"/>
  <c r="T14" i="4" s="1"/>
  <c r="R13" i="4"/>
  <c r="T13" i="4" s="1"/>
  <c r="AA13" i="4" s="1"/>
  <c r="R12" i="4"/>
  <c r="R11" i="4"/>
  <c r="R10" i="4"/>
  <c r="R9" i="4"/>
  <c r="AH9" i="4"/>
  <c r="AH11" i="4"/>
  <c r="AH12" i="4"/>
  <c r="AH17" i="4"/>
  <c r="AK21" i="4"/>
  <c r="AK22" i="4"/>
  <c r="AK23" i="4"/>
  <c r="AK24" i="4"/>
  <c r="AK28" i="4"/>
  <c r="AK29" i="4"/>
  <c r="AK30" i="4"/>
  <c r="AM19" i="5"/>
  <c r="AM21" i="5"/>
  <c r="AM23" i="5"/>
  <c r="AM25" i="5"/>
  <c r="AM27" i="5"/>
  <c r="AD24" i="4"/>
  <c r="C7" i="5"/>
  <c r="D7" i="5" s="1"/>
  <c r="J7" i="5" s="1"/>
  <c r="AD7" i="5" s="1"/>
  <c r="C8" i="5"/>
  <c r="D8" i="5" s="1"/>
  <c r="J8" i="5" s="1"/>
  <c r="AD8" i="5" s="1"/>
  <c r="C9" i="5"/>
  <c r="E9" i="5" s="1"/>
  <c r="K9" i="5" s="1"/>
  <c r="AE9" i="5" s="1"/>
  <c r="C10" i="5"/>
  <c r="E10" i="5" s="1"/>
  <c r="C11" i="5"/>
  <c r="C12" i="5"/>
  <c r="D12" i="5" s="1"/>
  <c r="C13" i="5"/>
  <c r="E13" i="5" s="1"/>
  <c r="C14" i="5"/>
  <c r="E14" i="5" s="1"/>
  <c r="K14" i="5" s="1"/>
  <c r="AE14" i="5" s="1"/>
  <c r="C15" i="5"/>
  <c r="D15" i="5" s="1"/>
  <c r="J15" i="5" s="1"/>
  <c r="AD15" i="5" s="1"/>
  <c r="C16" i="5"/>
  <c r="D16" i="5" s="1"/>
  <c r="J16" i="5" s="1"/>
  <c r="AD16" i="5" s="1"/>
  <c r="C17" i="5"/>
  <c r="E17" i="5" s="1"/>
  <c r="C18" i="5"/>
  <c r="C19" i="5"/>
  <c r="D19" i="5" s="1"/>
  <c r="J19" i="5" s="1"/>
  <c r="AD19" i="5" s="1"/>
  <c r="C20" i="5"/>
  <c r="D20" i="5" s="1"/>
  <c r="J20" i="5" s="1"/>
  <c r="AD20" i="5" s="1"/>
  <c r="C21" i="5"/>
  <c r="D21" i="5" s="1"/>
  <c r="J21" i="5" s="1"/>
  <c r="AD21" i="5" s="1"/>
  <c r="C22" i="5"/>
  <c r="D22" i="5" s="1"/>
  <c r="C23" i="5"/>
  <c r="E23" i="5" s="1"/>
  <c r="C24" i="5"/>
  <c r="D24" i="5" s="1"/>
  <c r="C25" i="5"/>
  <c r="D25" i="5" s="1"/>
  <c r="C26" i="5"/>
  <c r="D26" i="5" s="1"/>
  <c r="J26" i="5" s="1"/>
  <c r="AD26" i="5" s="1"/>
  <c r="C27" i="5"/>
  <c r="E27" i="5" s="1"/>
  <c r="C28" i="5"/>
  <c r="E28" i="5" s="1"/>
  <c r="K28" i="5" s="1"/>
  <c r="AE28" i="5" s="1"/>
  <c r="AU28" i="5" s="1"/>
  <c r="C29" i="5"/>
  <c r="C30" i="5"/>
  <c r="C31" i="5"/>
  <c r="D31" i="5" s="1"/>
  <c r="J31" i="5" s="1"/>
  <c r="AD31" i="5" s="1"/>
  <c r="C32" i="5"/>
  <c r="D32" i="5" s="1"/>
  <c r="J32" i="5" s="1"/>
  <c r="AD32" i="5" s="1"/>
  <c r="C33" i="5"/>
  <c r="D33" i="5" s="1"/>
  <c r="J33" i="5" s="1"/>
  <c r="AD33" i="5" s="1"/>
  <c r="C34" i="5"/>
  <c r="C35" i="5"/>
  <c r="C36" i="5"/>
  <c r="E36" i="5" s="1"/>
  <c r="C37" i="5"/>
  <c r="E37" i="5" s="1"/>
  <c r="C38" i="5"/>
  <c r="E38" i="5" s="1"/>
  <c r="C39" i="5"/>
  <c r="E39" i="5" s="1"/>
  <c r="K39" i="5" s="1"/>
  <c r="AE39" i="5" s="1"/>
  <c r="AU39" i="5" s="1"/>
  <c r="C40" i="5"/>
  <c r="E40" i="5" s="1"/>
  <c r="C41" i="5"/>
  <c r="D41" i="5" s="1"/>
  <c r="J41" i="5" s="1"/>
  <c r="AD41" i="5" s="1"/>
  <c r="C42" i="5"/>
  <c r="E42" i="5" s="1"/>
  <c r="C43" i="5"/>
  <c r="D43" i="5" s="1"/>
  <c r="J43" i="5" s="1"/>
  <c r="AD43" i="5" s="1"/>
  <c r="C44" i="5"/>
  <c r="D44" i="5" s="1"/>
  <c r="J44" i="5" s="1"/>
  <c r="AD44" i="5" s="1"/>
  <c r="C45" i="5"/>
  <c r="C46" i="5"/>
  <c r="C6" i="5"/>
  <c r="D6" i="5" s="1"/>
  <c r="C8" i="4"/>
  <c r="C9" i="4"/>
  <c r="E9" i="4" s="1"/>
  <c r="C10" i="4"/>
  <c r="D10" i="4" s="1"/>
  <c r="C11" i="4"/>
  <c r="D11" i="4" s="1"/>
  <c r="C12" i="4"/>
  <c r="D12" i="4" s="1"/>
  <c r="C13" i="4"/>
  <c r="E13" i="4" s="1"/>
  <c r="C14" i="4"/>
  <c r="D14" i="4" s="1"/>
  <c r="C15" i="4"/>
  <c r="D15" i="4" s="1"/>
  <c r="C16" i="4"/>
  <c r="D16" i="4" s="1"/>
  <c r="C17" i="4"/>
  <c r="D17" i="4" s="1"/>
  <c r="C18" i="4"/>
  <c r="D18" i="4" s="1"/>
  <c r="C19" i="4"/>
  <c r="E19" i="4" s="1"/>
  <c r="C20" i="4"/>
  <c r="D20" i="4" s="1"/>
  <c r="C21" i="4"/>
  <c r="E21" i="4" s="1"/>
  <c r="C22" i="4"/>
  <c r="D22" i="4" s="1"/>
  <c r="C23" i="4"/>
  <c r="E23" i="4" s="1"/>
  <c r="C24" i="4"/>
  <c r="C25" i="4"/>
  <c r="D25" i="4" s="1"/>
  <c r="C26" i="4"/>
  <c r="D26" i="4" s="1"/>
  <c r="C27" i="4"/>
  <c r="D27" i="4" s="1"/>
  <c r="C28" i="4"/>
  <c r="D28" i="4" s="1"/>
  <c r="C29" i="4"/>
  <c r="E29" i="4" s="1"/>
  <c r="C30" i="4"/>
  <c r="E30" i="4" s="1"/>
  <c r="C31" i="4"/>
  <c r="D31" i="4" s="1"/>
  <c r="C32" i="4"/>
  <c r="E32" i="4" s="1"/>
  <c r="C33" i="4"/>
  <c r="E33" i="4" s="1"/>
  <c r="C34" i="4"/>
  <c r="E34" i="4" s="1"/>
  <c r="C35" i="4"/>
  <c r="D35" i="4" s="1"/>
  <c r="C36" i="4"/>
  <c r="D36" i="4" s="1"/>
  <c r="C37" i="4"/>
  <c r="E37" i="4" s="1"/>
  <c r="C7" i="4"/>
  <c r="D7" i="4" s="1"/>
  <c r="T10" i="5"/>
  <c r="T11" i="5"/>
  <c r="S13" i="5"/>
  <c r="T13" i="5"/>
  <c r="S14" i="5"/>
  <c r="S15" i="5"/>
  <c r="S16" i="5"/>
  <c r="T20" i="5"/>
  <c r="T21" i="5"/>
  <c r="S22" i="5"/>
  <c r="T22" i="5"/>
  <c r="S23" i="5"/>
  <c r="S24" i="5"/>
  <c r="S25" i="5"/>
  <c r="T28" i="5"/>
  <c r="S31" i="5"/>
  <c r="S32" i="5"/>
  <c r="S33" i="5"/>
  <c r="T36" i="5"/>
  <c r="T37" i="5"/>
  <c r="S38" i="5"/>
  <c r="S41" i="5"/>
  <c r="T44" i="5"/>
  <c r="S46" i="5"/>
  <c r="T46" i="5"/>
  <c r="AP7" i="4"/>
  <c r="AQ7" i="4"/>
  <c r="F7" i="4"/>
  <c r="G7" i="4"/>
  <c r="AP8" i="4"/>
  <c r="AQ8" i="4"/>
  <c r="F8" i="4"/>
  <c r="G8" i="4"/>
  <c r="AN7" i="4"/>
  <c r="AO7" i="4"/>
  <c r="AN8" i="4"/>
  <c r="AO8" i="4"/>
  <c r="AC7" i="4"/>
  <c r="AD7" i="4"/>
  <c r="AL7" i="4"/>
  <c r="AC8" i="4"/>
  <c r="AD8" i="4"/>
  <c r="AL8" i="4"/>
  <c r="AP35" i="5"/>
  <c r="AQ35" i="5"/>
  <c r="AS35" i="5"/>
  <c r="F35" i="5"/>
  <c r="G35" i="5"/>
  <c r="AP36" i="5"/>
  <c r="AQ36" i="5"/>
  <c r="AS36" i="5"/>
  <c r="F36" i="5"/>
  <c r="G36" i="5"/>
  <c r="AP37" i="5"/>
  <c r="AQ37" i="5"/>
  <c r="AS37" i="5"/>
  <c r="F37" i="5"/>
  <c r="G37" i="5"/>
  <c r="AP38" i="5"/>
  <c r="AQ38" i="5"/>
  <c r="AS38" i="5"/>
  <c r="F38" i="5"/>
  <c r="G38" i="5"/>
  <c r="AP39" i="5"/>
  <c r="AQ39" i="5"/>
  <c r="AS39" i="5"/>
  <c r="F39" i="5"/>
  <c r="G39" i="5"/>
  <c r="AP40" i="5"/>
  <c r="AQ40" i="5"/>
  <c r="AS40" i="5"/>
  <c r="F40" i="5"/>
  <c r="G40" i="5"/>
  <c r="AP41" i="5"/>
  <c r="AQ41" i="5"/>
  <c r="AS41" i="5"/>
  <c r="F41" i="5"/>
  <c r="G41" i="5"/>
  <c r="AP42" i="5"/>
  <c r="AQ42" i="5"/>
  <c r="AS42" i="5"/>
  <c r="F42" i="5"/>
  <c r="G42" i="5"/>
  <c r="AP43" i="5"/>
  <c r="AQ43" i="5"/>
  <c r="AS43" i="5"/>
  <c r="F43" i="5"/>
  <c r="G43" i="5"/>
  <c r="AP44" i="5"/>
  <c r="AQ44" i="5"/>
  <c r="AS44" i="5"/>
  <c r="F44" i="5"/>
  <c r="G44" i="5"/>
  <c r="AP45" i="5"/>
  <c r="AQ45" i="5"/>
  <c r="AS45" i="5"/>
  <c r="F45" i="5"/>
  <c r="G45" i="5"/>
  <c r="AP46" i="5"/>
  <c r="AQ46" i="5"/>
  <c r="AS46" i="5"/>
  <c r="F46" i="5"/>
  <c r="G46" i="5"/>
  <c r="G34" i="5"/>
  <c r="F34" i="5"/>
  <c r="AS34" i="5"/>
  <c r="AQ34" i="5"/>
  <c r="AP34" i="5"/>
  <c r="E33" i="5"/>
  <c r="K33" i="5" s="1"/>
  <c r="AE33" i="5" s="1"/>
  <c r="G33" i="5"/>
  <c r="F33" i="5"/>
  <c r="AS33" i="5"/>
  <c r="AQ33" i="5"/>
  <c r="AP33" i="5"/>
  <c r="G32" i="5"/>
  <c r="F32" i="5"/>
  <c r="AS32" i="5"/>
  <c r="AQ32" i="5"/>
  <c r="AP32" i="5"/>
  <c r="G31" i="5"/>
  <c r="F31" i="5"/>
  <c r="AS31" i="5"/>
  <c r="AQ31" i="5"/>
  <c r="AP31" i="5"/>
  <c r="G30" i="5"/>
  <c r="F30" i="5"/>
  <c r="AS30" i="5"/>
  <c r="AQ30" i="5"/>
  <c r="AP30" i="5"/>
  <c r="G29" i="5"/>
  <c r="F29" i="5"/>
  <c r="AS29" i="5"/>
  <c r="AQ29" i="5"/>
  <c r="AP29" i="5"/>
  <c r="G28" i="5"/>
  <c r="F28" i="5"/>
  <c r="AS28" i="5"/>
  <c r="AQ28" i="5"/>
  <c r="AP28" i="5"/>
  <c r="G27" i="5"/>
  <c r="D27" i="5"/>
  <c r="J27" i="5" s="1"/>
  <c r="AD27" i="5" s="1"/>
  <c r="F27" i="5"/>
  <c r="AS27" i="5"/>
  <c r="AQ27" i="5"/>
  <c r="AP27" i="5"/>
  <c r="G26" i="5"/>
  <c r="F26" i="5"/>
  <c r="AS26" i="5"/>
  <c r="AQ26" i="5"/>
  <c r="AP26" i="5"/>
  <c r="G25" i="5"/>
  <c r="F25" i="5"/>
  <c r="AS25" i="5"/>
  <c r="AQ25" i="5"/>
  <c r="AP25" i="5"/>
  <c r="G24" i="5"/>
  <c r="F24" i="5"/>
  <c r="AS24" i="5"/>
  <c r="AQ24" i="5"/>
  <c r="AP24" i="5"/>
  <c r="G23" i="5"/>
  <c r="F23" i="5"/>
  <c r="AS23" i="5"/>
  <c r="AQ23" i="5"/>
  <c r="AP23" i="5"/>
  <c r="G22" i="5"/>
  <c r="F22" i="5"/>
  <c r="AS22" i="5"/>
  <c r="AQ22" i="5"/>
  <c r="AP22" i="5"/>
  <c r="G21" i="5"/>
  <c r="F21" i="5"/>
  <c r="AS21" i="5"/>
  <c r="AQ21" i="5"/>
  <c r="AP21" i="5"/>
  <c r="G20" i="5"/>
  <c r="F20" i="5"/>
  <c r="AS20" i="5"/>
  <c r="AQ20" i="5"/>
  <c r="AP20" i="5"/>
  <c r="G19" i="5"/>
  <c r="F19" i="5"/>
  <c r="AS19" i="5"/>
  <c r="AQ19" i="5"/>
  <c r="AP19" i="5"/>
  <c r="G18" i="5"/>
  <c r="F18" i="5"/>
  <c r="AS18" i="5"/>
  <c r="AQ18" i="5"/>
  <c r="AP18" i="5"/>
  <c r="G17" i="5"/>
  <c r="F17" i="5"/>
  <c r="AS17" i="5"/>
  <c r="AQ17" i="5"/>
  <c r="AP17" i="5"/>
  <c r="G16" i="5"/>
  <c r="F16" i="5"/>
  <c r="AS16" i="5"/>
  <c r="AQ16" i="5"/>
  <c r="AP16" i="5"/>
  <c r="G15" i="5"/>
  <c r="F15" i="5"/>
  <c r="AS15" i="5"/>
  <c r="AQ15" i="5"/>
  <c r="AP15" i="5"/>
  <c r="G14" i="5"/>
  <c r="F14" i="5"/>
  <c r="AS14" i="5"/>
  <c r="AQ14" i="5"/>
  <c r="AP14" i="5"/>
  <c r="G13" i="5"/>
  <c r="F13" i="5"/>
  <c r="AS13" i="5"/>
  <c r="AQ13" i="5"/>
  <c r="AP13" i="5"/>
  <c r="E12" i="5"/>
  <c r="K12" i="5" s="1"/>
  <c r="AE12" i="5" s="1"/>
  <c r="G12" i="5"/>
  <c r="F12" i="5"/>
  <c r="AS12" i="5"/>
  <c r="AQ12" i="5"/>
  <c r="AP12" i="5"/>
  <c r="G11" i="5"/>
  <c r="F11" i="5"/>
  <c r="AS11" i="5"/>
  <c r="AQ11" i="5"/>
  <c r="AP11" i="5"/>
  <c r="G10" i="5"/>
  <c r="F10" i="5"/>
  <c r="AS10" i="5"/>
  <c r="AQ10" i="5"/>
  <c r="AP10" i="5"/>
  <c r="G9" i="5"/>
  <c r="F9" i="5"/>
  <c r="AS9" i="5"/>
  <c r="AQ9" i="5"/>
  <c r="AP9" i="5"/>
  <c r="G8" i="5"/>
  <c r="F8" i="5"/>
  <c r="AS8" i="5"/>
  <c r="AQ8" i="5"/>
  <c r="AP8" i="5"/>
  <c r="G7" i="5"/>
  <c r="F7" i="5"/>
  <c r="AS7" i="5"/>
  <c r="AQ7" i="5"/>
  <c r="AP7" i="5"/>
  <c r="G6" i="5"/>
  <c r="F6" i="5"/>
  <c r="AS6" i="5"/>
  <c r="AQ6" i="5"/>
  <c r="AP6" i="5"/>
  <c r="AN22" i="4"/>
  <c r="AO22" i="4"/>
  <c r="AP22" i="4"/>
  <c r="AQ22" i="4"/>
  <c r="F22" i="4"/>
  <c r="G22" i="4"/>
  <c r="AN23" i="4"/>
  <c r="AO23" i="4"/>
  <c r="AP23" i="4"/>
  <c r="AQ23" i="4"/>
  <c r="F23" i="4"/>
  <c r="G23" i="4"/>
  <c r="AN24" i="4"/>
  <c r="AO24" i="4"/>
  <c r="AP24" i="4"/>
  <c r="AQ24" i="4"/>
  <c r="F24" i="4"/>
  <c r="G24" i="4"/>
  <c r="AN25" i="4"/>
  <c r="AO25" i="4"/>
  <c r="AP25" i="4"/>
  <c r="AQ25" i="4"/>
  <c r="F25" i="4"/>
  <c r="G25" i="4"/>
  <c r="AN26" i="4"/>
  <c r="AO26" i="4"/>
  <c r="AP26" i="4"/>
  <c r="AQ26" i="4"/>
  <c r="F26" i="4"/>
  <c r="G26" i="4"/>
  <c r="AN27" i="4"/>
  <c r="AO27" i="4"/>
  <c r="AP27" i="4"/>
  <c r="AQ27" i="4"/>
  <c r="F27" i="4"/>
  <c r="G27" i="4"/>
  <c r="AN28" i="4"/>
  <c r="AO28" i="4"/>
  <c r="AP28" i="4"/>
  <c r="AQ28" i="4"/>
  <c r="F28" i="4"/>
  <c r="G28" i="4"/>
  <c r="AN29" i="4"/>
  <c r="AO29" i="4"/>
  <c r="AP29" i="4"/>
  <c r="AQ29" i="4"/>
  <c r="F29" i="4"/>
  <c r="G29" i="4"/>
  <c r="AN30" i="4"/>
  <c r="AO30" i="4"/>
  <c r="AP30" i="4"/>
  <c r="AQ30" i="4"/>
  <c r="F30" i="4"/>
  <c r="G30" i="4"/>
  <c r="AN31" i="4"/>
  <c r="AO31" i="4"/>
  <c r="AP31" i="4"/>
  <c r="AQ31" i="4"/>
  <c r="F31" i="4"/>
  <c r="G31" i="4"/>
  <c r="AN32" i="4"/>
  <c r="AO32" i="4"/>
  <c r="AP32" i="4"/>
  <c r="AQ32" i="4"/>
  <c r="F32" i="4"/>
  <c r="G32" i="4"/>
  <c r="AN33" i="4"/>
  <c r="AO33" i="4"/>
  <c r="AP33" i="4"/>
  <c r="AQ33" i="4"/>
  <c r="F33" i="4"/>
  <c r="G33" i="4"/>
  <c r="AN34" i="4"/>
  <c r="AO34" i="4"/>
  <c r="AP34" i="4"/>
  <c r="AQ34" i="4"/>
  <c r="F34" i="4"/>
  <c r="G34" i="4"/>
  <c r="AN35" i="4"/>
  <c r="AO35" i="4"/>
  <c r="AP35" i="4"/>
  <c r="AQ35" i="4"/>
  <c r="F35" i="4"/>
  <c r="G35" i="4"/>
  <c r="AN36" i="4"/>
  <c r="AO36" i="4"/>
  <c r="AP36" i="4"/>
  <c r="AQ36" i="4"/>
  <c r="F36" i="4"/>
  <c r="G36" i="4"/>
  <c r="AN37" i="4"/>
  <c r="AO37" i="4"/>
  <c r="AP37" i="4"/>
  <c r="AQ37" i="4"/>
  <c r="F37" i="4"/>
  <c r="G37" i="4"/>
  <c r="G21" i="4"/>
  <c r="F21" i="4"/>
  <c r="AQ21" i="4"/>
  <c r="AP21" i="4"/>
  <c r="AO21" i="4"/>
  <c r="AN21" i="4"/>
  <c r="G20" i="4"/>
  <c r="F20" i="4"/>
  <c r="AQ20" i="4"/>
  <c r="AP20" i="4"/>
  <c r="AO20" i="4"/>
  <c r="AN20" i="4"/>
  <c r="G19" i="4"/>
  <c r="F19" i="4"/>
  <c r="AQ19" i="4"/>
  <c r="AP19" i="4"/>
  <c r="AO19" i="4"/>
  <c r="AN19" i="4"/>
  <c r="G18" i="4"/>
  <c r="F18" i="4"/>
  <c r="AQ18" i="4"/>
  <c r="AP18" i="4"/>
  <c r="AO18" i="4"/>
  <c r="AN18" i="4"/>
  <c r="G17" i="4"/>
  <c r="F17" i="4"/>
  <c r="AQ17" i="4"/>
  <c r="AP17" i="4"/>
  <c r="AO17" i="4"/>
  <c r="AN17" i="4"/>
  <c r="G16" i="4"/>
  <c r="F16" i="4"/>
  <c r="AQ16" i="4"/>
  <c r="AP16" i="4"/>
  <c r="AO16" i="4"/>
  <c r="AN16" i="4"/>
  <c r="G15" i="4"/>
  <c r="F15" i="4"/>
  <c r="AQ15" i="4"/>
  <c r="AP15" i="4"/>
  <c r="AO15" i="4"/>
  <c r="AN15" i="4"/>
  <c r="G14" i="4"/>
  <c r="F14" i="4"/>
  <c r="AQ14" i="4"/>
  <c r="AP14" i="4"/>
  <c r="AO14" i="4"/>
  <c r="AN14" i="4"/>
  <c r="G13" i="4"/>
  <c r="F13" i="4"/>
  <c r="AQ13" i="4"/>
  <c r="AP13" i="4"/>
  <c r="AO13" i="4"/>
  <c r="AN13" i="4"/>
  <c r="G12" i="4"/>
  <c r="F12" i="4"/>
  <c r="AQ12" i="4"/>
  <c r="AP12" i="4"/>
  <c r="AO12" i="4"/>
  <c r="AN12" i="4"/>
  <c r="G11" i="4"/>
  <c r="F11" i="4"/>
  <c r="AQ11" i="4"/>
  <c r="AP11" i="4"/>
  <c r="AO11" i="4"/>
  <c r="AN11" i="4"/>
  <c r="G10" i="4"/>
  <c r="F10" i="4"/>
  <c r="AQ10" i="4"/>
  <c r="AP10" i="4"/>
  <c r="AO10" i="4"/>
  <c r="AN10" i="4"/>
  <c r="G9" i="4"/>
  <c r="F9" i="4"/>
  <c r="AQ9" i="4"/>
  <c r="AP9" i="4"/>
  <c r="AO9" i="4"/>
  <c r="AN9" i="4"/>
  <c r="AB46" i="5"/>
  <c r="AG46" i="5"/>
  <c r="AC46" i="5"/>
  <c r="AB45" i="5"/>
  <c r="AG45" i="5"/>
  <c r="AC45" i="5"/>
  <c r="AB44" i="5"/>
  <c r="AG44" i="5" s="1"/>
  <c r="AC44" i="5"/>
  <c r="AB43" i="5"/>
  <c r="AG43" i="5" s="1"/>
  <c r="AC43" i="5"/>
  <c r="AB42" i="5"/>
  <c r="AG42" i="5"/>
  <c r="AC42" i="5"/>
  <c r="AB41" i="5"/>
  <c r="AG41" i="5" s="1"/>
  <c r="AC41" i="5"/>
  <c r="AB40" i="5"/>
  <c r="AG40" i="5"/>
  <c r="AC40" i="5"/>
  <c r="AB39" i="5"/>
  <c r="AG39" i="5"/>
  <c r="AC39" i="5"/>
  <c r="AB38" i="5"/>
  <c r="AG38" i="5"/>
  <c r="AC38" i="5"/>
  <c r="AB37" i="5"/>
  <c r="AG37" i="5" s="1"/>
  <c r="AC37" i="5"/>
  <c r="AB36" i="5"/>
  <c r="AG36" i="5" s="1"/>
  <c r="AC36" i="5"/>
  <c r="AB35" i="5"/>
  <c r="AG35" i="5"/>
  <c r="AC35" i="5"/>
  <c r="AB34" i="5"/>
  <c r="AG34" i="5" s="1"/>
  <c r="AC34" i="5"/>
  <c r="AB33" i="5"/>
  <c r="AG33" i="5" s="1"/>
  <c r="AC33" i="5"/>
  <c r="AB32" i="5"/>
  <c r="AG32" i="5"/>
  <c r="AC32" i="5"/>
  <c r="AB31" i="5"/>
  <c r="AG31" i="5" s="1"/>
  <c r="AC31" i="5"/>
  <c r="AB30" i="5"/>
  <c r="AG30" i="5"/>
  <c r="AC30" i="5"/>
  <c r="AG29" i="5"/>
  <c r="AC29" i="5"/>
  <c r="AB29" i="5"/>
  <c r="AG28" i="5"/>
  <c r="AC28" i="5"/>
  <c r="AB28" i="5"/>
  <c r="AG27" i="5"/>
  <c r="AC27" i="5"/>
  <c r="AB27" i="5"/>
  <c r="AG26" i="5"/>
  <c r="AC26" i="5"/>
  <c r="AB26" i="5"/>
  <c r="AG25" i="5"/>
  <c r="AC25" i="5"/>
  <c r="AB25" i="5"/>
  <c r="AG24" i="5"/>
  <c r="AC24" i="5"/>
  <c r="AB24" i="5"/>
  <c r="AG23" i="5"/>
  <c r="AC23" i="5"/>
  <c r="AB23" i="5"/>
  <c r="AG22" i="5"/>
  <c r="AC22" i="5"/>
  <c r="AB22" i="5"/>
  <c r="AG21" i="5"/>
  <c r="AC21" i="5"/>
  <c r="AB21" i="5"/>
  <c r="AG20" i="5"/>
  <c r="AC20" i="5"/>
  <c r="AB20" i="5"/>
  <c r="AG19" i="5"/>
  <c r="AC19" i="5"/>
  <c r="AB19" i="5"/>
  <c r="AG18" i="5"/>
  <c r="AC18" i="5"/>
  <c r="AB18" i="5"/>
  <c r="AG17" i="5"/>
  <c r="AC17" i="5"/>
  <c r="AB17" i="5"/>
  <c r="AG16" i="5"/>
  <c r="AC16" i="5"/>
  <c r="AB16" i="5"/>
  <c r="AG15" i="5"/>
  <c r="AC15" i="5"/>
  <c r="AB15" i="5"/>
  <c r="AG14" i="5"/>
  <c r="AC14" i="5"/>
  <c r="AB14" i="5"/>
  <c r="AG13" i="5"/>
  <c r="AC13" i="5"/>
  <c r="AB13" i="5"/>
  <c r="AG12" i="5"/>
  <c r="AC12" i="5"/>
  <c r="AB12" i="5"/>
  <c r="AG11" i="5"/>
  <c r="AC11" i="5"/>
  <c r="AB11" i="5"/>
  <c r="AG10" i="5"/>
  <c r="AC10" i="5"/>
  <c r="AB10" i="5"/>
  <c r="AG9" i="5"/>
  <c r="AC9" i="5"/>
  <c r="AB9" i="5"/>
  <c r="AG8" i="5"/>
  <c r="AC8" i="5"/>
  <c r="AB8" i="5"/>
  <c r="AG7" i="5"/>
  <c r="AC7" i="5"/>
  <c r="AB7" i="5"/>
  <c r="AG6" i="5"/>
  <c r="AC6" i="5"/>
  <c r="AB6" i="5"/>
  <c r="AL10" i="4"/>
  <c r="AL11" i="4"/>
  <c r="AL12" i="4"/>
  <c r="AL13" i="4"/>
  <c r="AL14" i="4"/>
  <c r="AL15" i="4"/>
  <c r="AL16" i="4"/>
  <c r="AL17" i="4"/>
  <c r="AL18" i="4"/>
  <c r="AL19" i="4"/>
  <c r="AL20" i="4"/>
  <c r="AL21" i="4"/>
  <c r="AL22" i="4"/>
  <c r="AL23" i="4"/>
  <c r="AL24" i="4"/>
  <c r="AL25" i="4"/>
  <c r="AL26" i="4"/>
  <c r="AL27" i="4"/>
  <c r="AL28" i="4"/>
  <c r="AL29" i="4"/>
  <c r="AL30" i="4"/>
  <c r="AL31" i="4"/>
  <c r="AL32" i="4"/>
  <c r="AL33" i="4"/>
  <c r="AL34" i="4"/>
  <c r="AL35" i="4"/>
  <c r="AL36" i="4"/>
  <c r="AL37" i="4"/>
  <c r="AL9" i="4"/>
  <c r="AC37" i="4"/>
  <c r="AC36" i="4"/>
  <c r="AC35" i="4"/>
  <c r="AC34" i="4"/>
  <c r="AC33" i="4"/>
  <c r="AH14" i="4"/>
  <c r="AH13" i="4"/>
  <c r="AH10" i="4"/>
  <c r="AD37" i="4"/>
  <c r="AD36" i="4"/>
  <c r="AD35" i="4"/>
  <c r="AD34" i="4"/>
  <c r="AD33" i="4"/>
  <c r="AD32" i="4"/>
  <c r="AC32" i="4"/>
  <c r="AD31" i="4"/>
  <c r="AC31" i="4"/>
  <c r="AD30" i="4"/>
  <c r="AC30" i="4"/>
  <c r="AD29" i="4"/>
  <c r="AC29" i="4"/>
  <c r="AD28" i="4"/>
  <c r="AC28" i="4"/>
  <c r="AD27" i="4"/>
  <c r="AC27" i="4"/>
  <c r="AD26" i="4"/>
  <c r="AC26" i="4"/>
  <c r="AD25" i="4"/>
  <c r="AC25" i="4"/>
  <c r="AC24" i="4"/>
  <c r="AD23" i="4"/>
  <c r="AC23" i="4"/>
  <c r="AD22" i="4"/>
  <c r="AC22" i="4"/>
  <c r="AD21" i="4"/>
  <c r="AC21" i="4"/>
  <c r="AD20" i="4"/>
  <c r="AC20" i="4"/>
  <c r="AD19" i="4"/>
  <c r="AC19" i="4"/>
  <c r="AD18" i="4"/>
  <c r="AC18" i="4"/>
  <c r="AD17" i="4"/>
  <c r="AC17" i="4"/>
  <c r="AD16" i="4"/>
  <c r="AC16" i="4"/>
  <c r="AD15" i="4"/>
  <c r="AC15" i="4"/>
  <c r="AD14" i="4"/>
  <c r="AC14" i="4"/>
  <c r="AD13" i="4"/>
  <c r="AC13" i="4"/>
  <c r="AD12" i="4"/>
  <c r="AC12" i="4"/>
  <c r="AD11" i="4"/>
  <c r="AC11" i="4"/>
  <c r="AD10" i="4"/>
  <c r="AC10" i="4"/>
  <c r="AD9" i="4"/>
  <c r="AC9" i="4"/>
  <c r="AY20" i="9" l="1"/>
  <c r="BB20" i="9" s="1"/>
  <c r="BS20" i="9" s="1"/>
  <c r="BP20" i="9" s="1"/>
  <c r="BQ20" i="9" s="1"/>
  <c r="AV18" i="9"/>
  <c r="AV28" i="9"/>
  <c r="AV24" i="9"/>
  <c r="AY12" i="9"/>
  <c r="BB12" i="9" s="1"/>
  <c r="BS12" i="9" s="1"/>
  <c r="BP12" i="9" s="1"/>
  <c r="BQ12" i="9" s="1"/>
  <c r="AX14" i="9"/>
  <c r="AZ14" i="9" s="1"/>
  <c r="BK14" i="9" s="1"/>
  <c r="BH14" i="9" s="1"/>
  <c r="BI14" i="9" s="1"/>
  <c r="D42" i="5"/>
  <c r="J42" i="5" s="1"/>
  <c r="AD42" i="5" s="1"/>
  <c r="AT42" i="5" s="1"/>
  <c r="AX23" i="9"/>
  <c r="AZ23" i="9" s="1"/>
  <c r="BK23" i="9" s="1"/>
  <c r="BH23" i="9" s="1"/>
  <c r="BI23" i="9" s="1"/>
  <c r="BA23" i="9"/>
  <c r="BA25" i="9"/>
  <c r="AX25" i="9"/>
  <c r="AZ25" i="9" s="1"/>
  <c r="BK25" i="9" s="1"/>
  <c r="BH25" i="9" s="1"/>
  <c r="BI25" i="9" s="1"/>
  <c r="AY21" i="9"/>
  <c r="BB21" i="9" s="1"/>
  <c r="BS21" i="9" s="1"/>
  <c r="BP21" i="9" s="1"/>
  <c r="BQ21" i="9" s="1"/>
  <c r="AT16" i="10"/>
  <c r="AW16" i="10" s="1"/>
  <c r="K42" i="5"/>
  <c r="AE42" i="5" s="1"/>
  <c r="AU42" i="5" s="1"/>
  <c r="AW11" i="8"/>
  <c r="AV22" i="8"/>
  <c r="W69" i="10"/>
  <c r="K40" i="5"/>
  <c r="AE40" i="5" s="1"/>
  <c r="AU40" i="5" s="1"/>
  <c r="V67" i="7"/>
  <c r="W50" i="7"/>
  <c r="AT34" i="7"/>
  <c r="AW34" i="7" s="1"/>
  <c r="AY13" i="9"/>
  <c r="BB13" i="9" s="1"/>
  <c r="BS13" i="9" s="1"/>
  <c r="BP13" i="9" s="1"/>
  <c r="BQ13" i="9" s="1"/>
  <c r="AD49" i="10"/>
  <c r="AF49" i="10" s="1"/>
  <c r="AE72" i="10"/>
  <c r="AT31" i="7"/>
  <c r="AW31" i="7" s="1"/>
  <c r="AC69" i="7"/>
  <c r="AE69" i="7" s="1"/>
  <c r="T12" i="4"/>
  <c r="AA12" i="4" s="1"/>
  <c r="AF67" i="7"/>
  <c r="AE58" i="10"/>
  <c r="V49" i="10"/>
  <c r="AC70" i="10"/>
  <c r="AE70" i="10" s="1"/>
  <c r="V46" i="10"/>
  <c r="K17" i="5"/>
  <c r="AE17" i="5" s="1"/>
  <c r="AU17" i="5" s="1"/>
  <c r="K27" i="5"/>
  <c r="AE27" i="5" s="1"/>
  <c r="AU27" i="5" s="1"/>
  <c r="E32" i="5"/>
  <c r="K32" i="5" s="1"/>
  <c r="AE32" i="5" s="1"/>
  <c r="K38" i="5"/>
  <c r="AE38" i="5" s="1"/>
  <c r="AU38" i="5" s="1"/>
  <c r="AC60" i="7"/>
  <c r="AC54" i="7"/>
  <c r="V61" i="10"/>
  <c r="K37" i="5"/>
  <c r="AE37" i="5" s="1"/>
  <c r="J25" i="5"/>
  <c r="AD25" i="5" s="1"/>
  <c r="AT25" i="5" s="1"/>
  <c r="K13" i="5"/>
  <c r="AE13" i="5" s="1"/>
  <c r="AU13" i="5" s="1"/>
  <c r="AY32" i="8"/>
  <c r="BB32" i="8" s="1"/>
  <c r="BS32" i="8" s="1"/>
  <c r="BP32" i="8" s="1"/>
  <c r="BQ32" i="8" s="1"/>
  <c r="AV22" i="9"/>
  <c r="AE57" i="10"/>
  <c r="AF61" i="10"/>
  <c r="V68" i="10"/>
  <c r="K36" i="5"/>
  <c r="AE36" i="5" s="1"/>
  <c r="AU36" i="5" s="1"/>
  <c r="J24" i="5"/>
  <c r="AD24" i="5" s="1"/>
  <c r="AT24" i="5" s="1"/>
  <c r="J12" i="5"/>
  <c r="AD12" i="5" s="1"/>
  <c r="AT12" i="5" s="1"/>
  <c r="AC58" i="7"/>
  <c r="BC24" i="9"/>
  <c r="AU30" i="10"/>
  <c r="AX30" i="10" s="1"/>
  <c r="V71" i="10"/>
  <c r="V53" i="10"/>
  <c r="K23" i="5"/>
  <c r="AE23" i="5" s="1"/>
  <c r="AU23" i="5" s="1"/>
  <c r="AV8" i="9"/>
  <c r="W49" i="10"/>
  <c r="AU31" i="10"/>
  <c r="AX31" i="10" s="1"/>
  <c r="V72" i="10"/>
  <c r="J22" i="5"/>
  <c r="AD22" i="5" s="1"/>
  <c r="AT22" i="5" s="1"/>
  <c r="K10" i="5"/>
  <c r="AE10" i="5" s="1"/>
  <c r="AU10" i="5" s="1"/>
  <c r="AW19" i="9"/>
  <c r="AV32" i="9"/>
  <c r="AE61" i="10"/>
  <c r="AE47" i="10"/>
  <c r="AE59" i="10"/>
  <c r="AC46" i="7"/>
  <c r="AV16" i="8"/>
  <c r="W68" i="10"/>
  <c r="AE75" i="10"/>
  <c r="BP46" i="13"/>
  <c r="BM5" i="13"/>
  <c r="BN5" i="13" s="1"/>
  <c r="BN46" i="13" s="1"/>
  <c r="D38" i="5"/>
  <c r="J38" i="5" s="1"/>
  <c r="AD38" i="5" s="1"/>
  <c r="AT38" i="5" s="1"/>
  <c r="D23" i="5"/>
  <c r="J23" i="5" s="1"/>
  <c r="AD23" i="5" s="1"/>
  <c r="AT23" i="5" s="1"/>
  <c r="E7" i="5"/>
  <c r="K7" i="5" s="1"/>
  <c r="AE7" i="5" s="1"/>
  <c r="AU7" i="5" s="1"/>
  <c r="D13" i="5"/>
  <c r="J13" i="5" s="1"/>
  <c r="AD13" i="5" s="1"/>
  <c r="AT13" i="5" s="1"/>
  <c r="E21" i="5"/>
  <c r="K21" i="5" s="1"/>
  <c r="AE21" i="5" s="1"/>
  <c r="AU21" i="5" s="1"/>
  <c r="E15" i="5"/>
  <c r="K15" i="5" s="1"/>
  <c r="AE15" i="5" s="1"/>
  <c r="AU15" i="5" s="1"/>
  <c r="E8" i="5"/>
  <c r="K8" i="5" s="1"/>
  <c r="AE8" i="5" s="1"/>
  <c r="AU8" i="5" s="1"/>
  <c r="D39" i="5"/>
  <c r="J39" i="5" s="1"/>
  <c r="AD39" i="5" s="1"/>
  <c r="AT39" i="5" s="1"/>
  <c r="AM36" i="5"/>
  <c r="V15" i="5"/>
  <c r="BA15" i="5" s="1"/>
  <c r="X15" i="5"/>
  <c r="Z15" i="5"/>
  <c r="Z30" i="5"/>
  <c r="X30" i="5"/>
  <c r="V30" i="5"/>
  <c r="V39" i="5"/>
  <c r="X39" i="5"/>
  <c r="Z39" i="5"/>
  <c r="W19" i="5"/>
  <c r="Y19" i="5"/>
  <c r="AA19" i="5"/>
  <c r="Y39" i="5"/>
  <c r="W39" i="5"/>
  <c r="BB39" i="5" s="1"/>
  <c r="AA39" i="5"/>
  <c r="E26" i="5"/>
  <c r="K26" i="5" s="1"/>
  <c r="AE26" i="5" s="1"/>
  <c r="D40" i="5"/>
  <c r="J40" i="5" s="1"/>
  <c r="AD40" i="5" s="1"/>
  <c r="AT40" i="5" s="1"/>
  <c r="Z38" i="5"/>
  <c r="V38" i="5"/>
  <c r="X38" i="5"/>
  <c r="V24" i="5"/>
  <c r="Z24" i="5"/>
  <c r="X24" i="5"/>
  <c r="X14" i="5"/>
  <c r="V14" i="5"/>
  <c r="Z14" i="5"/>
  <c r="V18" i="5"/>
  <c r="X18" i="5"/>
  <c r="Z18" i="5"/>
  <c r="Z45" i="5"/>
  <c r="V45" i="5"/>
  <c r="X45" i="5"/>
  <c r="AA23" i="5"/>
  <c r="W23" i="5"/>
  <c r="BB23" i="5" s="1"/>
  <c r="Y23" i="5"/>
  <c r="Y41" i="5"/>
  <c r="AA41" i="5"/>
  <c r="W41" i="5"/>
  <c r="E25" i="5"/>
  <c r="K25" i="5" s="1"/>
  <c r="AE25" i="5" s="1"/>
  <c r="AU25" i="5" s="1"/>
  <c r="AA37" i="5"/>
  <c r="Y37" i="5"/>
  <c r="W37" i="5"/>
  <c r="BB37" i="5" s="1"/>
  <c r="Z23" i="5"/>
  <c r="V23" i="5"/>
  <c r="X23" i="5"/>
  <c r="Y13" i="5"/>
  <c r="W13" i="5"/>
  <c r="AA13" i="5"/>
  <c r="W27" i="5"/>
  <c r="Y27" i="5"/>
  <c r="AA27" i="5"/>
  <c r="Y45" i="5"/>
  <c r="W45" i="5"/>
  <c r="AA45" i="5"/>
  <c r="E43" i="5"/>
  <c r="K43" i="5" s="1"/>
  <c r="AE43" i="5" s="1"/>
  <c r="AU43" i="5" s="1"/>
  <c r="W22" i="5"/>
  <c r="AA22" i="5"/>
  <c r="Y22" i="5"/>
  <c r="J6" i="5"/>
  <c r="AD6" i="5" s="1"/>
  <c r="AT6" i="5" s="1"/>
  <c r="AA46" i="5"/>
  <c r="W46" i="5"/>
  <c r="Y46" i="5"/>
  <c r="Z32" i="5"/>
  <c r="X32" i="5"/>
  <c r="V32" i="5"/>
  <c r="BA32" i="5" s="1"/>
  <c r="W21" i="5"/>
  <c r="AA21" i="5"/>
  <c r="Y21" i="5"/>
  <c r="Y10" i="5"/>
  <c r="AA10" i="5"/>
  <c r="W10" i="5"/>
  <c r="V7" i="5"/>
  <c r="BA7" i="5" s="1"/>
  <c r="X7" i="5"/>
  <c r="Z7" i="5"/>
  <c r="W6" i="5"/>
  <c r="Y6" i="5"/>
  <c r="AA6" i="5"/>
  <c r="W33" i="5"/>
  <c r="BB33" i="5" s="1"/>
  <c r="AA33" i="5"/>
  <c r="Y33" i="5"/>
  <c r="V25" i="5"/>
  <c r="Z25" i="5"/>
  <c r="X25" i="5"/>
  <c r="W36" i="5"/>
  <c r="AA36" i="5"/>
  <c r="Y36" i="5"/>
  <c r="W30" i="5"/>
  <c r="Y30" i="5"/>
  <c r="AA30" i="5"/>
  <c r="D14" i="5"/>
  <c r="J14" i="5" s="1"/>
  <c r="AD14" i="5" s="1"/>
  <c r="AT14" i="5" s="1"/>
  <c r="V33" i="5"/>
  <c r="BA33" i="5" s="1"/>
  <c r="X33" i="5"/>
  <c r="Z33" i="5"/>
  <c r="AA11" i="5"/>
  <c r="Y11" i="5"/>
  <c r="W11" i="5"/>
  <c r="X6" i="5"/>
  <c r="Z6" i="5"/>
  <c r="V6" i="5"/>
  <c r="D37" i="5"/>
  <c r="J37" i="5" s="1"/>
  <c r="AD37" i="5" s="1"/>
  <c r="AT37" i="5" s="1"/>
  <c r="X46" i="5"/>
  <c r="V46" i="5"/>
  <c r="Z46" i="5"/>
  <c r="Z31" i="5"/>
  <c r="X31" i="5"/>
  <c r="V31" i="5"/>
  <c r="BA31" i="5" s="1"/>
  <c r="AA20" i="5"/>
  <c r="W20" i="5"/>
  <c r="Y20" i="5"/>
  <c r="Z12" i="5"/>
  <c r="V12" i="5"/>
  <c r="X12" i="5"/>
  <c r="Y9" i="5"/>
  <c r="AA9" i="5"/>
  <c r="W9" i="5"/>
  <c r="BB9" i="5" s="1"/>
  <c r="AA34" i="5"/>
  <c r="Y34" i="5"/>
  <c r="W34" i="5"/>
  <c r="Y16" i="5"/>
  <c r="W16" i="5"/>
  <c r="AA16" i="5"/>
  <c r="Z41" i="5"/>
  <c r="V41" i="5"/>
  <c r="BA41" i="5" s="1"/>
  <c r="X41" i="5"/>
  <c r="Z13" i="5"/>
  <c r="V13" i="5"/>
  <c r="X13" i="5"/>
  <c r="V22" i="5"/>
  <c r="X22" i="5"/>
  <c r="Z22" i="5"/>
  <c r="AA31" i="5"/>
  <c r="W31" i="5"/>
  <c r="Y31" i="5"/>
  <c r="E22" i="5"/>
  <c r="K22" i="5" s="1"/>
  <c r="AE22" i="5" s="1"/>
  <c r="AU22" i="5" s="1"/>
  <c r="Y44" i="5"/>
  <c r="W44" i="5"/>
  <c r="AA44" i="5"/>
  <c r="Y28" i="5"/>
  <c r="AA28" i="5"/>
  <c r="W28" i="5"/>
  <c r="BB28" i="5" s="1"/>
  <c r="X16" i="5"/>
  <c r="Z16" i="5"/>
  <c r="V16" i="5"/>
  <c r="BA16" i="5" s="1"/>
  <c r="V8" i="5"/>
  <c r="BA8" i="5" s="1"/>
  <c r="Z8" i="5"/>
  <c r="X8" i="5"/>
  <c r="V36" i="5"/>
  <c r="X36" i="5"/>
  <c r="Z36" i="5"/>
  <c r="AA18" i="5"/>
  <c r="W18" i="5"/>
  <c r="Y18" i="5"/>
  <c r="AA35" i="5"/>
  <c r="W35" i="5"/>
  <c r="Y35" i="5"/>
  <c r="Y17" i="5"/>
  <c r="AA17" i="5"/>
  <c r="W17" i="5"/>
  <c r="AW17" i="5" s="1"/>
  <c r="E44" i="5"/>
  <c r="K44" i="5" s="1"/>
  <c r="AE44" i="5" s="1"/>
  <c r="AU44" i="5" s="1"/>
  <c r="T43" i="5"/>
  <c r="S37" i="5"/>
  <c r="D28" i="5"/>
  <c r="J28" i="5" s="1"/>
  <c r="AD28" i="5" s="1"/>
  <c r="AT28" i="5" s="1"/>
  <c r="D9" i="5"/>
  <c r="J9" i="5" s="1"/>
  <c r="AD9" i="5" s="1"/>
  <c r="AT9" i="5" s="1"/>
  <c r="D17" i="5"/>
  <c r="J17" i="5" s="1"/>
  <c r="AD17" i="5" s="1"/>
  <c r="AT17" i="5" s="1"/>
  <c r="E16" i="5"/>
  <c r="K16" i="5" s="1"/>
  <c r="AE16" i="5" s="1"/>
  <c r="AU16" i="5" s="1"/>
  <c r="AT26" i="5"/>
  <c r="AU37" i="5"/>
  <c r="E41" i="5"/>
  <c r="K41" i="5" s="1"/>
  <c r="AE41" i="5" s="1"/>
  <c r="AU41" i="5" s="1"/>
  <c r="T26" i="5"/>
  <c r="T8" i="5"/>
  <c r="E20" i="5"/>
  <c r="K20" i="5" s="1"/>
  <c r="AE20" i="5" s="1"/>
  <c r="S44" i="5"/>
  <c r="T29" i="5"/>
  <c r="S26" i="5"/>
  <c r="D36" i="5"/>
  <c r="J36" i="5" s="1"/>
  <c r="AD36" i="5" s="1"/>
  <c r="AT36" i="5" s="1"/>
  <c r="E6" i="5"/>
  <c r="S9" i="5"/>
  <c r="S27" i="5"/>
  <c r="AT19" i="5"/>
  <c r="E30" i="5"/>
  <c r="K30" i="5" s="1"/>
  <c r="AE30" i="5" s="1"/>
  <c r="AU30" i="5" s="1"/>
  <c r="D30" i="5"/>
  <c r="J30" i="5" s="1"/>
  <c r="AD30" i="5" s="1"/>
  <c r="T40" i="5"/>
  <c r="S29" i="5"/>
  <c r="S28" i="5"/>
  <c r="S35" i="5"/>
  <c r="E19" i="5"/>
  <c r="K19" i="5" s="1"/>
  <c r="AE19" i="5" s="1"/>
  <c r="AU19" i="5" s="1"/>
  <c r="E24" i="5"/>
  <c r="K24" i="5" s="1"/>
  <c r="AE24" i="5" s="1"/>
  <c r="AU24" i="5" s="1"/>
  <c r="AT31" i="5"/>
  <c r="S21" i="5"/>
  <c r="S20" i="5"/>
  <c r="S43" i="5"/>
  <c r="T25" i="5"/>
  <c r="S11" i="5"/>
  <c r="E35" i="5"/>
  <c r="K35" i="5" s="1"/>
  <c r="AE35" i="5" s="1"/>
  <c r="D35" i="5"/>
  <c r="J35" i="5" s="1"/>
  <c r="AD35" i="5" s="1"/>
  <c r="E45" i="5"/>
  <c r="K45" i="5" s="1"/>
  <c r="AE45" i="5" s="1"/>
  <c r="D45" i="5"/>
  <c r="J45" i="5" s="1"/>
  <c r="AD45" i="5" s="1"/>
  <c r="D34" i="5"/>
  <c r="J34" i="5" s="1"/>
  <c r="AD34" i="5" s="1"/>
  <c r="E34" i="5"/>
  <c r="K34" i="5" s="1"/>
  <c r="AE34" i="5" s="1"/>
  <c r="S34" i="5"/>
  <c r="T14" i="5"/>
  <c r="S17" i="5"/>
  <c r="D29" i="5"/>
  <c r="J29" i="5" s="1"/>
  <c r="AD29" i="5" s="1"/>
  <c r="AT29" i="5" s="1"/>
  <c r="E29" i="5"/>
  <c r="K29" i="5" s="1"/>
  <c r="AE29" i="5" s="1"/>
  <c r="T7" i="5"/>
  <c r="D10" i="5"/>
  <c r="J10" i="5" s="1"/>
  <c r="AD10" i="5" s="1"/>
  <c r="AT10" i="5" s="1"/>
  <c r="AT33" i="5"/>
  <c r="AT44" i="5"/>
  <c r="D11" i="5"/>
  <c r="J11" i="5" s="1"/>
  <c r="AD11" i="5" s="1"/>
  <c r="AT11" i="5" s="1"/>
  <c r="E11" i="5"/>
  <c r="K11" i="5" s="1"/>
  <c r="AE11" i="5" s="1"/>
  <c r="T32" i="5"/>
  <c r="AT41" i="5"/>
  <c r="E18" i="5"/>
  <c r="K18" i="5" s="1"/>
  <c r="AE18" i="5" s="1"/>
  <c r="D18" i="5"/>
  <c r="J18" i="5" s="1"/>
  <c r="AD18" i="5" s="1"/>
  <c r="AT18" i="5" s="1"/>
  <c r="S10" i="5"/>
  <c r="E46" i="5"/>
  <c r="K46" i="5" s="1"/>
  <c r="AE46" i="5" s="1"/>
  <c r="AU46" i="5" s="1"/>
  <c r="D46" i="5"/>
  <c r="J46" i="5" s="1"/>
  <c r="AD46" i="5" s="1"/>
  <c r="AT46" i="5" s="1"/>
  <c r="AT27" i="5"/>
  <c r="S42" i="5"/>
  <c r="T24" i="5"/>
  <c r="T15" i="5"/>
  <c r="T42" i="5"/>
  <c r="S40" i="5"/>
  <c r="T38" i="5"/>
  <c r="E31" i="5"/>
  <c r="K31" i="5" s="1"/>
  <c r="AE31" i="5" s="1"/>
  <c r="S19" i="5"/>
  <c r="T12" i="5"/>
  <c r="AU14" i="5"/>
  <c r="AT7" i="5"/>
  <c r="AT15" i="5"/>
  <c r="AU33" i="5"/>
  <c r="AT8" i="5"/>
  <c r="AU32" i="5"/>
  <c r="AU9" i="5"/>
  <c r="AT20" i="5"/>
  <c r="AU26" i="5"/>
  <c r="AT32" i="5"/>
  <c r="AT16" i="5"/>
  <c r="AU12" i="5"/>
  <c r="AT21" i="5"/>
  <c r="AT43" i="5"/>
  <c r="BP46" i="12"/>
  <c r="BM5" i="12"/>
  <c r="BN5" i="12" s="1"/>
  <c r="BN46" i="12" s="1"/>
  <c r="AF45" i="10"/>
  <c r="AF51" i="10"/>
  <c r="AE60" i="10"/>
  <c r="AD56" i="10"/>
  <c r="AF56" i="10" s="1"/>
  <c r="AE56" i="10"/>
  <c r="AU18" i="10"/>
  <c r="AX18" i="10" s="1"/>
  <c r="AB53" i="10"/>
  <c r="AW22" i="8"/>
  <c r="AV23" i="8"/>
  <c r="BA23" i="8" s="1"/>
  <c r="AV18" i="8"/>
  <c r="BA18" i="8" s="1"/>
  <c r="AW6" i="8"/>
  <c r="BC6" i="8" s="1"/>
  <c r="BA9" i="9"/>
  <c r="AY26" i="9"/>
  <c r="BB26" i="9" s="1"/>
  <c r="BS26" i="9" s="1"/>
  <c r="BP26" i="9" s="1"/>
  <c r="BQ26" i="9" s="1"/>
  <c r="AW32" i="9"/>
  <c r="AY32" i="9" s="1"/>
  <c r="BB32" i="9" s="1"/>
  <c r="BS32" i="9" s="1"/>
  <c r="BP32" i="9" s="1"/>
  <c r="BQ32" i="9" s="1"/>
  <c r="AX17" i="7"/>
  <c r="AX19" i="7"/>
  <c r="AX14" i="7"/>
  <c r="AX38" i="7" s="1"/>
  <c r="AE69" i="10"/>
  <c r="AF69" i="10"/>
  <c r="V69" i="10"/>
  <c r="AF65" i="10"/>
  <c r="AE50" i="10"/>
  <c r="V50" i="10"/>
  <c r="AD50" i="10"/>
  <c r="AF50" i="10" s="1"/>
  <c r="AF46" i="10"/>
  <c r="W70" i="10"/>
  <c r="AD64" i="10"/>
  <c r="AF64" i="10" s="1"/>
  <c r="V64" i="10"/>
  <c r="AU26" i="10"/>
  <c r="AX26" i="10" s="1"/>
  <c r="AC71" i="10"/>
  <c r="AE71" i="10" s="1"/>
  <c r="AT33" i="10"/>
  <c r="AW33" i="10" s="1"/>
  <c r="AD63" i="10"/>
  <c r="AF63" i="10" s="1"/>
  <c r="V63" i="10"/>
  <c r="AU25" i="10"/>
  <c r="AX25" i="10" s="1"/>
  <c r="W64" i="10"/>
  <c r="AT26" i="10"/>
  <c r="AW26" i="10" s="1"/>
  <c r="AC64" i="10"/>
  <c r="AE64" i="10" s="1"/>
  <c r="AE49" i="10"/>
  <c r="V48" i="10"/>
  <c r="AD48" i="10"/>
  <c r="AF48" i="10" s="1"/>
  <c r="AU10" i="10"/>
  <c r="AX10" i="10" s="1"/>
  <c r="AF53" i="10"/>
  <c r="AE51" i="10"/>
  <c r="AD70" i="10"/>
  <c r="AF70" i="10" s="1"/>
  <c r="AU32" i="10"/>
  <c r="AX32" i="10" s="1"/>
  <c r="V70" i="10"/>
  <c r="AD55" i="10"/>
  <c r="AF55" i="10" s="1"/>
  <c r="V55" i="10"/>
  <c r="AU17" i="10"/>
  <c r="AX17" i="10" s="1"/>
  <c r="AT24" i="10"/>
  <c r="AW24" i="10" s="1"/>
  <c r="AC62" i="10"/>
  <c r="AE62" i="10" s="1"/>
  <c r="AC55" i="10"/>
  <c r="AE55" i="10" s="1"/>
  <c r="AT17" i="10"/>
  <c r="AW17" i="10" s="1"/>
  <c r="AF75" i="10"/>
  <c r="AF72" i="10"/>
  <c r="AC67" i="10"/>
  <c r="AE67" i="10" s="1"/>
  <c r="AT29" i="10"/>
  <c r="AW29" i="10" s="1"/>
  <c r="AF71" i="10"/>
  <c r="AC52" i="10"/>
  <c r="AE52" i="10" s="1"/>
  <c r="AT14" i="10"/>
  <c r="AW14" i="10" s="1"/>
  <c r="AC65" i="10"/>
  <c r="AE65" i="10" s="1"/>
  <c r="AT27" i="10"/>
  <c r="AW27" i="10" s="1"/>
  <c r="AD62" i="10"/>
  <c r="AF62" i="10" s="1"/>
  <c r="V62" i="10"/>
  <c r="AU24" i="10"/>
  <c r="AX24" i="10" s="1"/>
  <c r="AD74" i="10"/>
  <c r="AF74" i="10" s="1"/>
  <c r="V74" i="10"/>
  <c r="AU36" i="10"/>
  <c r="AX36" i="10" s="1"/>
  <c r="AC73" i="10"/>
  <c r="AE73" i="10" s="1"/>
  <c r="AT35" i="10"/>
  <c r="AW35" i="10" s="1"/>
  <c r="AD67" i="10"/>
  <c r="AF67" i="10" s="1"/>
  <c r="V67" i="10"/>
  <c r="AU29" i="10"/>
  <c r="AX29" i="10" s="1"/>
  <c r="V75" i="10"/>
  <c r="AE68" i="10"/>
  <c r="AE74" i="10"/>
  <c r="AV6" i="8"/>
  <c r="BA6" i="8" s="1"/>
  <c r="BC9" i="8"/>
  <c r="AY9" i="8"/>
  <c r="BB9" i="8" s="1"/>
  <c r="BS9" i="8" s="1"/>
  <c r="BP9" i="8" s="1"/>
  <c r="BQ9" i="8" s="1"/>
  <c r="AW17" i="8"/>
  <c r="BC17" i="8" s="1"/>
  <c r="AY20" i="8"/>
  <c r="BB20" i="8" s="1"/>
  <c r="BS20" i="8" s="1"/>
  <c r="BP20" i="8" s="1"/>
  <c r="BQ20" i="8" s="1"/>
  <c r="BC20" i="8"/>
  <c r="BA20" i="8"/>
  <c r="AV26" i="8"/>
  <c r="BA26" i="8" s="1"/>
  <c r="AW16" i="8"/>
  <c r="BC16" i="8" s="1"/>
  <c r="AX9" i="8"/>
  <c r="AZ9" i="8" s="1"/>
  <c r="BK9" i="8" s="1"/>
  <c r="BA9" i="8"/>
  <c r="BA28" i="9"/>
  <c r="AX28" i="9"/>
  <c r="AZ28" i="9" s="1"/>
  <c r="BK28" i="9" s="1"/>
  <c r="BH28" i="9" s="1"/>
  <c r="BI28" i="9" s="1"/>
  <c r="AY30" i="9"/>
  <c r="BB30" i="9" s="1"/>
  <c r="BS30" i="9" s="1"/>
  <c r="BP30" i="9" s="1"/>
  <c r="BQ30" i="9" s="1"/>
  <c r="BC30" i="9"/>
  <c r="BC18" i="9"/>
  <c r="AY18" i="9"/>
  <c r="BB18" i="9" s="1"/>
  <c r="BS18" i="9" s="1"/>
  <c r="BP18" i="9" s="1"/>
  <c r="BQ18" i="9" s="1"/>
  <c r="AX18" i="9"/>
  <c r="AZ18" i="9" s="1"/>
  <c r="BK18" i="9" s="1"/>
  <c r="BH18" i="9" s="1"/>
  <c r="BI18" i="9" s="1"/>
  <c r="BA18" i="9"/>
  <c r="AY27" i="9"/>
  <c r="BB27" i="9" s="1"/>
  <c r="BS27" i="9" s="1"/>
  <c r="BP27" i="9" s="1"/>
  <c r="BQ27" i="9" s="1"/>
  <c r="BC27" i="9"/>
  <c r="BA8" i="9"/>
  <c r="AX8" i="9"/>
  <c r="AZ8" i="9" s="1"/>
  <c r="BK8" i="9" s="1"/>
  <c r="BH8" i="9" s="1"/>
  <c r="BI8" i="9" s="1"/>
  <c r="BC5" i="9"/>
  <c r="AY5" i="9"/>
  <c r="BC11" i="9"/>
  <c r="AY11" i="9"/>
  <c r="BB11" i="9" s="1"/>
  <c r="BS11" i="9" s="1"/>
  <c r="BP11" i="9" s="1"/>
  <c r="BQ11" i="9" s="1"/>
  <c r="AX32" i="9"/>
  <c r="AZ32" i="9" s="1"/>
  <c r="BK32" i="9" s="1"/>
  <c r="BH32" i="9" s="1"/>
  <c r="BI32" i="9" s="1"/>
  <c r="BA32" i="9"/>
  <c r="AV33" i="9"/>
  <c r="AY33" i="9"/>
  <c r="BB33" i="9" s="1"/>
  <c r="BS33" i="9" s="1"/>
  <c r="BP33" i="9" s="1"/>
  <c r="BQ33" i="9" s="1"/>
  <c r="BC33" i="9"/>
  <c r="BA11" i="9"/>
  <c r="AX11" i="9"/>
  <c r="AZ11" i="9" s="1"/>
  <c r="BK11" i="9" s="1"/>
  <c r="BH11" i="9" s="1"/>
  <c r="BI11" i="9" s="1"/>
  <c r="AY19" i="9"/>
  <c r="BB19" i="9" s="1"/>
  <c r="BS19" i="9" s="1"/>
  <c r="BP19" i="9" s="1"/>
  <c r="BQ19" i="9" s="1"/>
  <c r="BC19" i="9"/>
  <c r="BA20" i="9"/>
  <c r="AX20" i="9"/>
  <c r="AZ20" i="9" s="1"/>
  <c r="BK20" i="9" s="1"/>
  <c r="BH20" i="9" s="1"/>
  <c r="BI20" i="9" s="1"/>
  <c r="BA30" i="9"/>
  <c r="AX30" i="9"/>
  <c r="AZ30" i="9" s="1"/>
  <c r="BK30" i="9" s="1"/>
  <c r="BH30" i="9" s="1"/>
  <c r="BI30" i="9" s="1"/>
  <c r="AV27" i="9"/>
  <c r="BC15" i="9"/>
  <c r="AY15" i="9"/>
  <c r="BB15" i="9" s="1"/>
  <c r="BS15" i="9" s="1"/>
  <c r="BP15" i="9" s="1"/>
  <c r="BQ15" i="9" s="1"/>
  <c r="BA29" i="9"/>
  <c r="AX29" i="9"/>
  <c r="AZ29" i="9" s="1"/>
  <c r="BK29" i="9" s="1"/>
  <c r="BH29" i="9" s="1"/>
  <c r="BI29" i="9" s="1"/>
  <c r="AV19" i="9"/>
  <c r="S34" i="9"/>
  <c r="AX22" i="9"/>
  <c r="AZ22" i="9" s="1"/>
  <c r="BK22" i="9" s="1"/>
  <c r="BH22" i="9" s="1"/>
  <c r="BI22" i="9" s="1"/>
  <c r="BA22" i="9"/>
  <c r="AX31" i="9"/>
  <c r="AZ31" i="9" s="1"/>
  <c r="BK31" i="9" s="1"/>
  <c r="BH31" i="9" s="1"/>
  <c r="BI31" i="9" s="1"/>
  <c r="BA31" i="9"/>
  <c r="AX26" i="9"/>
  <c r="AZ26" i="9" s="1"/>
  <c r="BK26" i="9" s="1"/>
  <c r="BH26" i="9" s="1"/>
  <c r="BI26" i="9" s="1"/>
  <c r="BA26" i="9"/>
  <c r="BC23" i="9"/>
  <c r="AY23" i="9"/>
  <c r="BB23" i="9" s="1"/>
  <c r="BS23" i="9" s="1"/>
  <c r="BP23" i="9" s="1"/>
  <c r="BQ23" i="9" s="1"/>
  <c r="AW8" i="9"/>
  <c r="BA24" i="9"/>
  <c r="AX24" i="9"/>
  <c r="AZ24" i="9" s="1"/>
  <c r="BK24" i="9" s="1"/>
  <c r="BH24" i="9" s="1"/>
  <c r="BI24" i="9" s="1"/>
  <c r="AZ5" i="9"/>
  <c r="AX7" i="9"/>
  <c r="AZ7" i="9" s="1"/>
  <c r="BK7" i="9" s="1"/>
  <c r="BH7" i="9" s="1"/>
  <c r="BI7" i="9" s="1"/>
  <c r="BA7" i="9"/>
  <c r="AY31" i="9"/>
  <c r="BB31" i="9" s="1"/>
  <c r="BS31" i="9" s="1"/>
  <c r="BP31" i="9" s="1"/>
  <c r="BQ31" i="9" s="1"/>
  <c r="BC31" i="9"/>
  <c r="BA21" i="9"/>
  <c r="AX21" i="9"/>
  <c r="AZ21" i="9" s="1"/>
  <c r="BK21" i="9" s="1"/>
  <c r="BH21" i="9" s="1"/>
  <c r="BI21" i="9" s="1"/>
  <c r="AV27" i="8"/>
  <c r="BA27" i="8" s="1"/>
  <c r="AV21" i="8"/>
  <c r="AX21" i="8" s="1"/>
  <c r="AZ21" i="8" s="1"/>
  <c r="BK21" i="8" s="1"/>
  <c r="BH21" i="8" s="1"/>
  <c r="BI21" i="8" s="1"/>
  <c r="AV19" i="8"/>
  <c r="BA19" i="8" s="1"/>
  <c r="AW31" i="8"/>
  <c r="BC31" i="8" s="1"/>
  <c r="BC29" i="8"/>
  <c r="AV31" i="8"/>
  <c r="BA31" i="8" s="1"/>
  <c r="T34" i="8"/>
  <c r="S34" i="8"/>
  <c r="AY13" i="8"/>
  <c r="BB13" i="8" s="1"/>
  <c r="BS13" i="8" s="1"/>
  <c r="BP13" i="8" s="1"/>
  <c r="BQ13" i="8" s="1"/>
  <c r="BC13" i="8"/>
  <c r="AY28" i="8"/>
  <c r="BB28" i="8" s="1"/>
  <c r="BS28" i="8" s="1"/>
  <c r="BP28" i="8" s="1"/>
  <c r="BQ28" i="8" s="1"/>
  <c r="BC28" i="8"/>
  <c r="AY25" i="8"/>
  <c r="BB25" i="8" s="1"/>
  <c r="BS25" i="8" s="1"/>
  <c r="BP25" i="8" s="1"/>
  <c r="BQ25" i="8" s="1"/>
  <c r="BC25" i="8"/>
  <c r="AX13" i="8"/>
  <c r="AZ13" i="8" s="1"/>
  <c r="BK13" i="8" s="1"/>
  <c r="BH13" i="8" s="1"/>
  <c r="BI13" i="8" s="1"/>
  <c r="BA13" i="8"/>
  <c r="AX15" i="8"/>
  <c r="AZ15" i="8" s="1"/>
  <c r="BA15" i="8"/>
  <c r="AV30" i="8"/>
  <c r="AY24" i="8"/>
  <c r="BB24" i="8" s="1"/>
  <c r="BS24" i="8" s="1"/>
  <c r="BP24" i="8" s="1"/>
  <c r="BQ24" i="8" s="1"/>
  <c r="BC24" i="8"/>
  <c r="AX11" i="8"/>
  <c r="AZ11" i="8" s="1"/>
  <c r="BK11" i="8" s="1"/>
  <c r="BH11" i="8" s="1"/>
  <c r="BI11" i="8" s="1"/>
  <c r="BA11" i="8"/>
  <c r="AX12" i="8"/>
  <c r="AZ12" i="8" s="1"/>
  <c r="BK12" i="8" s="1"/>
  <c r="BH12" i="8" s="1"/>
  <c r="BI12" i="8" s="1"/>
  <c r="BA12" i="8"/>
  <c r="AV17" i="8"/>
  <c r="AX32" i="8"/>
  <c r="AZ32" i="8" s="1"/>
  <c r="BK32" i="8" s="1"/>
  <c r="BH32" i="8" s="1"/>
  <c r="BI32" i="8" s="1"/>
  <c r="BA32" i="8"/>
  <c r="BC14" i="8"/>
  <c r="AY14" i="8"/>
  <c r="BB14" i="8" s="1"/>
  <c r="BS14" i="8" s="1"/>
  <c r="BP14" i="8" s="1"/>
  <c r="BQ14" i="8" s="1"/>
  <c r="AY22" i="8"/>
  <c r="BB22" i="8" s="1"/>
  <c r="BS22" i="8" s="1"/>
  <c r="BP22" i="8" s="1"/>
  <c r="BQ22" i="8" s="1"/>
  <c r="BC22" i="8"/>
  <c r="BC8" i="8"/>
  <c r="AY8" i="8"/>
  <c r="BB8" i="8" s="1"/>
  <c r="BS8" i="8" s="1"/>
  <c r="BP8" i="8" s="1"/>
  <c r="BQ8" i="8" s="1"/>
  <c r="AY27" i="8"/>
  <c r="BB27" i="8" s="1"/>
  <c r="BS27" i="8" s="1"/>
  <c r="BP27" i="8" s="1"/>
  <c r="BQ27" i="8" s="1"/>
  <c r="BC27" i="8"/>
  <c r="AY6" i="8"/>
  <c r="BB6" i="8" s="1"/>
  <c r="BS6" i="8" s="1"/>
  <c r="BP6" i="8" s="1"/>
  <c r="BQ6" i="8" s="1"/>
  <c r="AY12" i="8"/>
  <c r="BB12" i="8" s="1"/>
  <c r="BS12" i="8" s="1"/>
  <c r="BP12" i="8" s="1"/>
  <c r="BQ12" i="8" s="1"/>
  <c r="BC12" i="8"/>
  <c r="AY33" i="8"/>
  <c r="BB33" i="8" s="1"/>
  <c r="BS33" i="8" s="1"/>
  <c r="BP33" i="8" s="1"/>
  <c r="BQ33" i="8" s="1"/>
  <c r="BC33" i="8"/>
  <c r="AX14" i="8"/>
  <c r="AZ14" i="8" s="1"/>
  <c r="BK14" i="8" s="1"/>
  <c r="BH14" i="8" s="1"/>
  <c r="BI14" i="8" s="1"/>
  <c r="BA14" i="8"/>
  <c r="AX10" i="8"/>
  <c r="AZ10" i="8" s="1"/>
  <c r="BK10" i="8" s="1"/>
  <c r="BH10" i="8" s="1"/>
  <c r="BI10" i="8" s="1"/>
  <c r="BA10" i="8"/>
  <c r="AX16" i="8"/>
  <c r="AZ16" i="8" s="1"/>
  <c r="BK16" i="8" s="1"/>
  <c r="BH16" i="8" s="1"/>
  <c r="BI16" i="8" s="1"/>
  <c r="BA16" i="8"/>
  <c r="AY30" i="8"/>
  <c r="BB30" i="8" s="1"/>
  <c r="BS30" i="8" s="1"/>
  <c r="BP30" i="8" s="1"/>
  <c r="BQ30" i="8" s="1"/>
  <c r="BC30" i="8"/>
  <c r="BC15" i="8"/>
  <c r="AY15" i="8"/>
  <c r="BB15" i="8" s="1"/>
  <c r="BS15" i="8" s="1"/>
  <c r="BP15" i="8" s="1"/>
  <c r="BQ15" i="8" s="1"/>
  <c r="BC18" i="8"/>
  <c r="AY18" i="8"/>
  <c r="BB18" i="8" s="1"/>
  <c r="BS18" i="8" s="1"/>
  <c r="BP18" i="8" s="1"/>
  <c r="BQ18" i="8" s="1"/>
  <c r="AY23" i="8"/>
  <c r="BB23" i="8" s="1"/>
  <c r="BS23" i="8" s="1"/>
  <c r="BP23" i="8" s="1"/>
  <c r="BQ23" i="8" s="1"/>
  <c r="BC23" i="8"/>
  <c r="BA22" i="8"/>
  <c r="AX22" i="8"/>
  <c r="AZ22" i="8" s="1"/>
  <c r="BK22" i="8" s="1"/>
  <c r="BH22" i="8" s="1"/>
  <c r="BI22" i="8" s="1"/>
  <c r="AX33" i="8"/>
  <c r="AZ33" i="8" s="1"/>
  <c r="BK33" i="8" s="1"/>
  <c r="BH33" i="8" s="1"/>
  <c r="BI33" i="8" s="1"/>
  <c r="BA33" i="8"/>
  <c r="AY11" i="8"/>
  <c r="BB11" i="8" s="1"/>
  <c r="BS11" i="8" s="1"/>
  <c r="BP11" i="8" s="1"/>
  <c r="BQ11" i="8" s="1"/>
  <c r="BC11" i="8"/>
  <c r="BB5" i="8"/>
  <c r="AY7" i="8"/>
  <c r="BB7" i="8" s="1"/>
  <c r="BC7" i="8"/>
  <c r="AY21" i="8"/>
  <c r="BB21" i="8" s="1"/>
  <c r="BS21" i="8" s="1"/>
  <c r="BP21" i="8" s="1"/>
  <c r="BQ21" i="8" s="1"/>
  <c r="BC21" i="8"/>
  <c r="AZ5" i="8"/>
  <c r="AY19" i="8"/>
  <c r="BB19" i="8" s="1"/>
  <c r="BS19" i="8" s="1"/>
  <c r="BP19" i="8" s="1"/>
  <c r="BQ19" i="8" s="1"/>
  <c r="BC19" i="8"/>
  <c r="AX29" i="8"/>
  <c r="AZ29" i="8" s="1"/>
  <c r="BK29" i="8" s="1"/>
  <c r="BH29" i="8" s="1"/>
  <c r="BI29" i="8" s="1"/>
  <c r="BA29" i="8"/>
  <c r="AY26" i="8"/>
  <c r="BB26" i="8" s="1"/>
  <c r="BS26" i="8" s="1"/>
  <c r="BP26" i="8" s="1"/>
  <c r="BQ26" i="8" s="1"/>
  <c r="BC26" i="8"/>
  <c r="AV25" i="8"/>
  <c r="V75" i="7"/>
  <c r="V66" i="7"/>
  <c r="W69" i="7"/>
  <c r="V64" i="7"/>
  <c r="V69" i="7"/>
  <c r="AX30" i="7"/>
  <c r="AU34" i="7"/>
  <c r="AX34" i="7" s="1"/>
  <c r="AD72" i="7"/>
  <c r="AF72" i="7" s="1"/>
  <c r="V72" i="7"/>
  <c r="AE72" i="7"/>
  <c r="V50" i="7"/>
  <c r="AF53" i="7"/>
  <c r="AC55" i="7"/>
  <c r="AE55" i="7" s="1"/>
  <c r="AD64" i="7"/>
  <c r="AF64" i="7" s="1"/>
  <c r="AU10" i="7"/>
  <c r="AX10" i="7" s="1"/>
  <c r="AD48" i="7"/>
  <c r="AF48" i="7" s="1"/>
  <c r="AD68" i="7"/>
  <c r="AF68" i="7" s="1"/>
  <c r="AU22" i="7"/>
  <c r="AX22" i="7" s="1"/>
  <c r="AD60" i="7"/>
  <c r="AF60" i="7" s="1"/>
  <c r="AC51" i="7"/>
  <c r="AE51" i="7" s="1"/>
  <c r="AC62" i="7"/>
  <c r="AE62" i="7" s="1"/>
  <c r="W60" i="7"/>
  <c r="AD50" i="7"/>
  <c r="V68" i="7"/>
  <c r="W68" i="7"/>
  <c r="W45" i="7"/>
  <c r="V45" i="7"/>
  <c r="AD45" i="7"/>
  <c r="AF45" i="7" s="1"/>
  <c r="AB51" i="7"/>
  <c r="AF51" i="7" s="1"/>
  <c r="AD57" i="7"/>
  <c r="AC48" i="7"/>
  <c r="AE48" i="7" s="1"/>
  <c r="AT10" i="7"/>
  <c r="AW10" i="7" s="1"/>
  <c r="AW29" i="7"/>
  <c r="W52" i="7"/>
  <c r="AE65" i="7"/>
  <c r="AD52" i="7"/>
  <c r="AF52" i="7" s="1"/>
  <c r="AC73" i="7"/>
  <c r="AE73" i="7" s="1"/>
  <c r="AT35" i="7"/>
  <c r="AW35" i="7" s="1"/>
  <c r="AC57" i="7"/>
  <c r="AE57" i="7" s="1"/>
  <c r="AT19" i="7"/>
  <c r="AW19" i="7" s="1"/>
  <c r="AW21" i="7"/>
  <c r="AW25" i="7"/>
  <c r="AE49" i="7"/>
  <c r="AC67" i="7"/>
  <c r="AE67" i="7" s="1"/>
  <c r="AF56" i="7"/>
  <c r="AW24" i="7"/>
  <c r="W57" i="7"/>
  <c r="AF66" i="7"/>
  <c r="AB71" i="7"/>
  <c r="AF71" i="7" s="1"/>
  <c r="V57" i="7"/>
  <c r="AW13" i="7"/>
  <c r="V63" i="7"/>
  <c r="AU20" i="7"/>
  <c r="AX20" i="7" s="1"/>
  <c r="AD58" i="7"/>
  <c r="AF58" i="7" s="1"/>
  <c r="AT7" i="7"/>
  <c r="AW7" i="7" s="1"/>
  <c r="AC45" i="7"/>
  <c r="AE45" i="7" s="1"/>
  <c r="W58" i="7"/>
  <c r="AF70" i="7"/>
  <c r="AF75" i="7"/>
  <c r="AB54" i="7"/>
  <c r="AF54" i="7" s="1"/>
  <c r="W63" i="7"/>
  <c r="AE66" i="7"/>
  <c r="W59" i="7"/>
  <c r="W56" i="7"/>
  <c r="AD63" i="7"/>
  <c r="AF63" i="7" s="1"/>
  <c r="V56" i="7"/>
  <c r="AE60" i="7"/>
  <c r="AD65" i="7"/>
  <c r="AF65" i="7" s="1"/>
  <c r="V65" i="7"/>
  <c r="V47" i="7"/>
  <c r="AD47" i="7"/>
  <c r="AF47" i="7" s="1"/>
  <c r="AC64" i="7"/>
  <c r="V55" i="7"/>
  <c r="AD55" i="7"/>
  <c r="V74" i="7"/>
  <c r="AD74" i="7"/>
  <c r="AF49" i="7"/>
  <c r="AE68" i="7"/>
  <c r="AA58" i="7"/>
  <c r="AE58" i="7" s="1"/>
  <c r="AC53" i="7"/>
  <c r="AE53" i="7" s="1"/>
  <c r="AB55" i="7"/>
  <c r="AD59" i="7"/>
  <c r="AF59" i="7" s="1"/>
  <c r="V59" i="7"/>
  <c r="AC59" i="7"/>
  <c r="AE59" i="7" s="1"/>
  <c r="W46" i="7"/>
  <c r="AD62" i="7"/>
  <c r="AF62" i="7" s="1"/>
  <c r="V62" i="7"/>
  <c r="AC74" i="7"/>
  <c r="AE74" i="7" s="1"/>
  <c r="W47" i="7"/>
  <c r="AA54" i="7"/>
  <c r="AF73" i="7"/>
  <c r="AC70" i="7"/>
  <c r="AE70" i="7" s="1"/>
  <c r="AD46" i="7"/>
  <c r="AF46" i="7" s="1"/>
  <c r="V46" i="7"/>
  <c r="AC50" i="7"/>
  <c r="AE50" i="7" s="1"/>
  <c r="AC75" i="7"/>
  <c r="AE75" i="7" s="1"/>
  <c r="AE46" i="7"/>
  <c r="AA64" i="7"/>
  <c r="AA47" i="7"/>
  <c r="AC52" i="7"/>
  <c r="AB50" i="7"/>
  <c r="W65" i="7"/>
  <c r="W55" i="7"/>
  <c r="W74" i="7"/>
  <c r="AE56" i="7"/>
  <c r="W62" i="7"/>
  <c r="AB74" i="7"/>
  <c r="AC47" i="7"/>
  <c r="AF57" i="7"/>
  <c r="AA52" i="7"/>
  <c r="AH7" i="4"/>
  <c r="AT24" i="4"/>
  <c r="AT20" i="4"/>
  <c r="AU13" i="4"/>
  <c r="T7" i="4"/>
  <c r="Y7" i="4" s="1"/>
  <c r="D9" i="4"/>
  <c r="J9" i="4" s="1"/>
  <c r="AE9" i="4" s="1"/>
  <c r="J35" i="4"/>
  <c r="AE35" i="4" s="1"/>
  <c r="D33" i="4"/>
  <c r="J33" i="4" s="1"/>
  <c r="AE33" i="4" s="1"/>
  <c r="J31" i="4"/>
  <c r="AE31" i="4" s="1"/>
  <c r="K23" i="4"/>
  <c r="AF23" i="4" s="1"/>
  <c r="AH35" i="4"/>
  <c r="K9" i="4"/>
  <c r="AF9" i="4" s="1"/>
  <c r="D29" i="4"/>
  <c r="J29" i="4" s="1"/>
  <c r="AE29" i="4" s="1"/>
  <c r="E25" i="4"/>
  <c r="K25" i="4" s="1"/>
  <c r="AF25" i="4" s="1"/>
  <c r="J28" i="4"/>
  <c r="AE28" i="4" s="1"/>
  <c r="U12" i="4"/>
  <c r="Z12" i="4" s="1"/>
  <c r="T34" i="4"/>
  <c r="AA34" i="4" s="1"/>
  <c r="E17" i="4"/>
  <c r="K17" i="4" s="1"/>
  <c r="AF17" i="4" s="1"/>
  <c r="D21" i="4"/>
  <c r="J21" i="4" s="1"/>
  <c r="AE21" i="4" s="1"/>
  <c r="D30" i="4"/>
  <c r="J30" i="4" s="1"/>
  <c r="AE30" i="4" s="1"/>
  <c r="T17" i="4"/>
  <c r="Y17" i="4" s="1"/>
  <c r="U29" i="4"/>
  <c r="X29" i="4" s="1"/>
  <c r="AZ29" i="4" s="1"/>
  <c r="AH36" i="4"/>
  <c r="T29" i="4"/>
  <c r="AA29" i="4" s="1"/>
  <c r="U17" i="4"/>
  <c r="Z17" i="4" s="1"/>
  <c r="AH24" i="4"/>
  <c r="J7" i="4"/>
  <c r="AE7" i="4" s="1"/>
  <c r="Y13" i="4"/>
  <c r="T30" i="4"/>
  <c r="Y30" i="4" s="1"/>
  <c r="U27" i="4"/>
  <c r="Z27" i="4" s="1"/>
  <c r="J36" i="4"/>
  <c r="AE36" i="4" s="1"/>
  <c r="W24" i="4"/>
  <c r="AY24" i="4" s="1"/>
  <c r="AH30" i="4"/>
  <c r="J27" i="4"/>
  <c r="AE27" i="4" s="1"/>
  <c r="K19" i="4"/>
  <c r="AF19" i="4" s="1"/>
  <c r="J11" i="4"/>
  <c r="AE11" i="4" s="1"/>
  <c r="U30" i="4"/>
  <c r="AB30" i="4" s="1"/>
  <c r="T32" i="4"/>
  <c r="W32" i="4" s="1"/>
  <c r="AY32" i="4" s="1"/>
  <c r="E16" i="4"/>
  <c r="K16" i="4" s="1"/>
  <c r="AF16" i="4" s="1"/>
  <c r="AH33" i="4"/>
  <c r="AB14" i="4"/>
  <c r="X52" i="4" s="1"/>
  <c r="D23" i="4"/>
  <c r="J23" i="4" s="1"/>
  <c r="AE23" i="4" s="1"/>
  <c r="D32" i="4"/>
  <c r="J32" i="4" s="1"/>
  <c r="AE32" i="4" s="1"/>
  <c r="J25" i="4"/>
  <c r="AE25" i="4" s="1"/>
  <c r="U9" i="4"/>
  <c r="Z9" i="4" s="1"/>
  <c r="T10" i="4"/>
  <c r="W10" i="4" s="1"/>
  <c r="T18" i="4"/>
  <c r="W18" i="4" s="1"/>
  <c r="T21" i="4"/>
  <c r="AA21" i="4" s="1"/>
  <c r="K34" i="4"/>
  <c r="AF34" i="4" s="1"/>
  <c r="J10" i="4"/>
  <c r="AE10" i="4" s="1"/>
  <c r="AA20" i="4"/>
  <c r="D19" i="4"/>
  <c r="J19" i="4" s="1"/>
  <c r="AE19" i="4" s="1"/>
  <c r="E36" i="4"/>
  <c r="K36" i="4" s="1"/>
  <c r="AF36" i="4" s="1"/>
  <c r="E28" i="4"/>
  <c r="K28" i="4" s="1"/>
  <c r="AF28" i="4" s="1"/>
  <c r="T36" i="4"/>
  <c r="W36" i="4" s="1"/>
  <c r="T28" i="4"/>
  <c r="W28" i="4" s="1"/>
  <c r="AY28" i="4" s="1"/>
  <c r="AA24" i="4"/>
  <c r="AH32" i="4"/>
  <c r="J17" i="4"/>
  <c r="AE17" i="4" s="1"/>
  <c r="E20" i="4"/>
  <c r="K20" i="4" s="1"/>
  <c r="AF20" i="4" s="1"/>
  <c r="K30" i="4"/>
  <c r="AF30" i="4" s="1"/>
  <c r="J22" i="4"/>
  <c r="AE22" i="4" s="1"/>
  <c r="J14" i="4"/>
  <c r="AE14" i="4" s="1"/>
  <c r="U37" i="4"/>
  <c r="Z37" i="4" s="1"/>
  <c r="E12" i="4"/>
  <c r="K12" i="4" s="1"/>
  <c r="AF12" i="4" s="1"/>
  <c r="K37" i="4"/>
  <c r="AF37" i="4" s="1"/>
  <c r="K13" i="4"/>
  <c r="AF13" i="4" s="1"/>
  <c r="U19" i="4"/>
  <c r="Z19" i="4" s="1"/>
  <c r="K33" i="4"/>
  <c r="AF33" i="4" s="1"/>
  <c r="U32" i="4"/>
  <c r="AB32" i="4" s="1"/>
  <c r="E26" i="4"/>
  <c r="K26" i="4" s="1"/>
  <c r="AF26" i="4" s="1"/>
  <c r="W13" i="4"/>
  <c r="AY13" i="4" s="1"/>
  <c r="T35" i="4"/>
  <c r="Y35" i="4" s="1"/>
  <c r="E14" i="4"/>
  <c r="K14" i="4" s="1"/>
  <c r="AF14" i="4" s="1"/>
  <c r="AE52" i="4" s="1"/>
  <c r="W7" i="4"/>
  <c r="BA7" i="4" s="1"/>
  <c r="E27" i="4"/>
  <c r="K27" i="4" s="1"/>
  <c r="AF27" i="4" s="1"/>
  <c r="AH19" i="4"/>
  <c r="Z14" i="4"/>
  <c r="E35" i="4"/>
  <c r="K35" i="4" s="1"/>
  <c r="AF35" i="4" s="1"/>
  <c r="U20" i="4"/>
  <c r="AB20" i="4" s="1"/>
  <c r="AB13" i="4"/>
  <c r="T9" i="4"/>
  <c r="Y9" i="4" s="1"/>
  <c r="E15" i="4"/>
  <c r="K15" i="4" s="1"/>
  <c r="AF15" i="4" s="1"/>
  <c r="D37" i="4"/>
  <c r="J37" i="4" s="1"/>
  <c r="AE37" i="4" s="1"/>
  <c r="Z21" i="4"/>
  <c r="D13" i="4"/>
  <c r="J13" i="4" s="1"/>
  <c r="AE13" i="4" s="1"/>
  <c r="E18" i="4"/>
  <c r="K18" i="4" s="1"/>
  <c r="AF18" i="4" s="1"/>
  <c r="U36" i="4"/>
  <c r="AB36" i="4" s="1"/>
  <c r="AB21" i="4"/>
  <c r="X59" i="4" s="1"/>
  <c r="U16" i="4"/>
  <c r="AB16" i="4" s="1"/>
  <c r="U28" i="4"/>
  <c r="Z28" i="4" s="1"/>
  <c r="E22" i="4"/>
  <c r="K22" i="4" s="1"/>
  <c r="AF22" i="4" s="1"/>
  <c r="J16" i="4"/>
  <c r="AE16" i="4" s="1"/>
  <c r="K21" i="4"/>
  <c r="AF21" i="4" s="1"/>
  <c r="E7" i="4"/>
  <c r="K7" i="4" s="1"/>
  <c r="AF7" i="4" s="1"/>
  <c r="J18" i="4"/>
  <c r="AE18" i="4" s="1"/>
  <c r="E10" i="4"/>
  <c r="K10" i="4" s="1"/>
  <c r="AF10" i="4" s="1"/>
  <c r="E11" i="4"/>
  <c r="K11" i="4" s="1"/>
  <c r="AF11" i="4" s="1"/>
  <c r="T16" i="4"/>
  <c r="AA16" i="4" s="1"/>
  <c r="T31" i="4"/>
  <c r="Y31" i="4" s="1"/>
  <c r="K29" i="4"/>
  <c r="AF29" i="4" s="1"/>
  <c r="J12" i="4"/>
  <c r="AE12" i="4" s="1"/>
  <c r="U23" i="4"/>
  <c r="X23" i="4" s="1"/>
  <c r="AZ23" i="4" s="1"/>
  <c r="T33" i="4"/>
  <c r="AA33" i="4" s="1"/>
  <c r="U33" i="4"/>
  <c r="Z33" i="4" s="1"/>
  <c r="U25" i="4"/>
  <c r="AB25" i="4" s="1"/>
  <c r="J26" i="4"/>
  <c r="AE26" i="4" s="1"/>
  <c r="E31" i="4"/>
  <c r="K31" i="4" s="1"/>
  <c r="AF31" i="4" s="1"/>
  <c r="AH25" i="4"/>
  <c r="T27" i="4"/>
  <c r="Y27" i="4" s="1"/>
  <c r="U10" i="4"/>
  <c r="U18" i="4"/>
  <c r="U22" i="4"/>
  <c r="T22" i="4"/>
  <c r="W22" i="4" s="1"/>
  <c r="AY22" i="4" s="1"/>
  <c r="AH28" i="4"/>
  <c r="T8" i="4"/>
  <c r="Y8" i="4" s="1"/>
  <c r="AH8" i="4"/>
  <c r="U8" i="4"/>
  <c r="AB8" i="4" s="1"/>
  <c r="U31" i="4"/>
  <c r="X31" i="4" s="1"/>
  <c r="AZ31" i="4" s="1"/>
  <c r="AH31" i="4"/>
  <c r="X13" i="4"/>
  <c r="AZ13" i="4" s="1"/>
  <c r="U7" i="4"/>
  <c r="Z7" i="4" s="1"/>
  <c r="U24" i="4"/>
  <c r="Z24" i="4" s="1"/>
  <c r="J20" i="4"/>
  <c r="AE20" i="4" s="1"/>
  <c r="AB58" i="4" s="1"/>
  <c r="K32" i="4"/>
  <c r="AF32" i="4" s="1"/>
  <c r="D24" i="4"/>
  <c r="J24" i="4" s="1"/>
  <c r="AE24" i="4" s="1"/>
  <c r="E24" i="4"/>
  <c r="K24" i="4" s="1"/>
  <c r="AF24" i="4" s="1"/>
  <c r="E8" i="4"/>
  <c r="K8" i="4" s="1"/>
  <c r="AF8" i="4" s="1"/>
  <c r="D8" i="4"/>
  <c r="J8" i="4" s="1"/>
  <c r="AE8" i="4" s="1"/>
  <c r="T15" i="4"/>
  <c r="AA15" i="4" s="1"/>
  <c r="AH15" i="4"/>
  <c r="U15" i="4"/>
  <c r="Z15" i="4" s="1"/>
  <c r="T11" i="4"/>
  <c r="W11" i="4" s="1"/>
  <c r="T37" i="4"/>
  <c r="W37" i="4" s="1"/>
  <c r="U11" i="4"/>
  <c r="Z11" i="4" s="1"/>
  <c r="T23" i="4"/>
  <c r="AA23" i="4" s="1"/>
  <c r="AH23" i="4"/>
  <c r="U35" i="4"/>
  <c r="X35" i="4" s="1"/>
  <c r="T25" i="4"/>
  <c r="AH37" i="4"/>
  <c r="J15" i="4"/>
  <c r="AE15" i="4" s="1"/>
  <c r="W14" i="4"/>
  <c r="AY14" i="4" s="1"/>
  <c r="AA14" i="4"/>
  <c r="Y14" i="4"/>
  <c r="AA7" i="4"/>
  <c r="D34" i="4"/>
  <c r="J34" i="4" s="1"/>
  <c r="AE34" i="4" s="1"/>
  <c r="U26" i="4"/>
  <c r="T26" i="4"/>
  <c r="T19" i="4"/>
  <c r="AA19" i="4" s="1"/>
  <c r="U34" i="4"/>
  <c r="W20" i="4"/>
  <c r="AY20" i="4" s="1"/>
  <c r="AH20" i="4"/>
  <c r="AH34" i="4"/>
  <c r="F52" i="6"/>
  <c r="F53" i="6" s="1"/>
  <c r="D52" i="6"/>
  <c r="D53" i="6" s="1"/>
  <c r="B55" i="6"/>
  <c r="C53" i="6"/>
  <c r="AA17" i="4" l="1"/>
  <c r="Z29" i="4"/>
  <c r="AU29" i="4" s="1"/>
  <c r="W12" i="4"/>
  <c r="AY12" i="4" s="1"/>
  <c r="Y12" i="4"/>
  <c r="AT12" i="4" s="1"/>
  <c r="BA39" i="5"/>
  <c r="BB27" i="5"/>
  <c r="BA13" i="5"/>
  <c r="BA36" i="5"/>
  <c r="BA6" i="5"/>
  <c r="BB18" i="5"/>
  <c r="BB17" i="5"/>
  <c r="BA30" i="5"/>
  <c r="BB13" i="5"/>
  <c r="BB30" i="5"/>
  <c r="BA12" i="5"/>
  <c r="BA38" i="5"/>
  <c r="BA25" i="5"/>
  <c r="BA18" i="5"/>
  <c r="AF50" i="7"/>
  <c r="AE54" i="7"/>
  <c r="AA11" i="4"/>
  <c r="BB36" i="5"/>
  <c r="BB41" i="5"/>
  <c r="AX18" i="8"/>
  <c r="AZ18" i="8" s="1"/>
  <c r="BK18" i="8" s="1"/>
  <c r="BH18" i="8" s="1"/>
  <c r="BI18" i="8" s="1"/>
  <c r="BA14" i="5"/>
  <c r="AY17" i="8"/>
  <c r="BB17" i="8" s="1"/>
  <c r="BS17" i="8" s="1"/>
  <c r="BP17" i="8" s="1"/>
  <c r="BQ17" i="8" s="1"/>
  <c r="BC32" i="9"/>
  <c r="BB10" i="5"/>
  <c r="BD10" i="5" s="1"/>
  <c r="BA22" i="5"/>
  <c r="AX23" i="8"/>
  <c r="AZ23" i="8" s="1"/>
  <c r="BK23" i="8" s="1"/>
  <c r="BH23" i="8" s="1"/>
  <c r="BI23" i="8" s="1"/>
  <c r="BA24" i="5"/>
  <c r="BA46" i="5"/>
  <c r="BA23" i="5"/>
  <c r="BA45" i="5"/>
  <c r="BB21" i="5"/>
  <c r="BC16" i="5"/>
  <c r="BB44" i="5"/>
  <c r="BB22" i="5"/>
  <c r="K6" i="5"/>
  <c r="AE6" i="5" s="1"/>
  <c r="BC15" i="5"/>
  <c r="AA42" i="5"/>
  <c r="Y42" i="5"/>
  <c r="W42" i="5"/>
  <c r="BB42" i="5" s="1"/>
  <c r="V10" i="5"/>
  <c r="BA10" i="5" s="1"/>
  <c r="Z10" i="5"/>
  <c r="X10" i="5"/>
  <c r="BC33" i="5"/>
  <c r="X28" i="5"/>
  <c r="Z28" i="5"/>
  <c r="V28" i="5"/>
  <c r="BA28" i="5" s="1"/>
  <c r="W8" i="5"/>
  <c r="BB8" i="5" s="1"/>
  <c r="Y8" i="5"/>
  <c r="AA8" i="5"/>
  <c r="AA43" i="5"/>
  <c r="W43" i="5"/>
  <c r="BB43" i="5" s="1"/>
  <c r="Y43" i="5"/>
  <c r="BC25" i="5"/>
  <c r="AU18" i="5"/>
  <c r="BD18" i="5" s="1"/>
  <c r="AA12" i="5"/>
  <c r="W12" i="5"/>
  <c r="BB12" i="5" s="1"/>
  <c r="Y12" i="5"/>
  <c r="Z29" i="5"/>
  <c r="V29" i="5"/>
  <c r="BA29" i="5" s="1"/>
  <c r="X29" i="5"/>
  <c r="V9" i="5"/>
  <c r="BA9" i="5" s="1"/>
  <c r="Z9" i="5"/>
  <c r="X9" i="5"/>
  <c r="Y26" i="5"/>
  <c r="AA26" i="5"/>
  <c r="W26" i="5"/>
  <c r="BB26" i="5" s="1"/>
  <c r="AA15" i="5"/>
  <c r="Y15" i="5"/>
  <c r="W15" i="5"/>
  <c r="BB15" i="5" s="1"/>
  <c r="Y7" i="5"/>
  <c r="AA7" i="5"/>
  <c r="W7" i="5"/>
  <c r="BB7" i="5" s="1"/>
  <c r="V21" i="5"/>
  <c r="BA21" i="5" s="1"/>
  <c r="Z21" i="5"/>
  <c r="X21" i="5"/>
  <c r="V44" i="5"/>
  <c r="BA44" i="5" s="1"/>
  <c r="Z44" i="5"/>
  <c r="X44" i="5"/>
  <c r="X19" i="5"/>
  <c r="V19" i="5"/>
  <c r="BA19" i="5" s="1"/>
  <c r="Z19" i="5"/>
  <c r="V17" i="5"/>
  <c r="Z17" i="5"/>
  <c r="X17" i="5"/>
  <c r="W25" i="5"/>
  <c r="BB25" i="5" s="1"/>
  <c r="AA25" i="5"/>
  <c r="Y25" i="5"/>
  <c r="X43" i="5"/>
  <c r="V43" i="5"/>
  <c r="BA43" i="5" s="1"/>
  <c r="Z43" i="5"/>
  <c r="Z26" i="5"/>
  <c r="V26" i="5"/>
  <c r="BA26" i="5" s="1"/>
  <c r="X26" i="5"/>
  <c r="Y32" i="5"/>
  <c r="AA32" i="5"/>
  <c r="W32" i="5"/>
  <c r="BB32" i="5" s="1"/>
  <c r="X34" i="5"/>
  <c r="Z34" i="5"/>
  <c r="V34" i="5"/>
  <c r="BA34" i="5" s="1"/>
  <c r="W40" i="5"/>
  <c r="BB40" i="5" s="1"/>
  <c r="Y40" i="5"/>
  <c r="AA40" i="5"/>
  <c r="AA29" i="5"/>
  <c r="Y29" i="5"/>
  <c r="W29" i="5"/>
  <c r="BB29" i="5" s="1"/>
  <c r="AA38" i="5"/>
  <c r="W38" i="5"/>
  <c r="BB38" i="5" s="1"/>
  <c r="Y38" i="5"/>
  <c r="AA24" i="5"/>
  <c r="Y24" i="5"/>
  <c r="W24" i="5"/>
  <c r="BB24" i="5" s="1"/>
  <c r="X11" i="5"/>
  <c r="V11" i="5"/>
  <c r="BA11" i="5" s="1"/>
  <c r="Z11" i="5"/>
  <c r="X27" i="5"/>
  <c r="V27" i="5"/>
  <c r="BA27" i="5" s="1"/>
  <c r="Z27" i="5"/>
  <c r="BB20" i="5"/>
  <c r="Y14" i="5"/>
  <c r="W14" i="5"/>
  <c r="BB14" i="5" s="1"/>
  <c r="AA14" i="5"/>
  <c r="Z20" i="5"/>
  <c r="X20" i="5"/>
  <c r="V20" i="5"/>
  <c r="BA20" i="5" s="1"/>
  <c r="BB46" i="5"/>
  <c r="X40" i="5"/>
  <c r="V40" i="5"/>
  <c r="BA40" i="5" s="1"/>
  <c r="Z40" i="5"/>
  <c r="V42" i="5"/>
  <c r="BA42" i="5" s="1"/>
  <c r="X42" i="5"/>
  <c r="Z42" i="5"/>
  <c r="X35" i="5"/>
  <c r="V35" i="5"/>
  <c r="BA35" i="5" s="1"/>
  <c r="Z35" i="5"/>
  <c r="V37" i="5"/>
  <c r="BA37" i="5" s="1"/>
  <c r="X37" i="5"/>
  <c r="Z37" i="5"/>
  <c r="BD23" i="5"/>
  <c r="BC7" i="5"/>
  <c r="AU20" i="5"/>
  <c r="BC8" i="5"/>
  <c r="BC39" i="5"/>
  <c r="BD39" i="5"/>
  <c r="BD28" i="5"/>
  <c r="BB16" i="5"/>
  <c r="BD9" i="5"/>
  <c r="BB34" i="5"/>
  <c r="BC36" i="5"/>
  <c r="AT35" i="5"/>
  <c r="BD37" i="5"/>
  <c r="BC32" i="5"/>
  <c r="BD33" i="5"/>
  <c r="BD17" i="5"/>
  <c r="BC41" i="5"/>
  <c r="BB35" i="5"/>
  <c r="AU35" i="5"/>
  <c r="BB11" i="5"/>
  <c r="AU11" i="5"/>
  <c r="AT34" i="5"/>
  <c r="AU29" i="5"/>
  <c r="AT30" i="5"/>
  <c r="BC30" i="5" s="1"/>
  <c r="AU34" i="5"/>
  <c r="BB45" i="5"/>
  <c r="AU45" i="5"/>
  <c r="AT45" i="5"/>
  <c r="BB31" i="5"/>
  <c r="AU31" i="5"/>
  <c r="BB19" i="5"/>
  <c r="AX6" i="8"/>
  <c r="AZ6" i="8" s="1"/>
  <c r="BK6" i="8" s="1"/>
  <c r="BH6" i="8" s="1"/>
  <c r="BI6" i="8" s="1"/>
  <c r="AW38" i="7"/>
  <c r="AE52" i="7"/>
  <c r="AX38" i="10"/>
  <c r="AW38" i="10"/>
  <c r="BS7" i="8"/>
  <c r="BP7" i="8" s="1"/>
  <c r="BQ7" i="8" s="1"/>
  <c r="AY16" i="8"/>
  <c r="BB16" i="8" s="1"/>
  <c r="BS16" i="8" s="1"/>
  <c r="BP16" i="8" s="1"/>
  <c r="BQ16" i="8" s="1"/>
  <c r="AX27" i="8"/>
  <c r="AZ27" i="8" s="1"/>
  <c r="BK27" i="8" s="1"/>
  <c r="BH27" i="8" s="1"/>
  <c r="BI27" i="8" s="1"/>
  <c r="AY31" i="8"/>
  <c r="BB31" i="8" s="1"/>
  <c r="BS31" i="8" s="1"/>
  <c r="BP31" i="8" s="1"/>
  <c r="BQ31" i="8" s="1"/>
  <c r="AX26" i="8"/>
  <c r="AZ26" i="8" s="1"/>
  <c r="BK26" i="8" s="1"/>
  <c r="BH26" i="8" s="1"/>
  <c r="BI26" i="8" s="1"/>
  <c r="BA21" i="8"/>
  <c r="AX19" i="8"/>
  <c r="AZ19" i="8" s="1"/>
  <c r="BK19" i="8" s="1"/>
  <c r="BH19" i="8" s="1"/>
  <c r="BI19" i="8" s="1"/>
  <c r="BK15" i="8"/>
  <c r="BH15" i="8" s="1"/>
  <c r="BI15" i="8" s="1"/>
  <c r="BH9" i="8"/>
  <c r="BI9" i="8" s="1"/>
  <c r="BA19" i="9"/>
  <c r="AX19" i="9"/>
  <c r="AZ19" i="9" s="1"/>
  <c r="BK19" i="9" s="1"/>
  <c r="BH19" i="9" s="1"/>
  <c r="BI19" i="9" s="1"/>
  <c r="AX33" i="9"/>
  <c r="AZ33" i="9" s="1"/>
  <c r="BK33" i="9" s="1"/>
  <c r="BH33" i="9" s="1"/>
  <c r="BI33" i="9" s="1"/>
  <c r="BA33" i="9"/>
  <c r="BC8" i="9"/>
  <c r="AY8" i="9"/>
  <c r="BB8" i="9" s="1"/>
  <c r="BS8" i="9" s="1"/>
  <c r="BP8" i="9" s="1"/>
  <c r="BQ8" i="9" s="1"/>
  <c r="BA27" i="9"/>
  <c r="AX27" i="9"/>
  <c r="AZ27" i="9" s="1"/>
  <c r="BK27" i="9" s="1"/>
  <c r="BH27" i="9" s="1"/>
  <c r="BI27" i="9" s="1"/>
  <c r="BB5" i="9"/>
  <c r="BK5" i="9"/>
  <c r="AX31" i="8"/>
  <c r="AZ31" i="8" s="1"/>
  <c r="BK31" i="8" s="1"/>
  <c r="BH31" i="8" s="1"/>
  <c r="BI31" i="8" s="1"/>
  <c r="AX25" i="8"/>
  <c r="AZ25" i="8" s="1"/>
  <c r="BK25" i="8" s="1"/>
  <c r="BH25" i="8" s="1"/>
  <c r="BI25" i="8" s="1"/>
  <c r="BA25" i="8"/>
  <c r="BK5" i="8"/>
  <c r="BS5" i="8"/>
  <c r="AX30" i="8"/>
  <c r="AZ30" i="8" s="1"/>
  <c r="BK30" i="8" s="1"/>
  <c r="BH30" i="8" s="1"/>
  <c r="BI30" i="8" s="1"/>
  <c r="BA30" i="8"/>
  <c r="AX17" i="8"/>
  <c r="AZ17" i="8" s="1"/>
  <c r="BK17" i="8" s="1"/>
  <c r="BH17" i="8" s="1"/>
  <c r="BI17" i="8" s="1"/>
  <c r="BA17" i="8"/>
  <c r="AF55" i="7"/>
  <c r="AE47" i="7"/>
  <c r="AF74" i="7"/>
  <c r="AE64" i="7"/>
  <c r="AT7" i="4"/>
  <c r="AB45" i="4"/>
  <c r="AU15" i="4"/>
  <c r="AC53" i="4"/>
  <c r="AS31" i="4"/>
  <c r="BB31" i="4" s="1"/>
  <c r="AX31" i="4"/>
  <c r="AS33" i="4"/>
  <c r="AX33" i="4"/>
  <c r="AS28" i="4"/>
  <c r="AX28" i="4"/>
  <c r="AU12" i="4"/>
  <c r="AC50" i="4"/>
  <c r="AU19" i="4"/>
  <c r="AC57" i="4"/>
  <c r="AR35" i="4"/>
  <c r="AW35" i="4"/>
  <c r="AR15" i="4"/>
  <c r="AW15" i="4"/>
  <c r="AR24" i="4"/>
  <c r="AW24" i="4"/>
  <c r="AR12" i="4"/>
  <c r="AW12" i="4"/>
  <c r="AS21" i="4"/>
  <c r="BB21" i="4" s="1"/>
  <c r="AX21" i="4"/>
  <c r="AS18" i="4"/>
  <c r="AX18" i="4"/>
  <c r="AS35" i="4"/>
  <c r="AX35" i="4"/>
  <c r="AS26" i="4"/>
  <c r="AX26" i="4"/>
  <c r="AU37" i="4"/>
  <c r="AC75" i="4"/>
  <c r="AS17" i="4"/>
  <c r="AX17" i="4"/>
  <c r="AS23" i="4"/>
  <c r="AX23" i="4"/>
  <c r="AY11" i="4"/>
  <c r="BA11" i="4"/>
  <c r="AD49" i="4"/>
  <c r="AS32" i="4"/>
  <c r="AX32" i="4"/>
  <c r="AS29" i="4"/>
  <c r="BB29" i="4" s="1"/>
  <c r="AX29" i="4"/>
  <c r="AR13" i="4"/>
  <c r="AW13" i="4"/>
  <c r="AR14" i="4"/>
  <c r="AW14" i="4"/>
  <c r="AY36" i="4"/>
  <c r="AD74" i="4"/>
  <c r="BA36" i="4"/>
  <c r="AY18" i="4"/>
  <c r="AD56" i="4"/>
  <c r="BA18" i="4"/>
  <c r="AS16" i="4"/>
  <c r="AX16" i="4"/>
  <c r="AR36" i="4"/>
  <c r="AW36" i="4"/>
  <c r="AR31" i="4"/>
  <c r="AW31" i="4"/>
  <c r="AR20" i="4"/>
  <c r="AW20" i="4"/>
  <c r="AY10" i="4"/>
  <c r="BA10" i="4"/>
  <c r="AD48" i="4"/>
  <c r="AR33" i="4"/>
  <c r="AW33" i="4"/>
  <c r="AS22" i="4"/>
  <c r="AX22" i="4"/>
  <c r="AS36" i="4"/>
  <c r="AX36" i="4"/>
  <c r="AS11" i="4"/>
  <c r="AX11" i="4"/>
  <c r="AS15" i="4"/>
  <c r="AX15" i="4"/>
  <c r="AR25" i="4"/>
  <c r="AW25" i="4"/>
  <c r="AS25" i="4"/>
  <c r="AX25" i="4"/>
  <c r="AR8" i="4"/>
  <c r="AW8" i="4"/>
  <c r="AT9" i="4"/>
  <c r="AB47" i="4"/>
  <c r="AS14" i="4"/>
  <c r="BB14" i="4" s="1"/>
  <c r="AX14" i="4"/>
  <c r="AS13" i="4"/>
  <c r="AX13" i="4"/>
  <c r="AR17" i="4"/>
  <c r="AW17" i="4"/>
  <c r="AR32" i="4"/>
  <c r="AW32" i="4"/>
  <c r="AS19" i="4"/>
  <c r="AX19" i="4"/>
  <c r="AR7" i="4"/>
  <c r="AW7" i="4"/>
  <c r="AT17" i="4"/>
  <c r="AB55" i="4"/>
  <c r="AR29" i="4"/>
  <c r="AW29" i="4"/>
  <c r="AT8" i="4"/>
  <c r="AB46" i="4"/>
  <c r="AR16" i="4"/>
  <c r="AW16" i="4"/>
  <c r="AR22" i="4"/>
  <c r="AW22" i="4"/>
  <c r="AZ35" i="4"/>
  <c r="AE73" i="4"/>
  <c r="BB35" i="4"/>
  <c r="AR26" i="4"/>
  <c r="AW26" i="4"/>
  <c r="AS27" i="4"/>
  <c r="AX27" i="4"/>
  <c r="AU9" i="4"/>
  <c r="AC47" i="4"/>
  <c r="AR28" i="4"/>
  <c r="AW28" i="4"/>
  <c r="AU7" i="4"/>
  <c r="AC45" i="4"/>
  <c r="AY7" i="4"/>
  <c r="AD45" i="4"/>
  <c r="AF45" i="4" s="1"/>
  <c r="AR19" i="4"/>
  <c r="AW19" i="4"/>
  <c r="AR11" i="4"/>
  <c r="AW11" i="4"/>
  <c r="AR9" i="4"/>
  <c r="AW9" i="4"/>
  <c r="AB62" i="4"/>
  <c r="AS10" i="4"/>
  <c r="AX10" i="4"/>
  <c r="AU11" i="4"/>
  <c r="AC49" i="4"/>
  <c r="AS8" i="4"/>
  <c r="AX8" i="4"/>
  <c r="AR18" i="4"/>
  <c r="AW18" i="4"/>
  <c r="AT35" i="4"/>
  <c r="AB73" i="4"/>
  <c r="AS37" i="4"/>
  <c r="AX37" i="4"/>
  <c r="AR10" i="4"/>
  <c r="AW10" i="4"/>
  <c r="AR23" i="4"/>
  <c r="AW23" i="4"/>
  <c r="AR27" i="4"/>
  <c r="AW27" i="4"/>
  <c r="AR30" i="4"/>
  <c r="AW30" i="4"/>
  <c r="AS9" i="4"/>
  <c r="AX9" i="4"/>
  <c r="AC51" i="4"/>
  <c r="X7" i="4"/>
  <c r="AR34" i="4"/>
  <c r="AW34" i="4"/>
  <c r="AR37" i="4"/>
  <c r="AW37" i="4"/>
  <c r="AS30" i="4"/>
  <c r="AX30" i="4"/>
  <c r="AS20" i="4"/>
  <c r="AX20" i="4"/>
  <c r="AY37" i="4"/>
  <c r="AD75" i="4"/>
  <c r="BA37" i="4"/>
  <c r="AS24" i="4"/>
  <c r="AX24" i="4"/>
  <c r="AS7" i="4"/>
  <c r="AX7" i="4"/>
  <c r="AS12" i="4"/>
  <c r="AX12" i="4"/>
  <c r="AS34" i="4"/>
  <c r="AX34" i="4"/>
  <c r="AU17" i="4"/>
  <c r="AC55" i="4"/>
  <c r="AR21" i="4"/>
  <c r="AW21" i="4"/>
  <c r="AE59" i="4"/>
  <c r="AU33" i="4"/>
  <c r="AC71" i="4"/>
  <c r="AD70" i="4"/>
  <c r="BA32" i="4"/>
  <c r="AT31" i="4"/>
  <c r="AB69" i="4"/>
  <c r="AE69" i="4"/>
  <c r="AT30" i="4"/>
  <c r="AB68" i="4"/>
  <c r="AC67" i="4"/>
  <c r="AE67" i="4"/>
  <c r="BA28" i="4"/>
  <c r="AD66" i="4"/>
  <c r="AU28" i="4"/>
  <c r="AC66" i="4"/>
  <c r="AT27" i="4"/>
  <c r="AB65" i="4"/>
  <c r="AU27" i="4"/>
  <c r="AC65" i="4"/>
  <c r="AU21" i="4"/>
  <c r="AC59" i="4"/>
  <c r="W59" i="4"/>
  <c r="AU24" i="4"/>
  <c r="AC62" i="4"/>
  <c r="AD62" i="4"/>
  <c r="BA24" i="4"/>
  <c r="AE61" i="4"/>
  <c r="BB23" i="4"/>
  <c r="BA22" i="4"/>
  <c r="AD60" i="4"/>
  <c r="AD58" i="4"/>
  <c r="AF58" i="4" s="1"/>
  <c r="BA20" i="4"/>
  <c r="AT14" i="4"/>
  <c r="AB52" i="4"/>
  <c r="BA14" i="4"/>
  <c r="AD52" i="4"/>
  <c r="AU14" i="4"/>
  <c r="AC52" i="4"/>
  <c r="AG52" i="4" s="1"/>
  <c r="W52" i="4"/>
  <c r="AT13" i="4"/>
  <c r="AB51" i="4"/>
  <c r="X51" i="4"/>
  <c r="AD51" i="4"/>
  <c r="BA13" i="4"/>
  <c r="W51" i="4"/>
  <c r="BB13" i="4"/>
  <c r="AE51" i="4"/>
  <c r="Y34" i="4"/>
  <c r="X32" i="4"/>
  <c r="AZ32" i="4" s="1"/>
  <c r="Z32" i="4"/>
  <c r="Y28" i="4"/>
  <c r="Y21" i="4"/>
  <c r="X12" i="4"/>
  <c r="Z31" i="4"/>
  <c r="W69" i="4" s="1"/>
  <c r="W21" i="4"/>
  <c r="AY21" i="4" s="1"/>
  <c r="AA28" i="4"/>
  <c r="AB9" i="4"/>
  <c r="AB12" i="4"/>
  <c r="X16" i="4"/>
  <c r="X54" i="4" s="1"/>
  <c r="W35" i="4"/>
  <c r="X19" i="4"/>
  <c r="AA18" i="4"/>
  <c r="Z23" i="4"/>
  <c r="AB17" i="4"/>
  <c r="AB28" i="4"/>
  <c r="W34" i="4"/>
  <c r="X28" i="4"/>
  <c r="AZ28" i="4" s="1"/>
  <c r="W29" i="4"/>
  <c r="AY29" i="4" s="1"/>
  <c r="X37" i="4"/>
  <c r="Y29" i="4"/>
  <c r="AA10" i="4"/>
  <c r="X9" i="4"/>
  <c r="AA37" i="4"/>
  <c r="X27" i="4"/>
  <c r="AZ27" i="4" s="1"/>
  <c r="Y33" i="4"/>
  <c r="AB37" i="4"/>
  <c r="X30" i="4"/>
  <c r="AZ30" i="4" s="1"/>
  <c r="AB31" i="4"/>
  <c r="X69" i="4" s="1"/>
  <c r="Y16" i="4"/>
  <c r="Y18" i="4"/>
  <c r="W17" i="4"/>
  <c r="AA31" i="4"/>
  <c r="Z25" i="4"/>
  <c r="W31" i="4"/>
  <c r="AY31" i="4" s="1"/>
  <c r="AA32" i="4"/>
  <c r="Y32" i="4"/>
  <c r="AB23" i="4"/>
  <c r="X61" i="4" s="1"/>
  <c r="Y15" i="4"/>
  <c r="Y10" i="4"/>
  <c r="AB29" i="4"/>
  <c r="X67" i="4" s="1"/>
  <c r="AB11" i="4"/>
  <c r="AB27" i="4"/>
  <c r="X17" i="4"/>
  <c r="Z16" i="4"/>
  <c r="Z30" i="4"/>
  <c r="W30" i="4"/>
  <c r="AY30" i="4" s="1"/>
  <c r="AA30" i="4"/>
  <c r="Y36" i="4"/>
  <c r="X20" i="4"/>
  <c r="AZ20" i="4" s="1"/>
  <c r="AB19" i="4"/>
  <c r="Z36" i="4"/>
  <c r="W15" i="4"/>
  <c r="AA36" i="4"/>
  <c r="Z20" i="4"/>
  <c r="Y11" i="4"/>
  <c r="X36" i="4"/>
  <c r="X74" i="4" s="1"/>
  <c r="AA35" i="4"/>
  <c r="W8" i="4"/>
  <c r="W23" i="4"/>
  <c r="AY23" i="4" s="1"/>
  <c r="Z35" i="4"/>
  <c r="X8" i="4"/>
  <c r="AB24" i="4"/>
  <c r="AB15" i="4"/>
  <c r="Z8" i="4"/>
  <c r="X25" i="4"/>
  <c r="AZ25" i="4" s="1"/>
  <c r="AB35" i="4"/>
  <c r="X73" i="4" s="1"/>
  <c r="Y23" i="4"/>
  <c r="W9" i="4"/>
  <c r="AA9" i="4"/>
  <c r="X24" i="4"/>
  <c r="AZ24" i="4" s="1"/>
  <c r="Z26" i="4"/>
  <c r="AB26" i="4"/>
  <c r="X26" i="4"/>
  <c r="AZ26" i="4" s="1"/>
  <c r="AB34" i="4"/>
  <c r="Z34" i="4"/>
  <c r="X10" i="4"/>
  <c r="Z10" i="4"/>
  <c r="X34" i="4"/>
  <c r="AA22" i="4"/>
  <c r="Y22" i="4"/>
  <c r="AB10" i="4"/>
  <c r="X11" i="4"/>
  <c r="Y37" i="4"/>
  <c r="AA8" i="4"/>
  <c r="X22" i="4"/>
  <c r="AZ22" i="4" s="1"/>
  <c r="AB22" i="4"/>
  <c r="Z22" i="4"/>
  <c r="W16" i="4"/>
  <c r="AA25" i="4"/>
  <c r="W25" i="4"/>
  <c r="AY25" i="4" s="1"/>
  <c r="AA26" i="4"/>
  <c r="Y26" i="4"/>
  <c r="W26" i="4"/>
  <c r="AY26" i="4" s="1"/>
  <c r="X33" i="4"/>
  <c r="AZ33" i="4" s="1"/>
  <c r="W27" i="4"/>
  <c r="AY27" i="4" s="1"/>
  <c r="AA27" i="4"/>
  <c r="Y25" i="4"/>
  <c r="W19" i="4"/>
  <c r="X18" i="4"/>
  <c r="Z18" i="4"/>
  <c r="X15" i="4"/>
  <c r="W33" i="4"/>
  <c r="AY33" i="4" s="1"/>
  <c r="Y19" i="4"/>
  <c r="AB18" i="4"/>
  <c r="AB33" i="4"/>
  <c r="AB7" i="4"/>
  <c r="F55" i="6"/>
  <c r="F54" i="6" s="1"/>
  <c r="D55" i="6"/>
  <c r="C55" i="6"/>
  <c r="C54" i="6" s="1"/>
  <c r="E53" i="6"/>
  <c r="X57" i="4" l="1"/>
  <c r="W67" i="4"/>
  <c r="BA12" i="4"/>
  <c r="AD50" i="4"/>
  <c r="X47" i="4"/>
  <c r="AB50" i="4"/>
  <c r="BA17" i="5"/>
  <c r="BA47" i="5" s="1"/>
  <c r="AV17" i="5"/>
  <c r="BD44" i="5"/>
  <c r="BD30" i="5"/>
  <c r="BD27" i="5"/>
  <c r="BD13" i="5"/>
  <c r="BC12" i="5"/>
  <c r="BC6" i="5"/>
  <c r="BC13" i="5"/>
  <c r="BD41" i="5"/>
  <c r="BD36" i="5"/>
  <c r="BC38" i="5"/>
  <c r="BC18" i="5"/>
  <c r="BC22" i="5"/>
  <c r="BC23" i="5"/>
  <c r="BC42" i="5"/>
  <c r="BC19" i="5"/>
  <c r="BC26" i="5"/>
  <c r="BC11" i="5"/>
  <c r="BC24" i="5"/>
  <c r="X66" i="4"/>
  <c r="BC43" i="5"/>
  <c r="BC46" i="5"/>
  <c r="X53" i="4"/>
  <c r="X60" i="4"/>
  <c r="X75" i="4"/>
  <c r="X55" i="4"/>
  <c r="BC37" i="5"/>
  <c r="BC44" i="5"/>
  <c r="BC45" i="5"/>
  <c r="BC10" i="5"/>
  <c r="X64" i="4"/>
  <c r="BC14" i="5"/>
  <c r="AF62" i="4"/>
  <c r="BC9" i="5"/>
  <c r="BC40" i="5"/>
  <c r="X48" i="4"/>
  <c r="X56" i="4"/>
  <c r="X50" i="4"/>
  <c r="AG67" i="4"/>
  <c r="BC29" i="5"/>
  <c r="BC27" i="5"/>
  <c r="BC28" i="5"/>
  <c r="BD21" i="5"/>
  <c r="BC21" i="5"/>
  <c r="BC20" i="5"/>
  <c r="BC31" i="5"/>
  <c r="BD22" i="5"/>
  <c r="BC35" i="5"/>
  <c r="BD46" i="5"/>
  <c r="BD12" i="5"/>
  <c r="BD15" i="5"/>
  <c r="AU6" i="5"/>
  <c r="BB6" i="5"/>
  <c r="BB47" i="5" s="1"/>
  <c r="BD14" i="5"/>
  <c r="BD20" i="5"/>
  <c r="BD42" i="5"/>
  <c r="BD40" i="5"/>
  <c r="BD19" i="5"/>
  <c r="BD16" i="5"/>
  <c r="BD43" i="5"/>
  <c r="BD34" i="5"/>
  <c r="BD29" i="5"/>
  <c r="BD7" i="5"/>
  <c r="BD8" i="5"/>
  <c r="BD25" i="5"/>
  <c r="BD32" i="5"/>
  <c r="BD26" i="5"/>
  <c r="BD24" i="5"/>
  <c r="BD45" i="5"/>
  <c r="BD38" i="5"/>
  <c r="BD31" i="5"/>
  <c r="BD11" i="5"/>
  <c r="BD35" i="5"/>
  <c r="BC34" i="5"/>
  <c r="AY34" i="9"/>
  <c r="AG59" i="4"/>
  <c r="BB34" i="8"/>
  <c r="AY34" i="8"/>
  <c r="BK34" i="9"/>
  <c r="BH5" i="9"/>
  <c r="AZ34" i="9"/>
  <c r="BB34" i="9"/>
  <c r="BS5" i="9"/>
  <c r="AX34" i="9"/>
  <c r="BK34" i="8"/>
  <c r="BH5" i="8"/>
  <c r="AZ34" i="8"/>
  <c r="AX34" i="8"/>
  <c r="BS34" i="8"/>
  <c r="BP5" i="8"/>
  <c r="BQ5" i="8" s="1"/>
  <c r="BQ34" i="8" s="1"/>
  <c r="AU8" i="4"/>
  <c r="AC46" i="4"/>
  <c r="AT11" i="4"/>
  <c r="AB49" i="4"/>
  <c r="AF49" i="4" s="1"/>
  <c r="AU10" i="4"/>
  <c r="AC48" i="4"/>
  <c r="AZ8" i="4"/>
  <c r="BB8" i="4"/>
  <c r="AE46" i="4"/>
  <c r="W46" i="4"/>
  <c r="AT16" i="4"/>
  <c r="AB54" i="4"/>
  <c r="AU18" i="4"/>
  <c r="AC56" i="4"/>
  <c r="AZ10" i="4"/>
  <c r="BB10" i="4"/>
  <c r="W48" i="4"/>
  <c r="AE48" i="4"/>
  <c r="AG48" i="4" s="1"/>
  <c r="AY9" i="4"/>
  <c r="BA9" i="4"/>
  <c r="AD47" i="4"/>
  <c r="AF47" i="4" s="1"/>
  <c r="AU35" i="4"/>
  <c r="AC73" i="4"/>
  <c r="AG73" i="4" s="1"/>
  <c r="AY15" i="4"/>
  <c r="AD53" i="4"/>
  <c r="BA15" i="4"/>
  <c r="AU16" i="4"/>
  <c r="AC54" i="4"/>
  <c r="AT36" i="4"/>
  <c r="AB74" i="4"/>
  <c r="AF74" i="4" s="1"/>
  <c r="AT10" i="4"/>
  <c r="AB48" i="4"/>
  <c r="AF48" i="4" s="1"/>
  <c r="AZ34" i="4"/>
  <c r="BB34" i="4"/>
  <c r="W72" i="4"/>
  <c r="AE72" i="4"/>
  <c r="AG51" i="4"/>
  <c r="X46" i="4"/>
  <c r="AZ18" i="4"/>
  <c r="BB18" i="4"/>
  <c r="AE56" i="4"/>
  <c r="W56" i="4"/>
  <c r="AT37" i="4"/>
  <c r="AB75" i="4"/>
  <c r="AF75" i="4" s="1"/>
  <c r="AU34" i="4"/>
  <c r="AC72" i="4"/>
  <c r="AU36" i="4"/>
  <c r="AC74" i="4"/>
  <c r="AZ17" i="4"/>
  <c r="W55" i="4"/>
  <c r="AE55" i="4"/>
  <c r="AG55" i="4" s="1"/>
  <c r="BB17" i="4"/>
  <c r="AZ37" i="4"/>
  <c r="AE75" i="4"/>
  <c r="AG75" i="4" s="1"/>
  <c r="W75" i="4"/>
  <c r="BB37" i="4"/>
  <c r="AZ19" i="4"/>
  <c r="BB19" i="4"/>
  <c r="W57" i="4"/>
  <c r="AE57" i="4"/>
  <c r="AG57" i="4" s="1"/>
  <c r="AZ12" i="4"/>
  <c r="AE50" i="4"/>
  <c r="AG50" i="4" s="1"/>
  <c r="BB12" i="4"/>
  <c r="W50" i="4"/>
  <c r="W73" i="4"/>
  <c r="AY34" i="4"/>
  <c r="BA34" i="4"/>
  <c r="AD72" i="4"/>
  <c r="AT19" i="4"/>
  <c r="AB57" i="4"/>
  <c r="AT15" i="4"/>
  <c r="AB53" i="4"/>
  <c r="AZ9" i="4"/>
  <c r="BB9" i="4"/>
  <c r="W47" i="4"/>
  <c r="AE47" i="4"/>
  <c r="AG47" i="4" s="1"/>
  <c r="AZ15" i="4"/>
  <c r="W53" i="4"/>
  <c r="AE53" i="4"/>
  <c r="AG53" i="4" s="1"/>
  <c r="BB15" i="4"/>
  <c r="X45" i="4"/>
  <c r="AY19" i="4"/>
  <c r="BA19" i="4"/>
  <c r="AD57" i="4"/>
  <c r="AZ11" i="4"/>
  <c r="AE49" i="4"/>
  <c r="AG49" i="4" s="1"/>
  <c r="BB11" i="4"/>
  <c r="W49" i="4"/>
  <c r="X72" i="4"/>
  <c r="AY8" i="4"/>
  <c r="AD46" i="4"/>
  <c r="AF46" i="4" s="1"/>
  <c r="BA8" i="4"/>
  <c r="AY35" i="4"/>
  <c r="BA35" i="4"/>
  <c r="AD73" i="4"/>
  <c r="AF73" i="4" s="1"/>
  <c r="AF52" i="4"/>
  <c r="AY16" i="4"/>
  <c r="AD54" i="4"/>
  <c r="BA16" i="4"/>
  <c r="AZ36" i="4"/>
  <c r="AE74" i="4"/>
  <c r="W74" i="4"/>
  <c r="BB36" i="4"/>
  <c r="AY17" i="4"/>
  <c r="AD55" i="4"/>
  <c r="AF55" i="4" s="1"/>
  <c r="BA17" i="4"/>
  <c r="AZ7" i="4"/>
  <c r="AE45" i="4"/>
  <c r="AG45" i="4" s="1"/>
  <c r="BB7" i="4"/>
  <c r="W45" i="4"/>
  <c r="AT18" i="4"/>
  <c r="AB56" i="4"/>
  <c r="AF56" i="4" s="1"/>
  <c r="AT34" i="4"/>
  <c r="AB72" i="4"/>
  <c r="X49" i="4"/>
  <c r="AZ16" i="4"/>
  <c r="W54" i="4"/>
  <c r="BB16" i="4"/>
  <c r="AE54" i="4"/>
  <c r="AF51" i="4"/>
  <c r="BA33" i="4"/>
  <c r="AD71" i="4"/>
  <c r="W71" i="4"/>
  <c r="BB33" i="4"/>
  <c r="AE71" i="4"/>
  <c r="AG71" i="4" s="1"/>
  <c r="X71" i="4"/>
  <c r="AT33" i="4"/>
  <c r="AB71" i="4"/>
  <c r="AU32" i="4"/>
  <c r="AC70" i="4"/>
  <c r="AE70" i="4"/>
  <c r="W70" i="4"/>
  <c r="BB32" i="4"/>
  <c r="AT32" i="4"/>
  <c r="AB70" i="4"/>
  <c r="AF70" i="4" s="1"/>
  <c r="X70" i="4"/>
  <c r="AU31" i="4"/>
  <c r="AC69" i="4"/>
  <c r="AG69" i="4" s="1"/>
  <c r="BA31" i="4"/>
  <c r="AD69" i="4"/>
  <c r="AF69" i="4" s="1"/>
  <c r="AD68" i="4"/>
  <c r="AF68" i="4" s="1"/>
  <c r="BA30" i="4"/>
  <c r="AU30" i="4"/>
  <c r="AC68" i="4"/>
  <c r="AE68" i="4"/>
  <c r="BB30" i="4"/>
  <c r="W68" i="4"/>
  <c r="X68" i="4"/>
  <c r="BA29" i="4"/>
  <c r="AD67" i="4"/>
  <c r="AT29" i="4"/>
  <c r="AB67" i="4"/>
  <c r="AE66" i="4"/>
  <c r="AG66" i="4" s="1"/>
  <c r="BB28" i="4"/>
  <c r="W66" i="4"/>
  <c r="AT28" i="4"/>
  <c r="AB66" i="4"/>
  <c r="AF66" i="4" s="1"/>
  <c r="X65" i="4"/>
  <c r="BB27" i="4"/>
  <c r="AE65" i="4"/>
  <c r="AG65" i="4" s="1"/>
  <c r="W65" i="4"/>
  <c r="BA27" i="4"/>
  <c r="AD65" i="4"/>
  <c r="AF65" i="4" s="1"/>
  <c r="AU26" i="4"/>
  <c r="AC64" i="4"/>
  <c r="AD64" i="4"/>
  <c r="BA26" i="4"/>
  <c r="AT26" i="4"/>
  <c r="AB64" i="4"/>
  <c r="AE64" i="4"/>
  <c r="BB26" i="4"/>
  <c r="W64" i="4"/>
  <c r="BA25" i="4"/>
  <c r="AD63" i="4"/>
  <c r="AT25" i="4"/>
  <c r="AB63" i="4"/>
  <c r="W63" i="4"/>
  <c r="AE63" i="4"/>
  <c r="BB25" i="4"/>
  <c r="AU25" i="4"/>
  <c r="AC63" i="4"/>
  <c r="X63" i="4"/>
  <c r="AD59" i="4"/>
  <c r="BA21" i="4"/>
  <c r="AT21" i="4"/>
  <c r="AB59" i="4"/>
  <c r="BB24" i="4"/>
  <c r="AE62" i="4"/>
  <c r="AG62" i="4" s="1"/>
  <c r="W62" i="4"/>
  <c r="X62" i="4"/>
  <c r="AT23" i="4"/>
  <c r="AB61" i="4"/>
  <c r="AU23" i="4"/>
  <c r="AC61" i="4"/>
  <c r="AG61" i="4" s="1"/>
  <c r="W61" i="4"/>
  <c r="BA23" i="4"/>
  <c r="AD61" i="4"/>
  <c r="AT22" i="4"/>
  <c r="AB60" i="4"/>
  <c r="AF60" i="4" s="1"/>
  <c r="AU22" i="4"/>
  <c r="AC60" i="4"/>
  <c r="AE60" i="4"/>
  <c r="BB22" i="4"/>
  <c r="W60" i="4"/>
  <c r="BB20" i="4"/>
  <c r="AE58" i="4"/>
  <c r="W58" i="4"/>
  <c r="X58" i="4"/>
  <c r="AU20" i="4"/>
  <c r="AC58" i="4"/>
  <c r="E55" i="6"/>
  <c r="E54" i="6" s="1"/>
  <c r="D54" i="6"/>
  <c r="AG72" i="4" l="1"/>
  <c r="AG46" i="4"/>
  <c r="AF50" i="4"/>
  <c r="AG64" i="4"/>
  <c r="AF54" i="4"/>
  <c r="AG70" i="4"/>
  <c r="AG63" i="4"/>
  <c r="BC17" i="5"/>
  <c r="BD6" i="5"/>
  <c r="AG68" i="4"/>
  <c r="AY47" i="5"/>
  <c r="AG56" i="4"/>
  <c r="AZ47" i="5"/>
  <c r="BI5" i="8"/>
  <c r="BI34" i="8" s="1"/>
  <c r="BI5" i="9"/>
  <c r="BI34" i="9" s="1"/>
  <c r="BS34" i="9"/>
  <c r="BP5" i="9"/>
  <c r="BQ5" i="9" s="1"/>
  <c r="BQ34" i="9" s="1"/>
  <c r="AF61" i="4"/>
  <c r="AG60" i="4"/>
  <c r="AG74" i="4"/>
  <c r="AF57" i="4"/>
  <c r="AF72" i="4"/>
  <c r="AG54" i="4"/>
  <c r="AF53" i="4"/>
  <c r="AF71" i="4"/>
  <c r="AF67" i="4"/>
  <c r="AF64" i="4"/>
  <c r="AF63" i="4"/>
  <c r="AF59" i="4"/>
  <c r="AG58" i="4"/>
</calcChain>
</file>

<file path=xl/comments1.xml><?xml version="1.0" encoding="utf-8"?>
<comments xmlns="http://schemas.openxmlformats.org/spreadsheetml/2006/main">
  <authors>
    <author>hwye63e</author>
  </authors>
  <commentList>
    <comment ref="B4" authorId="0" shapeId="0">
      <text>
        <r>
          <rPr>
            <b/>
            <sz val="9"/>
            <color indexed="81"/>
            <rFont val="Tahoma"/>
            <family val="2"/>
          </rPr>
          <t>hwye63e:</t>
        </r>
        <r>
          <rPr>
            <sz val="9"/>
            <color indexed="81"/>
            <rFont val="Tahoma"/>
            <family val="2"/>
          </rPr>
          <t xml:space="preserve">
this is the input or design, min. is 8in. Then increase by 1/4in for strength</t>
        </r>
      </text>
    </comment>
    <comment ref="H4" authorId="0" shapeId="0">
      <text>
        <r>
          <rPr>
            <b/>
            <sz val="9"/>
            <color indexed="81"/>
            <rFont val="Tahoma"/>
            <charset val="1"/>
          </rPr>
          <t>hwye63e:</t>
        </r>
        <r>
          <rPr>
            <sz val="9"/>
            <color indexed="81"/>
            <rFont val="Tahoma"/>
            <charset val="1"/>
          </rPr>
          <t xml:space="preserve">
2ft top flange, 1/3 is 8in. See 4.6.2.1.6
</t>
        </r>
      </text>
    </comment>
    <comment ref="R4" authorId="0" shapeId="0">
      <text>
        <r>
          <rPr>
            <b/>
            <sz val="9"/>
            <color indexed="81"/>
            <rFont val="Tahoma"/>
            <family val="2"/>
          </rPr>
          <t>hwye63e:</t>
        </r>
        <r>
          <rPr>
            <sz val="9"/>
            <color indexed="81"/>
            <rFont val="Tahoma"/>
            <family val="2"/>
          </rPr>
          <t xml:space="preserve">
the additional 0.5in deduction is for 2in coastal case?</t>
        </r>
      </text>
    </comment>
    <comment ref="S4" authorId="0" shapeId="0">
      <text>
        <r>
          <rPr>
            <b/>
            <sz val="9"/>
            <color indexed="81"/>
            <rFont val="Tahoma"/>
            <charset val="1"/>
          </rPr>
          <t>hwye63e:</t>
        </r>
        <r>
          <rPr>
            <sz val="9"/>
            <color indexed="81"/>
            <rFont val="Tahoma"/>
            <charset val="1"/>
          </rPr>
          <t xml:space="preserve">
using j value for 1 - k/3 of 0.913. say ok. </t>
        </r>
      </text>
    </comment>
    <comment ref="T4" authorId="0" shapeId="0">
      <text>
        <r>
          <rPr>
            <b/>
            <sz val="9"/>
            <color indexed="81"/>
            <rFont val="Tahoma"/>
            <charset val="1"/>
          </rPr>
          <t>hwye63e:</t>
        </r>
        <r>
          <rPr>
            <sz val="9"/>
            <color indexed="81"/>
            <rFont val="Tahoma"/>
            <charset val="1"/>
          </rPr>
          <t xml:space="preserve">
using j value for 1 - k/3 of 0.913. say ok. </t>
        </r>
      </text>
    </comment>
    <comment ref="AC4" authorId="0" shapeId="0">
      <text>
        <r>
          <rPr>
            <b/>
            <sz val="9"/>
            <color indexed="81"/>
            <rFont val="Tahoma"/>
            <family val="2"/>
          </rPr>
          <t>hwye63e:</t>
        </r>
        <r>
          <rPr>
            <sz val="9"/>
            <color indexed="81"/>
            <rFont val="Tahoma"/>
            <family val="2"/>
          </rPr>
          <t xml:space="preserve">
higher than 36ksi, but not checking cracking at bottom of deck</t>
        </r>
      </text>
    </comment>
    <comment ref="BN4" authorId="0" shapeId="0">
      <text>
        <r>
          <rPr>
            <b/>
            <sz val="9"/>
            <color indexed="81"/>
            <rFont val="Tahoma"/>
            <family val="2"/>
          </rPr>
          <t>hwye63e:</t>
        </r>
        <r>
          <rPr>
            <sz val="9"/>
            <color indexed="81"/>
            <rFont val="Tahoma"/>
            <family val="2"/>
          </rPr>
          <t xml:space="preserve">
input to max the spacing selected</t>
        </r>
      </text>
    </comment>
  </commentList>
</comments>
</file>

<file path=xl/comments2.xml><?xml version="1.0" encoding="utf-8"?>
<comments xmlns="http://schemas.openxmlformats.org/spreadsheetml/2006/main">
  <authors>
    <author>hwye63e</author>
  </authors>
  <commentList>
    <comment ref="B4" authorId="0" shapeId="0">
      <text>
        <r>
          <rPr>
            <b/>
            <sz val="9"/>
            <color indexed="81"/>
            <rFont val="Tahoma"/>
            <family val="2"/>
          </rPr>
          <t>hwye63e:</t>
        </r>
        <r>
          <rPr>
            <sz val="9"/>
            <color indexed="81"/>
            <rFont val="Tahoma"/>
            <family val="2"/>
          </rPr>
          <t xml:space="preserve">
this is the input or design, min. is 8in. Then increase by 1/4in for strength</t>
        </r>
      </text>
    </comment>
    <comment ref="H4" authorId="0" shapeId="0">
      <text>
        <r>
          <rPr>
            <b/>
            <sz val="9"/>
            <color indexed="81"/>
            <rFont val="Tahoma"/>
            <charset val="1"/>
          </rPr>
          <t>hwye63e:</t>
        </r>
        <r>
          <rPr>
            <sz val="9"/>
            <color indexed="81"/>
            <rFont val="Tahoma"/>
            <charset val="1"/>
          </rPr>
          <t xml:space="preserve">
2ft top flange, 1/3 is 8in. See 4.6.2.1.6
</t>
        </r>
      </text>
    </comment>
    <comment ref="R4" authorId="0" shapeId="0">
      <text>
        <r>
          <rPr>
            <b/>
            <sz val="9"/>
            <color indexed="81"/>
            <rFont val="Tahoma"/>
            <family val="2"/>
          </rPr>
          <t>hwye63e:</t>
        </r>
        <r>
          <rPr>
            <sz val="9"/>
            <color indexed="81"/>
            <rFont val="Tahoma"/>
            <family val="2"/>
          </rPr>
          <t xml:space="preserve">
the additional 0.5in deduction is for 2in coastal case?</t>
        </r>
      </text>
    </comment>
    <comment ref="S4" authorId="0" shapeId="0">
      <text>
        <r>
          <rPr>
            <b/>
            <sz val="9"/>
            <color indexed="81"/>
            <rFont val="Tahoma"/>
            <charset val="1"/>
          </rPr>
          <t>hwye63e:</t>
        </r>
        <r>
          <rPr>
            <sz val="9"/>
            <color indexed="81"/>
            <rFont val="Tahoma"/>
            <charset val="1"/>
          </rPr>
          <t xml:space="preserve">
using j value for 1 - k/3 of 0.913. say ok. </t>
        </r>
      </text>
    </comment>
    <comment ref="T4" authorId="0" shapeId="0">
      <text>
        <r>
          <rPr>
            <b/>
            <sz val="9"/>
            <color indexed="81"/>
            <rFont val="Tahoma"/>
            <charset val="1"/>
          </rPr>
          <t>hwye63e:</t>
        </r>
        <r>
          <rPr>
            <sz val="9"/>
            <color indexed="81"/>
            <rFont val="Tahoma"/>
            <charset val="1"/>
          </rPr>
          <t xml:space="preserve">
using j value for 1 - k/3 of 0.913. say ok. </t>
        </r>
      </text>
    </comment>
    <comment ref="AC4" authorId="0" shapeId="0">
      <text>
        <r>
          <rPr>
            <b/>
            <sz val="9"/>
            <color indexed="81"/>
            <rFont val="Tahoma"/>
            <family val="2"/>
          </rPr>
          <t>hwye63e:</t>
        </r>
        <r>
          <rPr>
            <sz val="9"/>
            <color indexed="81"/>
            <rFont val="Tahoma"/>
            <family val="2"/>
          </rPr>
          <t xml:space="preserve">
higher than 36ksi, but not checking cracking at bottom of deck</t>
        </r>
      </text>
    </comment>
    <comment ref="BN4" authorId="0" shapeId="0">
      <text>
        <r>
          <rPr>
            <b/>
            <sz val="9"/>
            <color indexed="81"/>
            <rFont val="Tahoma"/>
            <family val="2"/>
          </rPr>
          <t>hwye63e:</t>
        </r>
        <r>
          <rPr>
            <sz val="9"/>
            <color indexed="81"/>
            <rFont val="Tahoma"/>
            <family val="2"/>
          </rPr>
          <t xml:space="preserve">
input to max the spacing selected</t>
        </r>
      </text>
    </comment>
  </commentList>
</comments>
</file>

<file path=xl/sharedStrings.xml><?xml version="1.0" encoding="utf-8"?>
<sst xmlns="http://schemas.openxmlformats.org/spreadsheetml/2006/main" count="1460" uniqueCount="211">
  <si>
    <t>+ Mom</t>
  </si>
  <si>
    <t>- Mom</t>
  </si>
  <si>
    <t>- DL</t>
  </si>
  <si>
    <t>+ DL</t>
  </si>
  <si>
    <t>+ LL</t>
  </si>
  <si>
    <t>Span (ft)</t>
  </si>
  <si>
    <t>- FWS</t>
  </si>
  <si>
    <t>+ FWS</t>
  </si>
  <si>
    <t>Rebar</t>
  </si>
  <si>
    <t>area</t>
  </si>
  <si>
    <t>Thick</t>
  </si>
  <si>
    <t>#4 @ 6</t>
  </si>
  <si>
    <t>#4 @ 5.5</t>
  </si>
  <si>
    <t>- d</t>
  </si>
  <si>
    <t>+ d</t>
  </si>
  <si>
    <t>- 4000</t>
  </si>
  <si>
    <t>- 4500</t>
  </si>
  <si>
    <t>+ 4500</t>
  </si>
  <si>
    <t>+ 4000</t>
  </si>
  <si>
    <t>- rho</t>
  </si>
  <si>
    <t>+ rho</t>
  </si>
  <si>
    <t>- dc</t>
  </si>
  <si>
    <t>+ dc</t>
  </si>
  <si>
    <t>- A</t>
  </si>
  <si>
    <t>+ A</t>
  </si>
  <si>
    <t>Z</t>
  </si>
  <si>
    <t>- fsa</t>
  </si>
  <si>
    <t>+ fsa</t>
  </si>
  <si>
    <t xml:space="preserve"> - fs</t>
  </si>
  <si>
    <t xml:space="preserve"> + fs</t>
  </si>
  <si>
    <t>N</t>
  </si>
  <si>
    <t>fs(max)</t>
  </si>
  <si>
    <t>#5 @ 8</t>
  </si>
  <si>
    <t>#5 @ 7</t>
  </si>
  <si>
    <t>#5 @ 6</t>
  </si>
  <si>
    <t>- LL 6"</t>
  </si>
  <si>
    <t>LRFD Deck Design - Service I Limit State - Prestressed Concrete Beams Only</t>
  </si>
  <si>
    <t>- LL 8"</t>
  </si>
  <si>
    <t>LRFD Deck Design - Strength I Limit State - Prestressed Concrete Girders Only</t>
  </si>
  <si>
    <t>dist %</t>
  </si>
  <si>
    <t>dist A</t>
  </si>
  <si>
    <t>Actual A</t>
  </si>
  <si>
    <t>#4 @ 6.5</t>
  </si>
  <si>
    <t>Trans bars</t>
  </si>
  <si>
    <t>longit bars</t>
  </si>
  <si>
    <t>LRFD Deck Design - Strength I Limit State - Steel Girders and Cast-in-Place Concrete Box Girders</t>
  </si>
  <si>
    <t>S (ft)</t>
  </si>
  <si>
    <t>t (in)</t>
  </si>
  <si>
    <t>Design Moment</t>
  </si>
  <si>
    <t>Design Capacity</t>
  </si>
  <si>
    <t>- 5000</t>
  </si>
  <si>
    <t>+ 5000</t>
  </si>
  <si>
    <t>Assumptions</t>
  </si>
  <si>
    <t>Deck Design Chart</t>
  </si>
  <si>
    <t>n</t>
  </si>
  <si>
    <t>0.4*f'c</t>
  </si>
  <si>
    <t>0.6*Fy</t>
  </si>
  <si>
    <t>k</t>
  </si>
  <si>
    <t>j</t>
  </si>
  <si>
    <t>- x</t>
  </si>
  <si>
    <t>+ x</t>
  </si>
  <si>
    <t>- fc</t>
  </si>
  <si>
    <t>+ C = T</t>
  </si>
  <si>
    <t>- C = T</t>
  </si>
  <si>
    <t>- fs</t>
  </si>
  <si>
    <t>+ fs</t>
  </si>
  <si>
    <t>+ fc</t>
  </si>
  <si>
    <t xml:space="preserve">L = 1.5 + 4 + S </t>
  </si>
  <si>
    <t>PL/4</t>
  </si>
  <si>
    <t>M(dead)</t>
  </si>
  <si>
    <t>M(24K)</t>
  </si>
  <si>
    <t>LRFD Deck Design - Service I Limit State - Steel Girders &amp; CIP Concrete Box Girders</t>
  </si>
  <si>
    <t>M(des)</t>
  </si>
  <si>
    <t>Des/24K</t>
  </si>
  <si>
    <t>Positive Moment from 2 - 24 kip axles @ 4'-0" (2 - 12 kip wheels)</t>
  </si>
  <si>
    <t>w (k/ft)</t>
  </si>
  <si>
    <t>Page 2 of 2</t>
  </si>
  <si>
    <t>γe</t>
  </si>
  <si>
    <t>h</t>
  </si>
  <si>
    <t xml:space="preserve"> - βs</t>
  </si>
  <si>
    <t>Trans Bars</t>
  </si>
  <si>
    <t>- s(max)</t>
  </si>
  <si>
    <t>+ s(max)</t>
  </si>
  <si>
    <t xml:space="preserve"> + βs</t>
  </si>
  <si>
    <t>crack size</t>
  </si>
  <si>
    <t>"b"</t>
  </si>
  <si>
    <t>"c"</t>
  </si>
  <si>
    <t>information only.  It is not part of the design requirements.</t>
  </si>
  <si>
    <r>
      <t>Note</t>
    </r>
    <r>
      <rPr>
        <sz val="10"/>
        <rFont val="Arial"/>
      </rPr>
      <t>:  Allowable steel stress per "Z" equation is shown for</t>
    </r>
  </si>
  <si>
    <t>Note: "b" and "c" are the factors used to solve</t>
  </si>
  <si>
    <t>a quadradic equation ax^2 + bx + c, where a=1</t>
  </si>
  <si>
    <t>and the solution is (-b+sqrt(b^2 - 4ac))/2a</t>
  </si>
  <si>
    <t>Pg 1 of 2</t>
  </si>
  <si>
    <t>Pg 2 of 2</t>
  </si>
  <si>
    <t>Bar Size and Spacing</t>
  </si>
  <si>
    <t>Standard Precast Prestressed Concrete Girders</t>
  </si>
  <si>
    <t>(Bulb-I, Bulb-T, Spread Slabs &amp; Boxes)</t>
  </si>
  <si>
    <t>Steel Girders and Cast-in-Place Concrete Box Girders</t>
  </si>
  <si>
    <t>t - 2.5" - trans/2</t>
  </si>
  <si>
    <t>Assume transverse bars on top</t>
  </si>
  <si>
    <t>(t - 2.5" - trans/2)</t>
  </si>
  <si>
    <t>#5 @ 6.5</t>
  </si>
  <si>
    <t>#5 @ 7.5</t>
  </si>
  <si>
    <t>Assume 1/2" wear</t>
  </si>
  <si>
    <t>t - 1.5"- bar/2 - 1/2"</t>
  </si>
  <si>
    <t>Assume 1/2" deck wear</t>
  </si>
  <si>
    <t>(t - 1.5" - bar/2 - 1/2")</t>
  </si>
  <si>
    <t>t - 1.5" - bar/2 - 1/2"</t>
  </si>
  <si>
    <r>
      <t>ρ</t>
    </r>
    <r>
      <rPr>
        <b/>
        <sz val="10"/>
        <rFont val="Arial"/>
        <family val="2"/>
      </rPr>
      <t>s</t>
    </r>
  </si>
  <si>
    <t>ρg &gt; 0.0063</t>
  </si>
  <si>
    <t>#4 @ 8</t>
  </si>
  <si>
    <t>ρg &gt; 0.00632</t>
  </si>
  <si>
    <r>
      <t>ρ</t>
    </r>
    <r>
      <rPr>
        <b/>
        <sz val="10"/>
        <rFont val="Arial"/>
        <family val="2"/>
      </rPr>
      <t>g</t>
    </r>
  </si>
  <si>
    <t>√</t>
  </si>
  <si>
    <t>AASHTO Table A4-1:  Maximum Live Load Moments Per Unit Width (k-ft/ft)</t>
  </si>
  <si>
    <t>M-</t>
  </si>
  <si>
    <t>S</t>
  </si>
  <si>
    <t>M+</t>
  </si>
  <si>
    <t>Dist from c.l. girder to design section for M-</t>
  </si>
  <si>
    <t>grade 60</t>
  </si>
  <si>
    <t xml:space="preserve">alex: for cracked transformed section, </t>
  </si>
  <si>
    <t xml:space="preserve">solve for C and T. </t>
  </si>
  <si>
    <r>
      <t>solve for equation of 6c</t>
    </r>
    <r>
      <rPr>
        <vertAlign val="superscript"/>
        <sz val="10"/>
        <rFont val="Arial"/>
        <family val="2"/>
      </rPr>
      <t>2</t>
    </r>
    <r>
      <rPr>
        <sz val="10"/>
        <rFont val="Arial"/>
        <family val="2"/>
      </rPr>
      <t xml:space="preserve"> + Ac - Ad</t>
    </r>
  </si>
  <si>
    <t>actual force</t>
  </si>
  <si>
    <t>modify the rebar</t>
  </si>
  <si>
    <t>moment by this eqn</t>
  </si>
  <si>
    <t>from 4000 to 4500 moment increases</t>
  </si>
  <si>
    <t>Notes:</t>
  </si>
  <si>
    <t>1. Top rebar is over design for smaller S</t>
  </si>
  <si>
    <t xml:space="preserve">check 4000 </t>
  </si>
  <si>
    <t>check 4500</t>
  </si>
  <si>
    <t>increase</t>
  </si>
  <si>
    <t>4500 not efficient for grade 60.</t>
  </si>
  <si>
    <t xml:space="preserve">right at 1.00, ok. </t>
  </si>
  <si>
    <t>checked with next tab</t>
  </si>
  <si>
    <t xml:space="preserve">slightly higher… </t>
  </si>
  <si>
    <t>ok….</t>
  </si>
  <si>
    <t>steel stress less than 36ksi</t>
  </si>
  <si>
    <t xml:space="preserve">control by negative </t>
  </si>
  <si>
    <t>moment from here</t>
  </si>
  <si>
    <t>fy =</t>
  </si>
  <si>
    <t>Transverse Bars on Top - Concrete Strength = 4500 psi</t>
  </si>
  <si>
    <t>ksi</t>
  </si>
  <si>
    <t>capacity to demand ratio</t>
  </si>
  <si>
    <t>#4 @ 7.5</t>
  </si>
  <si>
    <t>#4 @ 7</t>
  </si>
  <si>
    <t>dia. to #5 bar</t>
  </si>
  <si>
    <t>#4 @ 5</t>
  </si>
  <si>
    <t>modify the spacing to get the ρg limit</t>
  </si>
  <si>
    <t>grade 80</t>
  </si>
  <si>
    <t>Limit +f'c to 1.8 ksi</t>
  </si>
  <si>
    <t>steel stress less than 48ksi</t>
  </si>
  <si>
    <t>less than 48</t>
  </si>
  <si>
    <t>modify the spacing to reduce the crack size</t>
  </si>
  <si>
    <t xml:space="preserve">modify spacing within the 5in and 8in limit to limit the crack size. </t>
  </si>
  <si>
    <t>(Top Mat Orientation with Transverse Bars on Top - Concrete strength = 4500 psi)</t>
  </si>
  <si>
    <t>%</t>
  </si>
  <si>
    <t>add column to check 67%</t>
  </si>
  <si>
    <t>LRFD 9.7.3.2</t>
  </si>
  <si>
    <t>use tighter spacing for long. Bars for 11 ft span</t>
  </si>
  <si>
    <t>to help in reducing crack.</t>
  </si>
  <si>
    <t>Top Mat Orientation:   Transverse bars on top</t>
  </si>
  <si>
    <t xml:space="preserve">Design Moment:     1.25*DL + 1.5*DW +1.75*LL    </t>
  </si>
  <si>
    <t xml:space="preserve">          wear subtracted from positive moment "d"</t>
  </si>
  <si>
    <t>is measured perpendicular to the bars.</t>
  </si>
  <si>
    <t>Place bottom mat bars directly below and in line with a</t>
  </si>
  <si>
    <t>top mat bar.  At expansion and construction joints, however,</t>
  </si>
  <si>
    <t>it is not neccessary for all bottom mat bars to be directly</t>
  </si>
  <si>
    <t>below a top mat bar.</t>
  </si>
  <si>
    <r>
      <t xml:space="preserve">Concrete Class:   </t>
    </r>
    <r>
      <rPr>
        <b/>
        <sz val="10"/>
        <color theme="4"/>
        <rFont val="Arial"/>
        <family val="2"/>
      </rPr>
      <t>HPC 4500</t>
    </r>
  </si>
  <si>
    <t>Spc (in)</t>
  </si>
  <si>
    <t>Bar area</t>
  </si>
  <si>
    <t>Dia.</t>
  </si>
  <si>
    <t>Concrete and Rebar Service Stresses - Tran bars on top - 4500 psi concrete</t>
  </si>
  <si>
    <t>(Top Mat Orientation with Tran Bars on Top - Concrete Strength = 4500 psi)</t>
  </si>
  <si>
    <t>Assume tran bars on top</t>
  </si>
  <si>
    <t>long bar</t>
  </si>
  <si>
    <t>spc</t>
  </si>
  <si>
    <r>
      <t>f</t>
    </r>
    <r>
      <rPr>
        <vertAlign val="subscript"/>
        <sz val="10"/>
        <rFont val="Arial"/>
        <family val="2"/>
      </rPr>
      <t>y</t>
    </r>
    <r>
      <rPr>
        <sz val="10"/>
        <rFont val="Arial"/>
        <family val="2"/>
      </rPr>
      <t xml:space="preserve"> =</t>
    </r>
  </si>
  <si>
    <t>Dead Load:   150 pcf + 25 psf future wearing surface</t>
  </si>
  <si>
    <r>
      <t xml:space="preserve">Reinforcement:   </t>
    </r>
    <r>
      <rPr>
        <b/>
        <sz val="10"/>
        <color theme="4"/>
        <rFont val="Arial"/>
        <family val="2"/>
      </rPr>
      <t>Grade 60 or Grade 80</t>
    </r>
  </si>
  <si>
    <t xml:space="preserve">Designed in accordance with the 2020 edition of the AASHTO </t>
  </si>
  <si>
    <t>LRFD Bridge Design Specifications</t>
  </si>
  <si>
    <t>less than 36ksi</t>
  </si>
  <si>
    <t>Concrete and Rebar Service Stresses - Transverse bars on top - 4500 psi concrete</t>
  </si>
  <si>
    <t xml:space="preserve">for cracked transformed section, </t>
  </si>
  <si>
    <t>C/D Ratio</t>
  </si>
  <si>
    <t>0.913 is from col.</t>
  </si>
  <si>
    <t xml:space="preserve">Deck DL moments:  </t>
  </si>
  <si>
    <r>
      <t>Negative -0.10wS</t>
    </r>
    <r>
      <rPr>
        <vertAlign val="superscript"/>
        <sz val="10"/>
        <rFont val="Arial"/>
        <family val="2"/>
      </rPr>
      <t>2</t>
    </r>
    <r>
      <rPr>
        <sz val="10"/>
        <rFont val="Arial"/>
        <family val="2"/>
      </rPr>
      <t xml:space="preserve">  </t>
    </r>
  </si>
  <si>
    <r>
      <t>Positive +0.08wS</t>
    </r>
    <r>
      <rPr>
        <vertAlign val="superscript"/>
        <sz val="10"/>
        <rFont val="Arial"/>
        <family val="2"/>
      </rPr>
      <t>2</t>
    </r>
  </si>
  <si>
    <t xml:space="preserve">       </t>
  </si>
  <si>
    <t xml:space="preserve">Live Load:   </t>
  </si>
  <si>
    <t>negative moment design section</t>
  </si>
  <si>
    <t>Impact included in Table A4-1 live loads</t>
  </si>
  <si>
    <t xml:space="preserve">Surface wear:  1/2" allowance for surface </t>
  </si>
  <si>
    <t>NOTE:</t>
  </si>
  <si>
    <t>Additional reinforcement to accomodate rail  loads</t>
  </si>
  <si>
    <t xml:space="preserve">at deck overhang is not included in these details. </t>
  </si>
  <si>
    <t>The designer is responsible for design of overhangs.</t>
  </si>
  <si>
    <t xml:space="preserve">"S" is measured parallel to the transverse bars.  Bar spacing </t>
  </si>
  <si>
    <t>For marine and coastal locations, see BDM Table 1.5.5-2 and BDM</t>
  </si>
  <si>
    <t>1.9.2.1.3 for additional corrosion protection recommendations.</t>
  </si>
  <si>
    <t>For steel girder:</t>
  </si>
  <si>
    <r>
      <rPr>
        <b/>
        <u/>
        <sz val="10"/>
        <color rgb="FFFF0000"/>
        <rFont val="Arial"/>
        <family val="2"/>
      </rPr>
      <t>Disclaimer:</t>
    </r>
    <r>
      <rPr>
        <sz val="10"/>
        <rFont val="Arial"/>
        <family val="2"/>
      </rPr>
      <t xml:space="preserve"> The Oregon DOT Bridge Engineering Section makes the design tool available "AS IS" and assumes no liability nor makes any warranty of any kind, including warranties of noninfringement, fitness or merchantability whether expressed or implied, to the accuracy or functionality of this design tool. By downloading or using this file, you are agreeing to this disclaimer.
The Oregon DOT Bridge Engineering Section will only support those persons using this design tool in connection with Oregon DOT related business.
Please report any errors to the Oregon DOT BDM Engineer.</t>
    </r>
  </si>
  <si>
    <t xml:space="preserve">Table A4-1 using 8" from CL of girder to the </t>
  </si>
  <si>
    <t>For Prestressed Concrete Girder:</t>
  </si>
  <si>
    <t>Table A4-1 using one-quarter of the top flange width (24")</t>
  </si>
  <si>
    <t>from CL of girder to the negative moment design section</t>
  </si>
  <si>
    <t>LRFD 4.6.2.1.6</t>
  </si>
  <si>
    <t>This spreadsheet design deck reinforcing for both the strength and service limit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</si>
</sst>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00"/>
    <numFmt numFmtId="166" formatCode="0.00000"/>
    <numFmt numFmtId="167" formatCode="0.0"/>
    <numFmt numFmtId="168" formatCode="0.0000"/>
  </numFmts>
  <fonts count="25" x14ac:knownFonts="1">
    <font>
      <sz val="10"/>
      <name val="Arial"/>
    </font>
    <font>
      <sz val="10"/>
      <name val="Arial"/>
    </font>
    <font>
      <sz val="8"/>
      <name val="Arial"/>
    </font>
    <font>
      <b/>
      <sz val="10"/>
      <name val="Arial"/>
      <family val="2"/>
    </font>
    <font>
      <b/>
      <sz val="14"/>
      <name val="Arial"/>
      <family val="2"/>
    </font>
    <font>
      <b/>
      <sz val="16"/>
      <name val="Arial"/>
      <family val="2"/>
    </font>
    <font>
      <b/>
      <u/>
      <sz val="10"/>
      <name val="Arial"/>
      <family val="2"/>
    </font>
    <font>
      <sz val="10"/>
      <name val="Arial"/>
      <family val="2"/>
    </font>
    <font>
      <u/>
      <sz val="10"/>
      <name val="Arial"/>
    </font>
    <font>
      <b/>
      <u/>
      <sz val="16"/>
      <name val="Arial"/>
      <family val="2"/>
    </font>
    <font>
      <b/>
      <sz val="12"/>
      <name val="Arial"/>
      <family val="2"/>
    </font>
    <font>
      <u/>
      <sz val="10"/>
      <name val="Arial"/>
      <family val="2"/>
    </font>
    <font>
      <b/>
      <sz val="10"/>
      <name val="Arial"/>
    </font>
    <font>
      <sz val="9"/>
      <color indexed="81"/>
      <name val="Tahoma"/>
      <family val="2"/>
    </font>
    <font>
      <b/>
      <sz val="9"/>
      <color indexed="81"/>
      <name val="Tahoma"/>
      <family val="2"/>
    </font>
    <font>
      <sz val="9"/>
      <color indexed="81"/>
      <name val="Tahoma"/>
      <charset val="1"/>
    </font>
    <font>
      <b/>
      <sz val="9"/>
      <color indexed="81"/>
      <name val="Tahoma"/>
      <charset val="1"/>
    </font>
    <font>
      <sz val="10"/>
      <color rgb="FFFF0000"/>
      <name val="Calibri"/>
      <family val="2"/>
    </font>
    <font>
      <sz val="10"/>
      <color rgb="FFFF0000"/>
      <name val="Arial"/>
      <family val="2"/>
    </font>
    <font>
      <b/>
      <sz val="10"/>
      <color rgb="FFFF0000"/>
      <name val="Arial"/>
      <family val="2"/>
    </font>
    <font>
      <vertAlign val="superscript"/>
      <sz val="10"/>
      <name val="Arial"/>
      <family val="2"/>
    </font>
    <font>
      <strike/>
      <sz val="10"/>
      <color rgb="FFFF0000"/>
      <name val="Arial"/>
      <family val="2"/>
    </font>
    <font>
      <b/>
      <sz val="10"/>
      <color theme="4"/>
      <name val="Arial"/>
      <family val="2"/>
    </font>
    <font>
      <vertAlign val="subscript"/>
      <sz val="10"/>
      <name val="Arial"/>
      <family val="2"/>
    </font>
    <font>
      <b/>
      <u/>
      <sz val="10"/>
      <color rgb="FFFF0000"/>
      <name val="Arial"/>
      <family val="2"/>
    </font>
  </fonts>
  <fills count="9">
    <fill>
      <patternFill patternType="none"/>
    </fill>
    <fill>
      <patternFill patternType="gray125"/>
    </fill>
    <fill>
      <patternFill patternType="solid">
        <fgColor indexed="43"/>
        <bgColor indexed="64"/>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FFFF99"/>
        <bgColor indexed="64"/>
      </patternFill>
    </fill>
    <fill>
      <patternFill patternType="solid">
        <fgColor rgb="FFFFFF00"/>
        <bgColor indexed="64"/>
      </patternFill>
    </fill>
  </fills>
  <borders count="27">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diagonal/>
    </border>
  </borders>
  <cellStyleXfs count="2">
    <xf numFmtId="0" fontId="0" fillId="0" borderId="0"/>
    <xf numFmtId="9" fontId="1" fillId="0" borderId="0" applyFont="0" applyFill="0" applyBorder="0" applyAlignment="0" applyProtection="0"/>
  </cellStyleXfs>
  <cellXfs count="318">
    <xf numFmtId="0" fontId="0" fillId="0" borderId="0" xfId="0"/>
    <xf numFmtId="0" fontId="0" fillId="0" borderId="0" xfId="0" applyAlignment="1">
      <alignment horizontal="center"/>
    </xf>
    <xf numFmtId="0" fontId="0" fillId="0" borderId="1" xfId="0" applyBorder="1" applyAlignment="1">
      <alignment horizontal="center"/>
    </xf>
    <xf numFmtId="0" fontId="0" fillId="0" borderId="0" xfId="0" applyBorder="1" applyAlignment="1">
      <alignment horizontal="center"/>
    </xf>
    <xf numFmtId="164" fontId="0" fillId="0" borderId="0" xfId="0" applyNumberFormat="1" applyBorder="1" applyAlignment="1">
      <alignment horizontal="center"/>
    </xf>
    <xf numFmtId="164" fontId="0" fillId="2" borderId="0" xfId="0" applyNumberFormat="1" applyFill="1" applyBorder="1" applyAlignment="1">
      <alignment horizontal="center"/>
    </xf>
    <xf numFmtId="2" fontId="0" fillId="2" borderId="0" xfId="0" applyNumberFormat="1" applyFill="1" applyBorder="1" applyAlignment="1">
      <alignment horizontal="center"/>
    </xf>
    <xf numFmtId="1" fontId="0" fillId="0" borderId="0" xfId="0" applyNumberForma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164" fontId="0" fillId="0" borderId="3" xfId="0" applyNumberFormat="1" applyBorder="1" applyAlignment="1">
      <alignment horizontal="center"/>
    </xf>
    <xf numFmtId="164" fontId="0" fillId="2" borderId="3" xfId="0" applyNumberFormat="1" applyFill="1" applyBorder="1" applyAlignment="1">
      <alignment horizontal="center"/>
    </xf>
    <xf numFmtId="2" fontId="0" fillId="2" borderId="3" xfId="0" applyNumberFormat="1" applyFill="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49" fontId="3" fillId="0" borderId="5" xfId="0" applyNumberFormat="1" applyFont="1" applyBorder="1" applyAlignment="1">
      <alignment horizontal="center"/>
    </xf>
    <xf numFmtId="49" fontId="3" fillId="0" borderId="6" xfId="0" applyNumberFormat="1"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64" fontId="0" fillId="0" borderId="8" xfId="0" applyNumberFormat="1" applyBorder="1" applyAlignment="1">
      <alignment horizontal="center"/>
    </xf>
    <xf numFmtId="164" fontId="0" fillId="2" borderId="8" xfId="0" applyNumberFormat="1" applyFill="1" applyBorder="1" applyAlignment="1">
      <alignment horizontal="center"/>
    </xf>
    <xf numFmtId="2" fontId="0" fillId="2" borderId="8" xfId="0" applyNumberFormat="1" applyFill="1" applyBorder="1" applyAlignment="1">
      <alignment horizontal="center"/>
    </xf>
    <xf numFmtId="2" fontId="0" fillId="0" borderId="0" xfId="0" applyNumberFormat="1" applyBorder="1" applyAlignment="1">
      <alignment horizontal="center"/>
    </xf>
    <xf numFmtId="167" fontId="0" fillId="0" borderId="0" xfId="0" applyNumberFormat="1" applyBorder="1" applyAlignment="1">
      <alignment horizontal="center"/>
    </xf>
    <xf numFmtId="1" fontId="0" fillId="0" borderId="9" xfId="0" applyNumberFormat="1" applyBorder="1" applyAlignment="1">
      <alignment horizontal="center"/>
    </xf>
    <xf numFmtId="2" fontId="0" fillId="0" borderId="3" xfId="0" applyNumberFormat="1" applyBorder="1" applyAlignment="1">
      <alignment horizontal="center"/>
    </xf>
    <xf numFmtId="1" fontId="0" fillId="0" borderId="10" xfId="0" applyNumberFormat="1" applyBorder="1" applyAlignment="1">
      <alignment horizontal="center"/>
    </xf>
    <xf numFmtId="2" fontId="0" fillId="0" borderId="8" xfId="0" applyNumberFormat="1" applyBorder="1" applyAlignment="1">
      <alignment horizontal="center"/>
    </xf>
    <xf numFmtId="1" fontId="0" fillId="0" borderId="11" xfId="0" applyNumberFormat="1" applyBorder="1" applyAlignment="1">
      <alignment horizontal="center"/>
    </xf>
    <xf numFmtId="0" fontId="4" fillId="0" borderId="0" xfId="0" applyFont="1"/>
    <xf numFmtId="0" fontId="5" fillId="0" borderId="0" xfId="0" applyFont="1"/>
    <xf numFmtId="0" fontId="3" fillId="0" borderId="6" xfId="0" applyFon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0" fillId="0" borderId="10" xfId="0" applyNumberFormat="1" applyBorder="1" applyAlignment="1">
      <alignment horizontal="center"/>
    </xf>
    <xf numFmtId="49" fontId="3" fillId="0" borderId="4" xfId="0" applyNumberFormat="1" applyFont="1" applyBorder="1" applyAlignment="1">
      <alignment horizontal="center"/>
    </xf>
    <xf numFmtId="164" fontId="0" fillId="2" borderId="1" xfId="0" applyNumberFormat="1" applyFill="1" applyBorder="1" applyAlignment="1">
      <alignment horizontal="center"/>
    </xf>
    <xf numFmtId="164" fontId="0" fillId="2" borderId="7" xfId="0" applyNumberFormat="1" applyFill="1" applyBorder="1" applyAlignment="1">
      <alignment horizontal="center"/>
    </xf>
    <xf numFmtId="164" fontId="0" fillId="2" borderId="2" xfId="0" applyNumberFormat="1" applyFill="1" applyBorder="1" applyAlignment="1">
      <alignment horizontal="center"/>
    </xf>
    <xf numFmtId="166" fontId="0" fillId="2" borderId="1" xfId="0" applyNumberFormat="1" applyFill="1" applyBorder="1" applyAlignment="1">
      <alignment horizontal="center"/>
    </xf>
    <xf numFmtId="166" fontId="0" fillId="2" borderId="7" xfId="0" applyNumberFormat="1" applyFill="1" applyBorder="1" applyAlignment="1">
      <alignment horizontal="center"/>
    </xf>
    <xf numFmtId="166" fontId="0" fillId="2" borderId="2" xfId="0" applyNumberFormat="1" applyFill="1" applyBorder="1" applyAlignment="1">
      <alignment horizontal="center"/>
    </xf>
    <xf numFmtId="164" fontId="0" fillId="0" borderId="12" xfId="0" applyNumberFormat="1" applyBorder="1" applyAlignment="1">
      <alignment horizontal="center"/>
    </xf>
    <xf numFmtId="164" fontId="0" fillId="0" borderId="13" xfId="0" applyNumberFormat="1" applyBorder="1" applyAlignment="1">
      <alignment horizontal="center"/>
    </xf>
    <xf numFmtId="164" fontId="0" fillId="0" borderId="14" xfId="0" applyNumberFormat="1" applyBorder="1" applyAlignment="1">
      <alignment horizontal="center"/>
    </xf>
    <xf numFmtId="49" fontId="3" fillId="0" borderId="15" xfId="0" applyNumberFormat="1" applyFont="1" applyBorder="1" applyAlignment="1">
      <alignment horizontal="center"/>
    </xf>
    <xf numFmtId="49" fontId="3" fillId="0" borderId="16" xfId="0" applyNumberFormat="1" applyFont="1"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2" fontId="0" fillId="2" borderId="1" xfId="0" applyNumberFormat="1" applyFill="1" applyBorder="1" applyAlignment="1">
      <alignment horizontal="center"/>
    </xf>
    <xf numFmtId="2" fontId="0" fillId="2" borderId="7" xfId="0" applyNumberFormat="1" applyFill="1" applyBorder="1" applyAlignment="1">
      <alignment horizontal="center"/>
    </xf>
    <xf numFmtId="2" fontId="0" fillId="2" borderId="2" xfId="0" applyNumberFormat="1" applyFill="1" applyBorder="1" applyAlignment="1">
      <alignment horizontal="center"/>
    </xf>
    <xf numFmtId="49" fontId="3" fillId="0" borderId="17" xfId="0" applyNumberFormat="1" applyFont="1" applyBorder="1" applyAlignment="1">
      <alignment horizontal="center"/>
    </xf>
    <xf numFmtId="0" fontId="3" fillId="0" borderId="19" xfId="0" applyFont="1"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49" fontId="3" fillId="0" borderId="20" xfId="0" applyNumberFormat="1" applyFont="1" applyBorder="1" applyAlignment="1">
      <alignment horizontal="center"/>
    </xf>
    <xf numFmtId="0" fontId="0" fillId="0" borderId="0" xfId="0" applyFill="1" applyBorder="1" applyAlignment="1">
      <alignment horizontal="left"/>
    </xf>
    <xf numFmtId="0" fontId="7" fillId="0" borderId="14" xfId="0" applyFont="1" applyBorder="1" applyAlignment="1">
      <alignment horizontal="center"/>
    </xf>
    <xf numFmtId="2" fontId="0" fillId="2" borderId="14" xfId="0" applyNumberFormat="1" applyFill="1" applyBorder="1" applyAlignment="1">
      <alignment horizontal="center"/>
    </xf>
    <xf numFmtId="164" fontId="0" fillId="2" borderId="0" xfId="0" applyNumberFormat="1" applyFill="1" applyAlignment="1">
      <alignment horizontal="center"/>
    </xf>
    <xf numFmtId="2" fontId="0" fillId="0" borderId="9" xfId="0" applyNumberFormat="1" applyBorder="1" applyAlignment="1">
      <alignment horizontal="center"/>
    </xf>
    <xf numFmtId="2" fontId="0" fillId="0" borderId="10" xfId="0" applyNumberFormat="1" applyBorder="1" applyAlignment="1">
      <alignment horizontal="center"/>
    </xf>
    <xf numFmtId="2" fontId="0" fillId="0" borderId="11" xfId="0" applyNumberFormat="1" applyBorder="1" applyAlignment="1">
      <alignment horizontal="center"/>
    </xf>
    <xf numFmtId="2" fontId="0" fillId="0" borderId="1" xfId="0" applyNumberFormat="1" applyBorder="1" applyAlignment="1">
      <alignment horizontal="center"/>
    </xf>
    <xf numFmtId="49" fontId="3" fillId="0" borderId="19" xfId="0" applyNumberFormat="1" applyFont="1" applyBorder="1" applyAlignment="1">
      <alignment horizontal="center"/>
    </xf>
    <xf numFmtId="167" fontId="0" fillId="0" borderId="1" xfId="0" applyNumberFormat="1" applyBorder="1" applyAlignment="1">
      <alignment horizontal="center"/>
    </xf>
    <xf numFmtId="167" fontId="0" fillId="0" borderId="9" xfId="0" applyNumberFormat="1" applyBorder="1" applyAlignment="1">
      <alignment horizontal="center"/>
    </xf>
    <xf numFmtId="167" fontId="0" fillId="0" borderId="7" xfId="0" applyNumberFormat="1" applyBorder="1" applyAlignment="1">
      <alignment horizontal="center"/>
    </xf>
    <xf numFmtId="167" fontId="0" fillId="0" borderId="11" xfId="0" applyNumberFormat="1" applyBorder="1" applyAlignment="1">
      <alignment horizontal="center"/>
    </xf>
    <xf numFmtId="167" fontId="0" fillId="0" borderId="2" xfId="0" applyNumberFormat="1" applyBorder="1" applyAlignment="1">
      <alignment horizontal="center"/>
    </xf>
    <xf numFmtId="167" fontId="0" fillId="0" borderId="10" xfId="0" applyNumberFormat="1" applyBorder="1" applyAlignment="1">
      <alignment horizontal="center"/>
    </xf>
    <xf numFmtId="49" fontId="3" fillId="2" borderId="5" xfId="0" applyNumberFormat="1" applyFont="1" applyFill="1" applyBorder="1" applyAlignment="1">
      <alignment horizontal="center"/>
    </xf>
    <xf numFmtId="49" fontId="3" fillId="2" borderId="4" xfId="0" applyNumberFormat="1" applyFont="1" applyFill="1" applyBorder="1" applyAlignment="1">
      <alignment horizontal="center"/>
    </xf>
    <xf numFmtId="165" fontId="0" fillId="2" borderId="1" xfId="0" applyNumberFormat="1" applyFill="1" applyBorder="1" applyAlignment="1">
      <alignment horizontal="center"/>
    </xf>
    <xf numFmtId="165" fontId="0" fillId="2" borderId="7" xfId="0" applyNumberFormat="1" applyFill="1" applyBorder="1" applyAlignment="1">
      <alignment horizontal="center"/>
    </xf>
    <xf numFmtId="165" fontId="0" fillId="2" borderId="2" xfId="0" applyNumberFormat="1" applyFill="1" applyBorder="1" applyAlignment="1">
      <alignment horizontal="center"/>
    </xf>
    <xf numFmtId="164" fontId="3" fillId="2" borderId="0" xfId="0" applyNumberFormat="1" applyFont="1" applyFill="1" applyBorder="1" applyAlignment="1">
      <alignment horizontal="center"/>
    </xf>
    <xf numFmtId="164" fontId="3" fillId="2" borderId="8" xfId="0" applyNumberFormat="1" applyFont="1" applyFill="1" applyBorder="1" applyAlignment="1">
      <alignment horizontal="center"/>
    </xf>
    <xf numFmtId="164" fontId="3" fillId="2" borderId="3" xfId="0" applyNumberFormat="1" applyFont="1" applyFill="1" applyBorder="1" applyAlignment="1">
      <alignment horizontal="center"/>
    </xf>
    <xf numFmtId="164" fontId="3" fillId="2" borderId="0" xfId="0" applyNumberFormat="1" applyFont="1" applyFill="1" applyAlignment="1">
      <alignment horizontal="center"/>
    </xf>
    <xf numFmtId="9" fontId="0" fillId="0" borderId="9" xfId="1" applyFont="1" applyBorder="1" applyAlignment="1">
      <alignment horizontal="center"/>
    </xf>
    <xf numFmtId="9" fontId="0" fillId="0" borderId="10" xfId="1" applyFont="1" applyBorder="1" applyAlignment="1">
      <alignment horizontal="center"/>
    </xf>
    <xf numFmtId="9" fontId="0" fillId="0" borderId="11" xfId="1" applyFont="1" applyBorder="1" applyAlignment="1">
      <alignment horizontal="center"/>
    </xf>
    <xf numFmtId="49" fontId="3" fillId="0" borderId="6" xfId="0" applyNumberFormat="1" applyFont="1" applyFill="1" applyBorder="1" applyAlignment="1">
      <alignment horizontal="center"/>
    </xf>
    <xf numFmtId="2" fontId="0" fillId="0" borderId="13" xfId="0" applyNumberFormat="1" applyBorder="1" applyAlignment="1">
      <alignment horizontal="center"/>
    </xf>
    <xf numFmtId="2" fontId="0" fillId="0" borderId="12" xfId="0" applyNumberFormat="1" applyBorder="1" applyAlignment="1">
      <alignment horizontal="center"/>
    </xf>
    <xf numFmtId="2" fontId="0" fillId="0" borderId="14" xfId="0" applyNumberFormat="1" applyBorder="1" applyAlignment="1">
      <alignment horizontal="center"/>
    </xf>
    <xf numFmtId="49" fontId="3" fillId="0" borderId="19" xfId="0" applyNumberFormat="1" applyFont="1" applyFill="1" applyBorder="1" applyAlignment="1">
      <alignment horizontal="center"/>
    </xf>
    <xf numFmtId="49" fontId="3" fillId="3" borderId="5" xfId="0" applyNumberFormat="1" applyFont="1" applyFill="1" applyBorder="1" applyAlignment="1">
      <alignment horizontal="center"/>
    </xf>
    <xf numFmtId="165" fontId="0" fillId="3" borderId="0" xfId="0" applyNumberFormat="1" applyFill="1" applyBorder="1" applyAlignment="1">
      <alignment horizontal="center"/>
    </xf>
    <xf numFmtId="165" fontId="0" fillId="3" borderId="8" xfId="0" applyNumberFormat="1" applyFill="1" applyBorder="1" applyAlignment="1">
      <alignment horizontal="center"/>
    </xf>
    <xf numFmtId="165" fontId="0" fillId="3" borderId="3" xfId="0" applyNumberFormat="1" applyFill="1" applyBorder="1" applyAlignment="1">
      <alignment horizontal="center"/>
    </xf>
    <xf numFmtId="49" fontId="3" fillId="3" borderId="6" xfId="0" applyNumberFormat="1" applyFont="1" applyFill="1" applyBorder="1" applyAlignment="1">
      <alignment horizontal="center"/>
    </xf>
    <xf numFmtId="165" fontId="0" fillId="3" borderId="9" xfId="0" applyNumberFormat="1" applyFill="1" applyBorder="1" applyAlignment="1">
      <alignment horizontal="center"/>
    </xf>
    <xf numFmtId="165" fontId="0" fillId="3" borderId="11" xfId="0" applyNumberFormat="1" applyFill="1" applyBorder="1" applyAlignment="1">
      <alignment horizontal="center"/>
    </xf>
    <xf numFmtId="165" fontId="0" fillId="3" borderId="10" xfId="0" applyNumberFormat="1" applyFill="1" applyBorder="1" applyAlignment="1">
      <alignment horizontal="center"/>
    </xf>
    <xf numFmtId="2" fontId="0" fillId="3" borderId="0" xfId="0" applyNumberFormat="1" applyFill="1" applyBorder="1" applyAlignment="1">
      <alignment horizontal="center"/>
    </xf>
    <xf numFmtId="2" fontId="0" fillId="3" borderId="8" xfId="0" applyNumberFormat="1" applyFill="1" applyBorder="1" applyAlignment="1">
      <alignment horizontal="center"/>
    </xf>
    <xf numFmtId="2" fontId="0" fillId="3" borderId="3" xfId="0" applyNumberFormat="1" applyFill="1" applyBorder="1" applyAlignment="1">
      <alignment horizontal="center"/>
    </xf>
    <xf numFmtId="164" fontId="0" fillId="3" borderId="9" xfId="0" applyNumberFormat="1" applyFill="1" applyBorder="1" applyAlignment="1">
      <alignment horizontal="center"/>
    </xf>
    <xf numFmtId="164" fontId="0" fillId="3" borderId="11" xfId="0" applyNumberFormat="1" applyFill="1" applyBorder="1" applyAlignment="1">
      <alignment horizontal="center"/>
    </xf>
    <xf numFmtId="164" fontId="0" fillId="3" borderId="10" xfId="0" applyNumberFormat="1" applyFill="1" applyBorder="1" applyAlignment="1">
      <alignment horizontal="center"/>
    </xf>
    <xf numFmtId="164" fontId="0" fillId="3" borderId="0" xfId="0" applyNumberFormat="1" applyFill="1" applyBorder="1" applyAlignment="1">
      <alignment horizontal="center"/>
    </xf>
    <xf numFmtId="164" fontId="0" fillId="3" borderId="8" xfId="0" applyNumberFormat="1" applyFill="1" applyBorder="1" applyAlignment="1">
      <alignment horizontal="center"/>
    </xf>
    <xf numFmtId="164" fontId="0" fillId="3" borderId="3" xfId="0" applyNumberFormat="1" applyFill="1" applyBorder="1" applyAlignment="1">
      <alignment horizontal="center"/>
    </xf>
    <xf numFmtId="2" fontId="0" fillId="3" borderId="9" xfId="0" applyNumberFormat="1" applyFill="1" applyBorder="1" applyAlignment="1">
      <alignment horizontal="center"/>
    </xf>
    <xf numFmtId="2" fontId="0" fillId="3" borderId="11" xfId="0" applyNumberFormat="1" applyFill="1" applyBorder="1" applyAlignment="1">
      <alignment horizontal="center"/>
    </xf>
    <xf numFmtId="2" fontId="0" fillId="3" borderId="10" xfId="0" applyNumberFormat="1" applyFill="1" applyBorder="1" applyAlignment="1">
      <alignment horizontal="center"/>
    </xf>
    <xf numFmtId="2" fontId="0" fillId="3" borderId="13" xfId="0" applyNumberFormat="1" applyFill="1" applyBorder="1" applyAlignment="1">
      <alignment horizontal="center"/>
    </xf>
    <xf numFmtId="2" fontId="0" fillId="3" borderId="12" xfId="0" applyNumberFormat="1" applyFill="1" applyBorder="1" applyAlignment="1">
      <alignment horizontal="center"/>
    </xf>
    <xf numFmtId="2" fontId="0" fillId="3" borderId="14" xfId="0" applyNumberFormat="1" applyFill="1" applyBorder="1" applyAlignment="1">
      <alignment horizontal="center"/>
    </xf>
    <xf numFmtId="2" fontId="0" fillId="3" borderId="18" xfId="0" applyNumberFormat="1" applyFill="1" applyBorder="1" applyAlignment="1">
      <alignment horizontal="center"/>
    </xf>
    <xf numFmtId="166" fontId="0" fillId="3" borderId="9" xfId="0" applyNumberFormat="1" applyFill="1" applyBorder="1" applyAlignment="1">
      <alignment horizontal="center"/>
    </xf>
    <xf numFmtId="166" fontId="0" fillId="3" borderId="11" xfId="0" applyNumberFormat="1" applyFill="1" applyBorder="1" applyAlignment="1">
      <alignment horizontal="center"/>
    </xf>
    <xf numFmtId="166" fontId="0" fillId="3" borderId="10" xfId="0" applyNumberFormat="1" applyFill="1" applyBorder="1" applyAlignment="1">
      <alignment horizontal="center"/>
    </xf>
    <xf numFmtId="164" fontId="0" fillId="3" borderId="0" xfId="0" applyNumberFormat="1" applyFill="1" applyAlignment="1">
      <alignment horizontal="center"/>
    </xf>
    <xf numFmtId="0" fontId="0" fillId="0" borderId="12" xfId="0" applyFill="1" applyBorder="1" applyAlignment="1">
      <alignment horizontal="center"/>
    </xf>
    <xf numFmtId="0" fontId="0" fillId="0" borderId="14" xfId="0" applyFill="1" applyBorder="1" applyAlignment="1">
      <alignment horizontal="center"/>
    </xf>
    <xf numFmtId="49" fontId="3" fillId="0" borderId="0" xfId="0" applyNumberFormat="1" applyFont="1" applyFill="1" applyBorder="1" applyAlignment="1">
      <alignment horizontal="center"/>
    </xf>
    <xf numFmtId="164" fontId="7" fillId="3" borderId="0" xfId="0" applyNumberFormat="1" applyFont="1" applyFill="1" applyBorder="1" applyAlignment="1">
      <alignment horizontal="center"/>
    </xf>
    <xf numFmtId="0" fontId="10" fillId="0" borderId="0" xfId="0" applyFont="1"/>
    <xf numFmtId="0" fontId="0" fillId="0" borderId="0" xfId="0" applyAlignment="1">
      <alignment horizontal="right"/>
    </xf>
    <xf numFmtId="166" fontId="0" fillId="0" borderId="0" xfId="0" applyNumberFormat="1" applyFill="1" applyBorder="1" applyAlignment="1">
      <alignment horizontal="center"/>
    </xf>
    <xf numFmtId="49" fontId="3" fillId="0" borderId="5" xfId="0" applyNumberFormat="1" applyFont="1" applyFill="1" applyBorder="1" applyAlignment="1">
      <alignment horizontal="center"/>
    </xf>
    <xf numFmtId="164" fontId="7" fillId="2" borderId="0" xfId="0" applyNumberFormat="1" applyFont="1" applyFill="1" applyBorder="1" applyAlignment="1">
      <alignment horizontal="center"/>
    </xf>
    <xf numFmtId="164" fontId="7" fillId="2" borderId="8" xfId="0" applyNumberFormat="1" applyFont="1" applyFill="1" applyBorder="1" applyAlignment="1">
      <alignment horizontal="center"/>
    </xf>
    <xf numFmtId="164" fontId="0" fillId="0" borderId="1" xfId="0" applyNumberFormat="1" applyBorder="1" applyAlignment="1">
      <alignment horizontal="center"/>
    </xf>
    <xf numFmtId="167" fontId="0" fillId="0" borderId="12" xfId="0" applyNumberFormat="1" applyBorder="1" applyAlignment="1">
      <alignment horizontal="center"/>
    </xf>
    <xf numFmtId="167" fontId="0" fillId="0" borderId="13" xfId="0" applyNumberFormat="1" applyBorder="1" applyAlignment="1">
      <alignment horizontal="center"/>
    </xf>
    <xf numFmtId="167" fontId="0" fillId="0" borderId="14" xfId="0" applyNumberFormat="1" applyBorder="1" applyAlignment="1">
      <alignment horizontal="center"/>
    </xf>
    <xf numFmtId="0" fontId="11" fillId="0" borderId="0" xfId="0" applyFont="1"/>
    <xf numFmtId="0" fontId="8" fillId="0" borderId="0" xfId="0" applyFont="1" applyFill="1" applyBorder="1" applyAlignment="1">
      <alignment horizontal="left"/>
    </xf>
    <xf numFmtId="164" fontId="7" fillId="2" borderId="3" xfId="0" applyNumberFormat="1" applyFont="1" applyFill="1" applyBorder="1" applyAlignment="1">
      <alignment horizontal="center"/>
    </xf>
    <xf numFmtId="164" fontId="7" fillId="2" borderId="0" xfId="0" applyNumberFormat="1" applyFont="1" applyFill="1" applyAlignment="1">
      <alignment horizontal="center"/>
    </xf>
    <xf numFmtId="164" fontId="7" fillId="3" borderId="3" xfId="0" applyNumberFormat="1" applyFont="1" applyFill="1" applyBorder="1" applyAlignment="1">
      <alignment horizontal="center"/>
    </xf>
    <xf numFmtId="0" fontId="7" fillId="0" borderId="1" xfId="0" applyFont="1" applyFill="1" applyBorder="1" applyAlignment="1">
      <alignment horizontal="center"/>
    </xf>
    <xf numFmtId="16" fontId="0" fillId="0" borderId="0" xfId="0" applyNumberFormat="1"/>
    <xf numFmtId="0" fontId="17" fillId="0" borderId="0" xfId="0" applyFont="1"/>
    <xf numFmtId="0" fontId="7" fillId="0" borderId="0" xfId="0" applyFont="1"/>
    <xf numFmtId="0" fontId="3" fillId="0" borderId="0" xfId="0" applyFont="1" applyAlignment="1">
      <alignment horizontal="left"/>
    </xf>
    <xf numFmtId="2" fontId="0" fillId="0" borderId="25" xfId="0" applyNumberFormat="1" applyBorder="1" applyAlignment="1">
      <alignment horizontal="center"/>
    </xf>
    <xf numFmtId="2" fontId="0" fillId="0" borderId="0" xfId="0" applyNumberFormat="1"/>
    <xf numFmtId="0" fontId="0" fillId="0" borderId="25" xfId="0" applyBorder="1" applyAlignment="1">
      <alignment horizontal="center"/>
    </xf>
    <xf numFmtId="0" fontId="7" fillId="0" borderId="25" xfId="0" applyFont="1" applyBorder="1" applyAlignment="1">
      <alignment horizontal="center"/>
    </xf>
    <xf numFmtId="2" fontId="0" fillId="0" borderId="0" xfId="0" applyNumberFormat="1" applyFill="1" applyBorder="1" applyAlignment="1">
      <alignment horizontal="center"/>
    </xf>
    <xf numFmtId="0" fontId="18" fillId="0" borderId="0" xfId="0" applyFont="1"/>
    <xf numFmtId="0" fontId="7" fillId="0" borderId="13" xfId="0" applyFont="1" applyFill="1" applyBorder="1" applyAlignment="1">
      <alignment horizontal="center"/>
    </xf>
    <xf numFmtId="0" fontId="7" fillId="0" borderId="12" xfId="0" applyFont="1" applyFill="1" applyBorder="1" applyAlignment="1">
      <alignment horizontal="center"/>
    </xf>
    <xf numFmtId="0" fontId="7" fillId="0" borderId="14" xfId="0" applyFont="1" applyFill="1" applyBorder="1" applyAlignment="1">
      <alignment horizontal="center"/>
    </xf>
    <xf numFmtId="164" fontId="7" fillId="0" borderId="13" xfId="0" applyNumberFormat="1" applyFont="1" applyFill="1" applyBorder="1" applyAlignment="1">
      <alignment horizontal="center"/>
    </xf>
    <xf numFmtId="164" fontId="0" fillId="0" borderId="0" xfId="0" applyNumberFormat="1"/>
    <xf numFmtId="0" fontId="0" fillId="0" borderId="0" xfId="0"/>
    <xf numFmtId="164" fontId="0" fillId="0" borderId="0" xfId="0" applyNumberFormat="1" applyAlignment="1">
      <alignment horizontal="center"/>
    </xf>
    <xf numFmtId="2" fontId="0" fillId="0" borderId="0" xfId="0" applyNumberFormat="1" applyAlignment="1">
      <alignment horizontal="center"/>
    </xf>
    <xf numFmtId="2" fontId="0" fillId="2" borderId="0" xfId="0" applyNumberFormat="1" applyFill="1" applyBorder="1" applyAlignment="1">
      <alignment horizontal="center"/>
    </xf>
    <xf numFmtId="2" fontId="0" fillId="2" borderId="3" xfId="0" applyNumberFormat="1" applyFill="1" applyBorder="1" applyAlignment="1">
      <alignment horizontal="center"/>
    </xf>
    <xf numFmtId="0" fontId="3" fillId="0" borderId="4" xfId="0" applyFont="1" applyBorder="1" applyAlignment="1">
      <alignment horizontal="center"/>
    </xf>
    <xf numFmtId="2" fontId="0" fillId="2" borderId="8" xfId="0" applyNumberFormat="1" applyFill="1" applyBorder="1" applyAlignment="1">
      <alignment horizontal="center"/>
    </xf>
    <xf numFmtId="49" fontId="3" fillId="0" borderId="0" xfId="0" applyNumberFormat="1" applyFont="1" applyBorder="1" applyAlignment="1">
      <alignment horizontal="center"/>
    </xf>
    <xf numFmtId="0" fontId="0" fillId="0" borderId="13" xfId="0" applyFill="1" applyBorder="1" applyAlignment="1">
      <alignment horizontal="center"/>
    </xf>
    <xf numFmtId="0" fontId="0" fillId="0" borderId="0" xfId="0" applyAlignment="1">
      <alignment horizontal="right"/>
    </xf>
    <xf numFmtId="166" fontId="0" fillId="0" borderId="0" xfId="0" applyNumberFormat="1" applyFill="1" applyBorder="1" applyAlignment="1">
      <alignment horizontal="center"/>
    </xf>
    <xf numFmtId="0" fontId="0" fillId="0" borderId="1" xfId="0" applyFill="1" applyBorder="1" applyAlignment="1">
      <alignment horizontal="center"/>
    </xf>
    <xf numFmtId="0" fontId="7" fillId="0" borderId="0" xfId="0" applyFont="1" applyFill="1" applyBorder="1" applyAlignment="1">
      <alignment horizontal="center"/>
    </xf>
    <xf numFmtId="0" fontId="3" fillId="4" borderId="1" xfId="0" applyFont="1" applyFill="1" applyBorder="1" applyAlignment="1">
      <alignment horizontal="center"/>
    </xf>
    <xf numFmtId="0" fontId="3" fillId="4" borderId="2" xfId="0" applyFont="1" applyFill="1" applyBorder="1" applyAlignment="1">
      <alignment horizontal="center"/>
    </xf>
    <xf numFmtId="0" fontId="3" fillId="4" borderId="13" xfId="0" applyFont="1" applyFill="1" applyBorder="1" applyAlignment="1">
      <alignment horizontal="center"/>
    </xf>
    <xf numFmtId="0" fontId="3" fillId="4" borderId="8" xfId="0" applyFont="1" applyFill="1" applyBorder="1" applyAlignment="1">
      <alignment horizontal="center"/>
    </xf>
    <xf numFmtId="0" fontId="3" fillId="4" borderId="0" xfId="0" applyFont="1" applyFill="1" applyBorder="1" applyAlignment="1">
      <alignment horizontal="center"/>
    </xf>
    <xf numFmtId="0" fontId="3" fillId="4" borderId="3" xfId="0" applyFont="1" applyFill="1" applyBorder="1" applyAlignment="1">
      <alignment horizontal="center"/>
    </xf>
    <xf numFmtId="0" fontId="3" fillId="4" borderId="7" xfId="0" applyFont="1" applyFill="1" applyBorder="1" applyAlignment="1">
      <alignment horizontal="center"/>
    </xf>
    <xf numFmtId="0" fontId="3" fillId="4" borderId="12" xfId="0" applyFont="1" applyFill="1" applyBorder="1" applyAlignment="1">
      <alignment horizontal="center"/>
    </xf>
    <xf numFmtId="0" fontId="3" fillId="4" borderId="14" xfId="0" applyFont="1" applyFill="1" applyBorder="1" applyAlignment="1">
      <alignment horizontal="center"/>
    </xf>
    <xf numFmtId="0" fontId="0" fillId="0" borderId="21" xfId="0" applyFill="1" applyBorder="1" applyAlignment="1">
      <alignment horizontal="center"/>
    </xf>
    <xf numFmtId="2" fontId="0" fillId="5" borderId="0" xfId="0" applyNumberFormat="1" applyFill="1" applyAlignment="1">
      <alignment horizontal="center"/>
    </xf>
    <xf numFmtId="2" fontId="0" fillId="6" borderId="0" xfId="0" applyNumberFormat="1" applyFill="1" applyAlignment="1">
      <alignment horizontal="center"/>
    </xf>
    <xf numFmtId="164" fontId="18" fillId="0" borderId="0" xfId="0" applyNumberFormat="1" applyFont="1" applyAlignment="1">
      <alignment horizontal="center"/>
    </xf>
    <xf numFmtId="0" fontId="3" fillId="0" borderId="0" xfId="0" applyFont="1"/>
    <xf numFmtId="0" fontId="21" fillId="0" borderId="0" xfId="0" applyFont="1"/>
    <xf numFmtId="49" fontId="3" fillId="5" borderId="6" xfId="0" applyNumberFormat="1" applyFont="1" applyFill="1" applyBorder="1" applyAlignment="1">
      <alignment horizontal="center"/>
    </xf>
    <xf numFmtId="2" fontId="0" fillId="5" borderId="9" xfId="0" applyNumberFormat="1" applyFill="1" applyBorder="1" applyAlignment="1">
      <alignment horizontal="center"/>
    </xf>
    <xf numFmtId="2" fontId="0" fillId="5" borderId="11" xfId="0" applyNumberFormat="1" applyFill="1" applyBorder="1" applyAlignment="1">
      <alignment horizontal="center"/>
    </xf>
    <xf numFmtId="2" fontId="0" fillId="5" borderId="10" xfId="0" applyNumberFormat="1" applyFill="1" applyBorder="1" applyAlignment="1">
      <alignment horizontal="center"/>
    </xf>
    <xf numFmtId="164" fontId="19" fillId="2" borderId="8" xfId="0" applyNumberFormat="1" applyFont="1" applyFill="1" applyBorder="1" applyAlignment="1">
      <alignment horizontal="center"/>
    </xf>
    <xf numFmtId="164" fontId="19" fillId="2" borderId="0" xfId="0" applyNumberFormat="1" applyFont="1" applyFill="1" applyBorder="1" applyAlignment="1">
      <alignment horizontal="center"/>
    </xf>
    <xf numFmtId="164" fontId="19" fillId="2" borderId="3" xfId="0" applyNumberFormat="1" applyFont="1" applyFill="1" applyBorder="1" applyAlignment="1">
      <alignment horizontal="center"/>
    </xf>
    <xf numFmtId="0" fontId="7" fillId="0" borderId="22" xfId="0" applyFont="1" applyBorder="1"/>
    <xf numFmtId="0" fontId="0" fillId="0" borderId="25" xfId="0" applyBorder="1"/>
    <xf numFmtId="164" fontId="7" fillId="0" borderId="13" xfId="0" applyNumberFormat="1" applyFont="1" applyBorder="1" applyAlignment="1">
      <alignment horizontal="center"/>
    </xf>
    <xf numFmtId="164" fontId="7" fillId="0" borderId="14" xfId="0" applyNumberFormat="1" applyFont="1" applyFill="1" applyBorder="1" applyAlignment="1">
      <alignment horizontal="center"/>
    </xf>
    <xf numFmtId="2" fontId="7" fillId="3" borderId="13" xfId="0" applyNumberFormat="1" applyFont="1" applyFill="1" applyBorder="1" applyAlignment="1">
      <alignment horizontal="center"/>
    </xf>
    <xf numFmtId="49" fontId="3" fillId="2" borderId="19" xfId="0" applyNumberFormat="1" applyFont="1" applyFill="1" applyBorder="1" applyAlignment="1">
      <alignment horizontal="center"/>
    </xf>
    <xf numFmtId="164" fontId="0" fillId="2" borderId="13" xfId="0" applyNumberFormat="1" applyFill="1" applyBorder="1" applyAlignment="1">
      <alignment horizontal="center"/>
    </xf>
    <xf numFmtId="49" fontId="3" fillId="3" borderId="19" xfId="0" applyNumberFormat="1" applyFont="1" applyFill="1" applyBorder="1" applyAlignment="1">
      <alignment horizontal="center"/>
    </xf>
    <xf numFmtId="164" fontId="0" fillId="3" borderId="13" xfId="0" applyNumberFormat="1" applyFill="1" applyBorder="1" applyAlignment="1">
      <alignment horizontal="center"/>
    </xf>
    <xf numFmtId="0" fontId="7" fillId="0" borderId="0" xfId="0" applyFont="1" applyBorder="1" applyAlignment="1">
      <alignment horizontal="center"/>
    </xf>
    <xf numFmtId="0" fontId="3" fillId="0" borderId="0" xfId="0" applyFont="1" applyBorder="1" applyAlignment="1">
      <alignment horizontal="center"/>
    </xf>
    <xf numFmtId="0" fontId="0" fillId="0" borderId="0" xfId="0" applyBorder="1"/>
    <xf numFmtId="1" fontId="0" fillId="0" borderId="13" xfId="0" applyNumberFormat="1" applyBorder="1" applyAlignment="1">
      <alignment horizontal="center"/>
    </xf>
    <xf numFmtId="2" fontId="18" fillId="0" borderId="0" xfId="0" applyNumberFormat="1" applyFont="1" applyAlignment="1">
      <alignment horizontal="center"/>
    </xf>
    <xf numFmtId="168" fontId="0" fillId="0" borderId="0" xfId="0" applyNumberFormat="1" applyAlignment="1">
      <alignment horizontal="center"/>
    </xf>
    <xf numFmtId="2" fontId="7" fillId="3" borderId="0" xfId="0" applyNumberFormat="1" applyFont="1" applyFill="1" applyBorder="1" applyAlignment="1">
      <alignment horizontal="center"/>
    </xf>
    <xf numFmtId="0" fontId="7" fillId="0" borderId="22" xfId="0" applyFont="1" applyBorder="1" applyAlignment="1">
      <alignment horizontal="right"/>
    </xf>
    <xf numFmtId="0" fontId="7" fillId="0" borderId="24" xfId="0" applyFont="1" applyBorder="1"/>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6" fillId="0" borderId="7" xfId="0" applyFont="1" applyBorder="1" applyAlignment="1">
      <alignment horizontal="center"/>
    </xf>
    <xf numFmtId="0" fontId="6" fillId="0" borderId="11" xfId="0" applyFont="1" applyBorder="1" applyAlignment="1">
      <alignment horizontal="center"/>
    </xf>
    <xf numFmtId="0" fontId="9" fillId="0" borderId="0" xfId="0" applyFont="1" applyAlignment="1">
      <alignment horizontal="center"/>
    </xf>
    <xf numFmtId="0" fontId="5" fillId="0" borderId="0" xfId="0" applyFont="1" applyAlignment="1">
      <alignment horizontal="center"/>
    </xf>
    <xf numFmtId="0" fontId="6" fillId="0" borderId="8" xfId="0" applyFont="1" applyBorder="1" applyAlignment="1">
      <alignment horizontal="center"/>
    </xf>
    <xf numFmtId="0" fontId="4" fillId="0" borderId="0" xfId="0" applyFont="1" applyAlignment="1">
      <alignment horizontal="center"/>
    </xf>
    <xf numFmtId="0" fontId="10" fillId="0" borderId="0" xfId="0" applyFont="1" applyAlignment="1">
      <alignment horizontal="center"/>
    </xf>
    <xf numFmtId="0" fontId="3" fillId="0" borderId="0" xfId="0" applyFont="1" applyAlignment="1">
      <alignment horizontal="center"/>
    </xf>
    <xf numFmtId="0" fontId="3" fillId="7" borderId="13" xfId="0" applyFont="1" applyFill="1" applyBorder="1" applyAlignment="1">
      <alignment horizontal="center"/>
    </xf>
    <xf numFmtId="0" fontId="3" fillId="7" borderId="14" xfId="0" applyFont="1" applyFill="1" applyBorder="1" applyAlignment="1">
      <alignment horizontal="center"/>
    </xf>
    <xf numFmtId="0" fontId="3" fillId="7" borderId="12" xfId="0" applyFont="1" applyFill="1" applyBorder="1" applyAlignment="1">
      <alignment horizontal="center"/>
    </xf>
    <xf numFmtId="0" fontId="0" fillId="8" borderId="13" xfId="0" applyFill="1" applyBorder="1" applyAlignment="1">
      <alignment horizontal="center"/>
    </xf>
    <xf numFmtId="0" fontId="0" fillId="8" borderId="14" xfId="0" applyFill="1" applyBorder="1" applyAlignment="1">
      <alignment horizontal="center"/>
    </xf>
    <xf numFmtId="164" fontId="0" fillId="0" borderId="18" xfId="0" applyNumberFormat="1" applyBorder="1" applyAlignment="1">
      <alignment horizontal="center"/>
    </xf>
    <xf numFmtId="164" fontId="0" fillId="0" borderId="13" xfId="0" applyNumberFormat="1" applyFill="1" applyBorder="1" applyAlignment="1">
      <alignment horizontal="center"/>
    </xf>
    <xf numFmtId="164" fontId="0" fillId="0" borderId="14" xfId="0" applyNumberFormat="1" applyFill="1" applyBorder="1" applyAlignment="1">
      <alignment horizontal="center"/>
    </xf>
    <xf numFmtId="164" fontId="7" fillId="0" borderId="9" xfId="0" applyNumberFormat="1" applyFont="1" applyBorder="1" applyAlignment="1">
      <alignment horizontal="center"/>
    </xf>
    <xf numFmtId="2" fontId="7" fillId="0" borderId="9" xfId="0" applyNumberFormat="1" applyFont="1" applyFill="1" applyBorder="1" applyAlignment="1">
      <alignment horizontal="center"/>
    </xf>
    <xf numFmtId="2" fontId="7" fillId="0" borderId="10" xfId="0" applyNumberFormat="1" applyFont="1" applyFill="1" applyBorder="1" applyAlignment="1">
      <alignment horizontal="center"/>
    </xf>
    <xf numFmtId="2" fontId="7" fillId="0" borderId="11" xfId="0" applyNumberFormat="1" applyFont="1" applyFill="1" applyBorder="1" applyAlignment="1">
      <alignment horizontal="center"/>
    </xf>
    <xf numFmtId="167" fontId="0" fillId="0" borderId="9" xfId="0" applyNumberFormat="1" applyFill="1" applyBorder="1" applyAlignment="1">
      <alignment horizontal="center"/>
    </xf>
    <xf numFmtId="167" fontId="0" fillId="0" borderId="12" xfId="0" applyNumberFormat="1" applyFill="1" applyBorder="1" applyAlignment="1">
      <alignment horizontal="center"/>
    </xf>
    <xf numFmtId="167" fontId="0" fillId="0" borderId="13" xfId="0" applyNumberFormat="1" applyFill="1" applyBorder="1" applyAlignment="1">
      <alignment horizontal="center"/>
    </xf>
    <xf numFmtId="167" fontId="0" fillId="0" borderId="14" xfId="0" applyNumberFormat="1" applyFill="1" applyBorder="1" applyAlignment="1">
      <alignment horizontal="center"/>
    </xf>
    <xf numFmtId="164" fontId="7" fillId="0" borderId="14" xfId="0" applyNumberFormat="1" applyFont="1" applyBorder="1" applyAlignment="1">
      <alignment horizontal="center"/>
    </xf>
    <xf numFmtId="164" fontId="0" fillId="0" borderId="2" xfId="0" applyNumberFormat="1" applyBorder="1" applyAlignment="1">
      <alignment horizontal="center"/>
    </xf>
    <xf numFmtId="0" fontId="7" fillId="8" borderId="13" xfId="0" applyFont="1" applyFill="1" applyBorder="1" applyAlignment="1">
      <alignment horizontal="center"/>
    </xf>
    <xf numFmtId="0" fontId="7" fillId="8" borderId="12" xfId="0" applyFont="1" applyFill="1" applyBorder="1" applyAlignment="1">
      <alignment horizontal="center"/>
    </xf>
    <xf numFmtId="0" fontId="7" fillId="8" borderId="14" xfId="0" applyFont="1" applyFill="1" applyBorder="1" applyAlignment="1">
      <alignment horizontal="center"/>
    </xf>
    <xf numFmtId="167" fontId="7" fillId="0" borderId="0" xfId="0" applyNumberFormat="1" applyFont="1" applyBorder="1" applyAlignment="1">
      <alignment horizontal="center"/>
    </xf>
    <xf numFmtId="167" fontId="7" fillId="0" borderId="8" xfId="0" applyNumberFormat="1" applyFont="1" applyBorder="1" applyAlignment="1">
      <alignment horizontal="center"/>
    </xf>
    <xf numFmtId="167" fontId="0" fillId="0" borderId="18" xfId="0" applyNumberFormat="1" applyBorder="1" applyAlignment="1">
      <alignment horizontal="center"/>
    </xf>
    <xf numFmtId="167" fontId="7" fillId="0" borderId="10" xfId="0" applyNumberFormat="1" applyFont="1" applyBorder="1" applyAlignment="1">
      <alignment horizontal="center"/>
    </xf>
    <xf numFmtId="1" fontId="0" fillId="0" borderId="18" xfId="0" applyNumberFormat="1" applyBorder="1" applyAlignment="1">
      <alignment horizontal="center"/>
    </xf>
    <xf numFmtId="1" fontId="0" fillId="0" borderId="12" xfId="0" applyNumberFormat="1" applyBorder="1" applyAlignment="1">
      <alignment horizontal="center"/>
    </xf>
    <xf numFmtId="1" fontId="0" fillId="0" borderId="14" xfId="0" applyNumberFormat="1" applyBorder="1" applyAlignment="1">
      <alignment horizontal="center"/>
    </xf>
    <xf numFmtId="0" fontId="7" fillId="0" borderId="13" xfId="0" applyFont="1" applyBorder="1" applyAlignment="1">
      <alignment horizontal="center"/>
    </xf>
    <xf numFmtId="0" fontId="7" fillId="0" borderId="12" xfId="0" applyFont="1" applyBorder="1" applyAlignment="1">
      <alignment horizontal="center"/>
    </xf>
    <xf numFmtId="49" fontId="3" fillId="5" borderId="19" xfId="0" applyNumberFormat="1" applyFont="1" applyFill="1" applyBorder="1" applyAlignment="1">
      <alignment horizontal="center"/>
    </xf>
    <xf numFmtId="2" fontId="0" fillId="5" borderId="13" xfId="0" applyNumberFormat="1" applyFill="1" applyBorder="1" applyAlignment="1">
      <alignment horizontal="center"/>
    </xf>
    <xf numFmtId="2" fontId="0" fillId="5" borderId="12" xfId="0" applyNumberFormat="1" applyFill="1" applyBorder="1" applyAlignment="1">
      <alignment horizontal="center"/>
    </xf>
    <xf numFmtId="2" fontId="0" fillId="5" borderId="14" xfId="0" applyNumberFormat="1" applyFill="1" applyBorder="1" applyAlignment="1">
      <alignment horizontal="center"/>
    </xf>
    <xf numFmtId="2" fontId="0" fillId="2" borderId="18" xfId="0" applyNumberFormat="1" applyFill="1" applyBorder="1" applyAlignment="1">
      <alignment horizontal="center"/>
    </xf>
    <xf numFmtId="2" fontId="0" fillId="2" borderId="13" xfId="0" applyNumberFormat="1" applyFill="1" applyBorder="1" applyAlignment="1">
      <alignment horizontal="center"/>
    </xf>
    <xf numFmtId="164" fontId="0" fillId="3" borderId="14" xfId="0" applyNumberFormat="1" applyFill="1" applyBorder="1" applyAlignment="1">
      <alignment horizontal="center"/>
    </xf>
    <xf numFmtId="2" fontId="0" fillId="2" borderId="12" xfId="0" applyNumberFormat="1" applyFill="1" applyBorder="1" applyAlignment="1">
      <alignment horizontal="center"/>
    </xf>
    <xf numFmtId="164" fontId="0" fillId="2" borderId="12" xfId="0" applyNumberFormat="1" applyFill="1" applyBorder="1" applyAlignment="1">
      <alignment horizontal="center"/>
    </xf>
    <xf numFmtId="164" fontId="0" fillId="2" borderId="14" xfId="0" applyNumberFormat="1" applyFill="1" applyBorder="1" applyAlignment="1">
      <alignment horizontal="center"/>
    </xf>
    <xf numFmtId="2" fontId="0" fillId="0" borderId="13" xfId="0" applyNumberFormat="1" applyFill="1" applyBorder="1" applyAlignment="1">
      <alignment horizontal="center"/>
    </xf>
    <xf numFmtId="2" fontId="0" fillId="0" borderId="14" xfId="0" applyNumberFormat="1" applyFill="1" applyBorder="1" applyAlignment="1">
      <alignment horizontal="center"/>
    </xf>
    <xf numFmtId="164" fontId="7" fillId="2" borderId="13" xfId="0" applyNumberFormat="1" applyFont="1" applyFill="1" applyBorder="1" applyAlignment="1">
      <alignment horizontal="center"/>
    </xf>
    <xf numFmtId="164" fontId="7" fillId="2" borderId="12" xfId="0" applyNumberFormat="1" applyFont="1" applyFill="1" applyBorder="1" applyAlignment="1">
      <alignment horizontal="center"/>
    </xf>
    <xf numFmtId="164" fontId="7" fillId="2" borderId="14" xfId="0" applyNumberFormat="1" applyFont="1" applyFill="1" applyBorder="1" applyAlignment="1">
      <alignment horizontal="center"/>
    </xf>
    <xf numFmtId="164" fontId="19" fillId="2" borderId="12" xfId="0" applyNumberFormat="1" applyFont="1" applyFill="1" applyBorder="1" applyAlignment="1">
      <alignment horizontal="center"/>
    </xf>
    <xf numFmtId="164" fontId="19" fillId="2" borderId="13" xfId="0" applyNumberFormat="1" applyFont="1" applyFill="1" applyBorder="1" applyAlignment="1">
      <alignment horizontal="center"/>
    </xf>
    <xf numFmtId="164" fontId="19" fillId="2" borderId="14" xfId="0" applyNumberFormat="1" applyFont="1" applyFill="1" applyBorder="1" applyAlignment="1">
      <alignment horizontal="center"/>
    </xf>
    <xf numFmtId="164" fontId="7" fillId="0" borderId="18" xfId="0" applyNumberFormat="1" applyFont="1" applyBorder="1" applyAlignment="1">
      <alignment horizontal="center"/>
    </xf>
    <xf numFmtId="0" fontId="7" fillId="0" borderId="1" xfId="0" applyFont="1" applyBorder="1" applyAlignment="1">
      <alignment horizontal="center"/>
    </xf>
    <xf numFmtId="0" fontId="0" fillId="0" borderId="0" xfId="0" applyAlignment="1">
      <alignment horizontal="center"/>
    </xf>
    <xf numFmtId="0" fontId="7" fillId="8" borderId="0" xfId="0" applyFont="1" applyFill="1" applyBorder="1" applyAlignment="1">
      <alignment horizontal="center"/>
    </xf>
    <xf numFmtId="164" fontId="7" fillId="3" borderId="10" xfId="0" applyNumberFormat="1" applyFont="1" applyFill="1" applyBorder="1" applyAlignment="1">
      <alignment horizontal="center"/>
    </xf>
    <xf numFmtId="0" fontId="0" fillId="8" borderId="0" xfId="0" applyFill="1" applyBorder="1" applyAlignment="1">
      <alignment horizontal="center"/>
    </xf>
    <xf numFmtId="0" fontId="3" fillId="7" borderId="9" xfId="0" applyFont="1" applyFill="1" applyBorder="1" applyAlignment="1">
      <alignment horizontal="center"/>
    </xf>
    <xf numFmtId="0" fontId="3" fillId="7" borderId="10" xfId="0" applyFont="1" applyFill="1" applyBorder="1" applyAlignment="1">
      <alignment horizontal="center"/>
    </xf>
    <xf numFmtId="0" fontId="3" fillId="7" borderId="11" xfId="0" applyFont="1" applyFill="1" applyBorder="1" applyAlignment="1">
      <alignment horizontal="center"/>
    </xf>
    <xf numFmtId="0" fontId="3" fillId="4" borderId="18" xfId="0" applyFont="1" applyFill="1" applyBorder="1" applyAlignment="1">
      <alignment horizontal="center"/>
    </xf>
    <xf numFmtId="0" fontId="0" fillId="0" borderId="0" xfId="0" applyFill="1"/>
    <xf numFmtId="2" fontId="0" fillId="0" borderId="0" xfId="0" applyNumberFormat="1" applyFill="1"/>
    <xf numFmtId="2" fontId="7" fillId="0" borderId="25" xfId="0" applyNumberFormat="1" applyFont="1" applyBorder="1" applyAlignment="1">
      <alignment horizontal="center"/>
    </xf>
    <xf numFmtId="1" fontId="7" fillId="0" borderId="13" xfId="0" applyNumberFormat="1" applyFont="1" applyBorder="1" applyAlignment="1">
      <alignment horizontal="center"/>
    </xf>
    <xf numFmtId="1" fontId="7" fillId="0" borderId="14" xfId="0" applyNumberFormat="1" applyFont="1" applyBorder="1" applyAlignment="1">
      <alignment horizontal="center"/>
    </xf>
    <xf numFmtId="49" fontId="12" fillId="0" borderId="19" xfId="0" applyNumberFormat="1" applyFont="1" applyBorder="1" applyAlignment="1">
      <alignment horizontal="center"/>
    </xf>
    <xf numFmtId="168" fontId="0" fillId="0" borderId="13" xfId="0" applyNumberFormat="1" applyBorder="1" applyAlignment="1">
      <alignment horizontal="center"/>
    </xf>
    <xf numFmtId="168" fontId="0" fillId="0" borderId="12" xfId="0" applyNumberFormat="1" applyBorder="1" applyAlignment="1">
      <alignment horizontal="center"/>
    </xf>
    <xf numFmtId="168" fontId="0" fillId="0" borderId="14" xfId="0" applyNumberFormat="1" applyBorder="1" applyAlignment="1">
      <alignment horizontal="center"/>
    </xf>
    <xf numFmtId="0" fontId="7" fillId="8" borderId="18" xfId="0" applyFont="1" applyFill="1" applyBorder="1" applyAlignment="1">
      <alignment horizontal="center"/>
    </xf>
    <xf numFmtId="0" fontId="7" fillId="8" borderId="3" xfId="0" applyFont="1" applyFill="1" applyBorder="1" applyAlignment="1">
      <alignment horizontal="center"/>
    </xf>
    <xf numFmtId="166" fontId="0" fillId="2" borderId="13" xfId="0" applyNumberFormat="1" applyFill="1" applyBorder="1" applyAlignment="1">
      <alignment horizontal="center"/>
    </xf>
    <xf numFmtId="166" fontId="0" fillId="2" borderId="12" xfId="0" applyNumberFormat="1" applyFill="1" applyBorder="1" applyAlignment="1">
      <alignment horizontal="center"/>
    </xf>
    <xf numFmtId="166" fontId="0" fillId="2" borderId="14" xfId="0" applyNumberFormat="1" applyFill="1" applyBorder="1" applyAlignment="1">
      <alignment horizontal="center"/>
    </xf>
    <xf numFmtId="9" fontId="0" fillId="0" borderId="13" xfId="1" applyFont="1" applyBorder="1" applyAlignment="1">
      <alignment horizontal="center"/>
    </xf>
    <xf numFmtId="9" fontId="0" fillId="0" borderId="14" xfId="1" applyFont="1" applyBorder="1" applyAlignment="1">
      <alignment horizontal="center"/>
    </xf>
    <xf numFmtId="0" fontId="0" fillId="8" borderId="25" xfId="0" applyFill="1" applyBorder="1"/>
    <xf numFmtId="0" fontId="0" fillId="7" borderId="25" xfId="0" applyFill="1" applyBorder="1"/>
    <xf numFmtId="2" fontId="7" fillId="2" borderId="13" xfId="0" applyNumberFormat="1" applyFont="1" applyFill="1" applyBorder="1" applyAlignment="1">
      <alignment horizontal="center"/>
    </xf>
    <xf numFmtId="2" fontId="7" fillId="2" borderId="12" xfId="0" applyNumberFormat="1" applyFont="1" applyFill="1" applyBorder="1" applyAlignment="1">
      <alignment horizontal="center"/>
    </xf>
    <xf numFmtId="2" fontId="7" fillId="2" borderId="14" xfId="0" applyNumberFormat="1" applyFont="1" applyFill="1" applyBorder="1" applyAlignment="1">
      <alignment horizontal="center"/>
    </xf>
    <xf numFmtId="0" fontId="7" fillId="8" borderId="9" xfId="0" applyFont="1" applyFill="1" applyBorder="1" applyAlignment="1">
      <alignment horizontal="center"/>
    </xf>
    <xf numFmtId="0" fontId="7" fillId="8" borderId="10" xfId="0" applyFont="1" applyFill="1" applyBorder="1" applyAlignment="1">
      <alignment horizontal="center"/>
    </xf>
    <xf numFmtId="0" fontId="0" fillId="8" borderId="18" xfId="0" applyFill="1" applyBorder="1" applyAlignment="1">
      <alignment horizontal="center"/>
    </xf>
    <xf numFmtId="1" fontId="7" fillId="0" borderId="12" xfId="0" applyNumberFormat="1" applyFont="1" applyBorder="1" applyAlignment="1">
      <alignment horizontal="center"/>
    </xf>
    <xf numFmtId="0" fontId="3" fillId="7" borderId="18" xfId="0" applyFont="1" applyFill="1" applyBorder="1" applyAlignment="1">
      <alignment horizontal="center"/>
    </xf>
    <xf numFmtId="0" fontId="3" fillId="4" borderId="26" xfId="0" applyFont="1" applyFill="1" applyBorder="1" applyAlignment="1">
      <alignment horizontal="center"/>
    </xf>
    <xf numFmtId="0" fontId="3" fillId="4" borderId="9" xfId="0" applyFont="1" applyFill="1" applyBorder="1" applyAlignment="1">
      <alignment horizontal="center"/>
    </xf>
    <xf numFmtId="0" fontId="3" fillId="4" borderId="11" xfId="0" applyFont="1" applyFill="1" applyBorder="1" applyAlignment="1">
      <alignment horizontal="center"/>
    </xf>
    <xf numFmtId="0" fontId="3" fillId="4" borderId="10" xfId="0" applyFont="1" applyFill="1" applyBorder="1" applyAlignment="1">
      <alignment horizontal="center"/>
    </xf>
    <xf numFmtId="164" fontId="7" fillId="3" borderId="13" xfId="0" applyNumberFormat="1" applyFont="1" applyFill="1" applyBorder="1" applyAlignment="1">
      <alignment horizontal="center"/>
    </xf>
    <xf numFmtId="164" fontId="7" fillId="3" borderId="14" xfId="0" applyNumberFormat="1" applyFont="1" applyFill="1" applyBorder="1" applyAlignment="1">
      <alignment horizontal="center"/>
    </xf>
    <xf numFmtId="164" fontId="3" fillId="2" borderId="13" xfId="0" applyNumberFormat="1" applyFont="1" applyFill="1" applyBorder="1" applyAlignment="1">
      <alignment horizontal="center"/>
    </xf>
    <xf numFmtId="164" fontId="3" fillId="2" borderId="14" xfId="0" applyNumberFormat="1" applyFont="1" applyFill="1" applyBorder="1" applyAlignment="1">
      <alignment horizontal="center"/>
    </xf>
    <xf numFmtId="164" fontId="3" fillId="2" borderId="12" xfId="0" applyNumberFormat="1" applyFont="1" applyFill="1" applyBorder="1" applyAlignment="1">
      <alignment horizontal="center"/>
    </xf>
    <xf numFmtId="2" fontId="7" fillId="0" borderId="0" xfId="0" applyNumberFormat="1" applyFont="1" applyAlignment="1">
      <alignment horizontal="center"/>
    </xf>
    <xf numFmtId="0" fontId="0" fillId="8" borderId="23" xfId="0" applyFill="1" applyBorder="1"/>
    <xf numFmtId="0" fontId="7" fillId="0" borderId="0" xfId="0" applyFont="1" applyAlignment="1">
      <alignment vertical="top" wrapText="1"/>
    </xf>
    <xf numFmtId="0" fontId="0" fillId="0" borderId="0" xfId="0" applyAlignment="1">
      <alignment vertical="top"/>
    </xf>
    <xf numFmtId="164" fontId="7" fillId="8" borderId="13" xfId="0" applyNumberFormat="1" applyFont="1" applyFill="1" applyBorder="1" applyAlignment="1">
      <alignment horizontal="center"/>
    </xf>
    <xf numFmtId="164" fontId="7" fillId="8" borderId="14" xfId="0" applyNumberFormat="1" applyFont="1" applyFill="1" applyBorder="1" applyAlignment="1">
      <alignment horizontal="center"/>
    </xf>
    <xf numFmtId="0" fontId="7" fillId="8" borderId="11"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FFFF99"/>
      <color rgb="FFF68426"/>
      <color rgb="FFD163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190500</xdr:colOff>
      <xdr:row>2</xdr:row>
      <xdr:rowOff>0</xdr:rowOff>
    </xdr:from>
    <xdr:to>
      <xdr:col>27</xdr:col>
      <xdr:colOff>399842</xdr:colOff>
      <xdr:row>4</xdr:row>
      <xdr:rowOff>66614</xdr:rowOff>
    </xdr:to>
    <xdr:pic>
      <xdr:nvPicPr>
        <xdr:cNvPr id="2" name="Picture 1"/>
        <xdr:cNvPicPr>
          <a:picLocks noChangeAspect="1"/>
        </xdr:cNvPicPr>
      </xdr:nvPicPr>
      <xdr:blipFill>
        <a:blip xmlns:r="http://schemas.openxmlformats.org/officeDocument/2006/relationships" r:embed="rId1"/>
        <a:stretch>
          <a:fillRect/>
        </a:stretch>
      </xdr:blipFill>
      <xdr:spPr>
        <a:xfrm>
          <a:off x="12163425" y="514350"/>
          <a:ext cx="1666667" cy="485714"/>
        </a:xfrm>
        <a:prstGeom prst="rect">
          <a:avLst/>
        </a:prstGeom>
      </xdr:spPr>
    </xdr:pic>
    <xdr:clientData/>
  </xdr:twoCellAnchor>
  <xdr:twoCellAnchor editAs="oneCell">
    <xdr:from>
      <xdr:col>23</xdr:col>
      <xdr:colOff>323850</xdr:colOff>
      <xdr:row>37</xdr:row>
      <xdr:rowOff>104775</xdr:rowOff>
    </xdr:from>
    <xdr:to>
      <xdr:col>25</xdr:col>
      <xdr:colOff>438014</xdr:colOff>
      <xdr:row>40</xdr:row>
      <xdr:rowOff>161857</xdr:rowOff>
    </xdr:to>
    <xdr:pic>
      <xdr:nvPicPr>
        <xdr:cNvPr id="4" name="Picture 3"/>
        <xdr:cNvPicPr>
          <a:picLocks noChangeAspect="1"/>
        </xdr:cNvPicPr>
      </xdr:nvPicPr>
      <xdr:blipFill>
        <a:blip xmlns:r="http://schemas.openxmlformats.org/officeDocument/2006/relationships" r:embed="rId2"/>
        <a:stretch>
          <a:fillRect/>
        </a:stretch>
      </xdr:blipFill>
      <xdr:spPr>
        <a:xfrm>
          <a:off x="11811000" y="6400800"/>
          <a:ext cx="1085714" cy="542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190500</xdr:colOff>
      <xdr:row>2</xdr:row>
      <xdr:rowOff>0</xdr:rowOff>
    </xdr:from>
    <xdr:to>
      <xdr:col>26</xdr:col>
      <xdr:colOff>399842</xdr:colOff>
      <xdr:row>4</xdr:row>
      <xdr:rowOff>66614</xdr:rowOff>
    </xdr:to>
    <xdr:pic>
      <xdr:nvPicPr>
        <xdr:cNvPr id="2" name="Picture 1"/>
        <xdr:cNvPicPr>
          <a:picLocks noChangeAspect="1"/>
        </xdr:cNvPicPr>
      </xdr:nvPicPr>
      <xdr:blipFill>
        <a:blip xmlns:r="http://schemas.openxmlformats.org/officeDocument/2006/relationships" r:embed="rId1"/>
        <a:stretch>
          <a:fillRect/>
        </a:stretch>
      </xdr:blipFill>
      <xdr:spPr>
        <a:xfrm>
          <a:off x="11553825" y="514350"/>
          <a:ext cx="1666667" cy="485714"/>
        </a:xfrm>
        <a:prstGeom prst="rect">
          <a:avLst/>
        </a:prstGeom>
      </xdr:spPr>
    </xdr:pic>
    <xdr:clientData/>
  </xdr:twoCellAnchor>
  <xdr:twoCellAnchor editAs="oneCell">
    <xdr:from>
      <xdr:col>22</xdr:col>
      <xdr:colOff>323850</xdr:colOff>
      <xdr:row>37</xdr:row>
      <xdr:rowOff>104775</xdr:rowOff>
    </xdr:from>
    <xdr:to>
      <xdr:col>24</xdr:col>
      <xdr:colOff>438014</xdr:colOff>
      <xdr:row>40</xdr:row>
      <xdr:rowOff>161857</xdr:rowOff>
    </xdr:to>
    <xdr:pic>
      <xdr:nvPicPr>
        <xdr:cNvPr id="3" name="Picture 2"/>
        <xdr:cNvPicPr>
          <a:picLocks noChangeAspect="1"/>
        </xdr:cNvPicPr>
      </xdr:nvPicPr>
      <xdr:blipFill>
        <a:blip xmlns:r="http://schemas.openxmlformats.org/officeDocument/2006/relationships" r:embed="rId2"/>
        <a:stretch>
          <a:fillRect/>
        </a:stretch>
      </xdr:blipFill>
      <xdr:spPr>
        <a:xfrm>
          <a:off x="11201400" y="6400800"/>
          <a:ext cx="1085714" cy="54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190500</xdr:colOff>
      <xdr:row>2</xdr:row>
      <xdr:rowOff>0</xdr:rowOff>
    </xdr:from>
    <xdr:to>
      <xdr:col>26</xdr:col>
      <xdr:colOff>399842</xdr:colOff>
      <xdr:row>4</xdr:row>
      <xdr:rowOff>66614</xdr:rowOff>
    </xdr:to>
    <xdr:pic>
      <xdr:nvPicPr>
        <xdr:cNvPr id="2" name="Picture 1"/>
        <xdr:cNvPicPr>
          <a:picLocks noChangeAspect="1"/>
        </xdr:cNvPicPr>
      </xdr:nvPicPr>
      <xdr:blipFill>
        <a:blip xmlns:r="http://schemas.openxmlformats.org/officeDocument/2006/relationships" r:embed="rId1"/>
        <a:stretch>
          <a:fillRect/>
        </a:stretch>
      </xdr:blipFill>
      <xdr:spPr>
        <a:xfrm>
          <a:off x="12163425" y="514350"/>
          <a:ext cx="1666667" cy="485714"/>
        </a:xfrm>
        <a:prstGeom prst="rect">
          <a:avLst/>
        </a:prstGeom>
      </xdr:spPr>
    </xdr:pic>
    <xdr:clientData/>
  </xdr:twoCellAnchor>
  <xdr:twoCellAnchor editAs="oneCell">
    <xdr:from>
      <xdr:col>22</xdr:col>
      <xdr:colOff>323850</xdr:colOff>
      <xdr:row>37</xdr:row>
      <xdr:rowOff>104775</xdr:rowOff>
    </xdr:from>
    <xdr:to>
      <xdr:col>24</xdr:col>
      <xdr:colOff>438014</xdr:colOff>
      <xdr:row>40</xdr:row>
      <xdr:rowOff>161857</xdr:rowOff>
    </xdr:to>
    <xdr:pic>
      <xdr:nvPicPr>
        <xdr:cNvPr id="3" name="Picture 2"/>
        <xdr:cNvPicPr>
          <a:picLocks noChangeAspect="1"/>
        </xdr:cNvPicPr>
      </xdr:nvPicPr>
      <xdr:blipFill>
        <a:blip xmlns:r="http://schemas.openxmlformats.org/officeDocument/2006/relationships" r:embed="rId2"/>
        <a:stretch>
          <a:fillRect/>
        </a:stretch>
      </xdr:blipFill>
      <xdr:spPr>
        <a:xfrm>
          <a:off x="11811000" y="6400800"/>
          <a:ext cx="1085714" cy="5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wye63e/Documents/Work%20Info/Design%20templates%20&amp;%20Examples/HDR%20design%20templates/Concrete%20CIP%20Deck%20Design%20-%20LRFD%204th%20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ical Reinforcing"/>
      <sheetName val="Program Documentation"/>
    </sheetNames>
    <sheetDataSet>
      <sheetData sheetId="0">
        <row r="16">
          <cell r="C16">
            <v>8.5830000000000002</v>
          </cell>
        </row>
        <row r="65">
          <cell r="D65">
            <v>0.69444444444444453</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8"/>
  <sheetViews>
    <sheetView workbookViewId="0">
      <selection activeCell="L29" sqref="L29:L30"/>
    </sheetView>
  </sheetViews>
  <sheetFormatPr defaultRowHeight="12.75" x14ac:dyDescent="0.2"/>
  <cols>
    <col min="1" max="1" width="9.7109375" customWidth="1"/>
  </cols>
  <sheetData>
    <row r="1" spans="1:21" s="154" customFormat="1" x14ac:dyDescent="0.2">
      <c r="A1" s="141" t="s">
        <v>210</v>
      </c>
      <c r="O1" s="313" t="s">
        <v>204</v>
      </c>
      <c r="P1" s="314"/>
      <c r="Q1" s="314"/>
      <c r="R1" s="314"/>
      <c r="S1" s="314"/>
      <c r="T1" s="314"/>
      <c r="U1" s="314"/>
    </row>
    <row r="2" spans="1:21" s="154" customFormat="1" x14ac:dyDescent="0.2">
      <c r="A2"/>
      <c r="O2" s="314"/>
      <c r="P2" s="314"/>
      <c r="Q2" s="314"/>
      <c r="R2" s="314"/>
      <c r="S2" s="314"/>
      <c r="T2" s="314"/>
      <c r="U2" s="314"/>
    </row>
    <row r="3" spans="1:21" s="154" customFormat="1" x14ac:dyDescent="0.2">
      <c r="A3" t="s">
        <v>52</v>
      </c>
      <c r="B3"/>
      <c r="C3"/>
      <c r="D3"/>
      <c r="E3"/>
      <c r="F3"/>
      <c r="G3"/>
      <c r="H3"/>
      <c r="I3"/>
      <c r="J3"/>
      <c r="K3"/>
      <c r="L3"/>
      <c r="M3"/>
      <c r="N3"/>
      <c r="O3" s="314"/>
      <c r="P3" s="314"/>
      <c r="Q3" s="314"/>
      <c r="R3" s="314"/>
      <c r="S3" s="314"/>
      <c r="T3" s="314"/>
      <c r="U3" s="314"/>
    </row>
    <row r="4" spans="1:21" s="154" customFormat="1" x14ac:dyDescent="0.2">
      <c r="A4" s="141" t="s">
        <v>181</v>
      </c>
      <c r="B4"/>
      <c r="C4"/>
      <c r="D4"/>
      <c r="E4"/>
      <c r="F4"/>
      <c r="G4"/>
      <c r="H4"/>
      <c r="I4"/>
      <c r="J4"/>
      <c r="K4"/>
      <c r="L4"/>
      <c r="M4"/>
      <c r="N4"/>
      <c r="O4" s="314"/>
      <c r="P4" s="314"/>
      <c r="Q4" s="314"/>
      <c r="R4" s="314"/>
      <c r="S4" s="314"/>
      <c r="T4" s="314"/>
      <c r="U4" s="314"/>
    </row>
    <row r="5" spans="1:21" s="154" customFormat="1" x14ac:dyDescent="0.2">
      <c r="A5" s="141" t="s">
        <v>182</v>
      </c>
      <c r="O5" s="314"/>
      <c r="P5" s="314"/>
      <c r="Q5" s="314"/>
      <c r="R5" s="314"/>
      <c r="S5" s="314"/>
      <c r="T5" s="314"/>
      <c r="U5" s="314"/>
    </row>
    <row r="6" spans="1:21" s="154" customFormat="1" x14ac:dyDescent="0.2">
      <c r="A6"/>
      <c r="B6"/>
      <c r="C6"/>
      <c r="D6"/>
      <c r="E6"/>
      <c r="F6"/>
      <c r="G6"/>
      <c r="H6"/>
      <c r="I6"/>
      <c r="J6"/>
      <c r="K6"/>
      <c r="L6"/>
      <c r="M6"/>
      <c r="N6"/>
      <c r="O6" s="314"/>
      <c r="P6" s="314"/>
      <c r="Q6" s="314"/>
      <c r="R6" s="314"/>
      <c r="S6" s="314"/>
      <c r="T6" s="314"/>
      <c r="U6" s="314"/>
    </row>
    <row r="7" spans="1:21" s="154" customFormat="1" x14ac:dyDescent="0.2">
      <c r="A7" s="141" t="s">
        <v>169</v>
      </c>
      <c r="B7"/>
      <c r="C7"/>
      <c r="D7"/>
      <c r="E7"/>
      <c r="F7"/>
      <c r="G7"/>
      <c r="H7"/>
      <c r="I7"/>
      <c r="J7"/>
      <c r="K7"/>
      <c r="L7"/>
      <c r="M7"/>
      <c r="N7"/>
      <c r="O7" s="314"/>
      <c r="P7" s="314"/>
      <c r="Q7" s="314"/>
      <c r="R7" s="314"/>
      <c r="S7" s="314"/>
      <c r="T7" s="314"/>
      <c r="U7" s="314"/>
    </row>
    <row r="8" spans="1:21" x14ac:dyDescent="0.2">
      <c r="O8" s="314"/>
      <c r="P8" s="314"/>
      <c r="Q8" s="314"/>
      <c r="R8" s="314"/>
      <c r="S8" s="314"/>
      <c r="T8" s="314"/>
      <c r="U8" s="314"/>
    </row>
    <row r="9" spans="1:21" x14ac:dyDescent="0.2">
      <c r="A9" s="141" t="s">
        <v>180</v>
      </c>
      <c r="O9" s="314"/>
      <c r="P9" s="314"/>
      <c r="Q9" s="314"/>
      <c r="R9" s="314"/>
      <c r="S9" s="314"/>
      <c r="T9" s="314"/>
      <c r="U9" s="314"/>
    </row>
    <row r="10" spans="1:21" s="154" customFormat="1" x14ac:dyDescent="0.2">
      <c r="A10"/>
      <c r="B10"/>
      <c r="C10"/>
      <c r="D10"/>
      <c r="E10"/>
      <c r="F10"/>
      <c r="G10"/>
      <c r="H10"/>
      <c r="I10"/>
      <c r="J10"/>
      <c r="K10"/>
      <c r="L10"/>
      <c r="M10"/>
      <c r="N10"/>
      <c r="O10" s="314"/>
      <c r="P10" s="314"/>
      <c r="Q10" s="314"/>
      <c r="R10" s="314"/>
      <c r="S10" s="314"/>
      <c r="T10" s="314"/>
      <c r="U10" s="314"/>
    </row>
    <row r="11" spans="1:21" x14ac:dyDescent="0.2">
      <c r="A11" t="s">
        <v>161</v>
      </c>
      <c r="O11" s="314"/>
      <c r="P11" s="314"/>
      <c r="Q11" s="314"/>
      <c r="R11" s="314"/>
      <c r="S11" s="314"/>
      <c r="T11" s="314"/>
      <c r="U11" s="314"/>
    </row>
    <row r="13" spans="1:21" x14ac:dyDescent="0.2">
      <c r="A13" t="s">
        <v>179</v>
      </c>
    </row>
    <row r="15" spans="1:21" ht="14.25" x14ac:dyDescent="0.2">
      <c r="A15" s="141" t="s">
        <v>188</v>
      </c>
      <c r="C15" s="141" t="s">
        <v>189</v>
      </c>
    </row>
    <row r="16" spans="1:21" ht="14.25" x14ac:dyDescent="0.2">
      <c r="A16" s="141"/>
      <c r="B16" s="154"/>
      <c r="C16" s="141" t="s">
        <v>190</v>
      </c>
      <c r="D16" s="154"/>
      <c r="E16" s="154"/>
      <c r="F16" s="154"/>
      <c r="G16" s="154"/>
      <c r="H16" s="154"/>
      <c r="I16" s="154"/>
      <c r="J16" s="154"/>
      <c r="K16" s="154"/>
      <c r="L16" s="154"/>
      <c r="M16" s="154"/>
      <c r="N16" s="154"/>
    </row>
    <row r="17" spans="1:14" x14ac:dyDescent="0.2">
      <c r="A17" s="141"/>
      <c r="B17" s="154"/>
      <c r="C17" s="141"/>
      <c r="D17" s="154"/>
      <c r="E17" s="154"/>
      <c r="F17" s="154"/>
      <c r="G17" s="154"/>
      <c r="H17" s="154"/>
      <c r="I17" s="154"/>
      <c r="J17" s="154"/>
      <c r="K17" s="154"/>
      <c r="L17" s="154"/>
      <c r="M17" s="154"/>
      <c r="N17" s="154"/>
    </row>
    <row r="18" spans="1:14" x14ac:dyDescent="0.2">
      <c r="B18" s="133" t="s">
        <v>206</v>
      </c>
      <c r="H18" s="133" t="s">
        <v>203</v>
      </c>
      <c r="N18" s="141" t="s">
        <v>209</v>
      </c>
    </row>
    <row r="19" spans="1:14" x14ac:dyDescent="0.2">
      <c r="A19" s="141" t="s">
        <v>192</v>
      </c>
      <c r="B19" s="154" t="s">
        <v>205</v>
      </c>
      <c r="H19" s="154" t="s">
        <v>207</v>
      </c>
    </row>
    <row r="20" spans="1:14" x14ac:dyDescent="0.2">
      <c r="A20" s="141" t="s">
        <v>191</v>
      </c>
      <c r="B20" s="141" t="s">
        <v>193</v>
      </c>
      <c r="H20" s="141" t="s">
        <v>208</v>
      </c>
    </row>
    <row r="21" spans="1:14" s="154" customFormat="1" x14ac:dyDescent="0.2">
      <c r="A21"/>
      <c r="B21" s="141" t="s">
        <v>194</v>
      </c>
      <c r="C21"/>
      <c r="D21"/>
      <c r="E21"/>
      <c r="F21"/>
      <c r="G21"/>
      <c r="H21" s="141" t="s">
        <v>194</v>
      </c>
      <c r="I21"/>
      <c r="J21"/>
      <c r="K21"/>
      <c r="L21"/>
      <c r="M21"/>
      <c r="N21"/>
    </row>
    <row r="22" spans="1:14" s="154" customFormat="1" x14ac:dyDescent="0.2"/>
    <row r="23" spans="1:14" x14ac:dyDescent="0.2">
      <c r="A23" t="s">
        <v>162</v>
      </c>
    </row>
    <row r="25" spans="1:14" x14ac:dyDescent="0.2">
      <c r="A25" s="141" t="s">
        <v>195</v>
      </c>
    </row>
    <row r="26" spans="1:14" x14ac:dyDescent="0.2">
      <c r="A26" t="s">
        <v>163</v>
      </c>
    </row>
    <row r="27" spans="1:14" s="154" customFormat="1" x14ac:dyDescent="0.2">
      <c r="A27"/>
      <c r="B27"/>
      <c r="C27"/>
      <c r="D27"/>
      <c r="E27"/>
      <c r="F27"/>
      <c r="G27"/>
      <c r="H27"/>
      <c r="I27"/>
      <c r="J27"/>
      <c r="K27"/>
      <c r="L27"/>
      <c r="M27"/>
      <c r="N27"/>
    </row>
    <row r="29" spans="1:14" x14ac:dyDescent="0.2">
      <c r="A29" s="141" t="s">
        <v>196</v>
      </c>
    </row>
    <row r="30" spans="1:14" x14ac:dyDescent="0.2">
      <c r="A30" s="141" t="s">
        <v>197</v>
      </c>
      <c r="B30" s="154"/>
      <c r="C30" s="154"/>
      <c r="D30" s="154"/>
      <c r="E30" s="154"/>
      <c r="F30" s="154"/>
      <c r="G30" s="154"/>
      <c r="H30" s="154"/>
      <c r="I30" s="154"/>
      <c r="J30" s="154"/>
      <c r="K30" s="154"/>
      <c r="L30" s="154"/>
      <c r="M30" s="154"/>
      <c r="N30" s="154"/>
    </row>
    <row r="31" spans="1:14" x14ac:dyDescent="0.2">
      <c r="A31" s="141" t="s">
        <v>198</v>
      </c>
      <c r="B31" s="154"/>
      <c r="C31" s="154"/>
      <c r="D31" s="154"/>
      <c r="E31" s="154"/>
      <c r="F31" s="154"/>
      <c r="G31" s="154"/>
      <c r="H31" s="154"/>
      <c r="I31" s="154"/>
      <c r="J31" s="154"/>
      <c r="K31" s="154"/>
      <c r="L31" s="154"/>
      <c r="M31" s="154"/>
      <c r="N31" s="154"/>
    </row>
    <row r="32" spans="1:14" x14ac:dyDescent="0.2">
      <c r="A32" s="141" t="s">
        <v>199</v>
      </c>
      <c r="B32" s="154"/>
      <c r="C32" s="154"/>
      <c r="D32" s="154"/>
      <c r="E32" s="154"/>
      <c r="F32" s="154"/>
      <c r="G32" s="154"/>
      <c r="H32" s="154"/>
      <c r="I32" s="154"/>
      <c r="J32" s="154"/>
      <c r="K32" s="154"/>
      <c r="L32" s="154"/>
      <c r="M32" s="154"/>
      <c r="N32" s="154"/>
    </row>
    <row r="33" spans="1:22" x14ac:dyDescent="0.2">
      <c r="A33" s="154"/>
      <c r="B33" s="154"/>
      <c r="C33" s="154"/>
      <c r="D33" s="154"/>
      <c r="E33" s="154"/>
      <c r="F33" s="154"/>
      <c r="G33" s="154"/>
      <c r="H33" s="154"/>
      <c r="I33" s="154"/>
      <c r="J33" s="154"/>
      <c r="K33" s="154"/>
      <c r="L33" s="154"/>
      <c r="M33" s="154"/>
      <c r="N33" s="154"/>
    </row>
    <row r="34" spans="1:22" x14ac:dyDescent="0.2">
      <c r="A34" s="141" t="s">
        <v>200</v>
      </c>
    </row>
    <row r="35" spans="1:22" s="154" customFormat="1" x14ac:dyDescent="0.2">
      <c r="A35" t="s">
        <v>164</v>
      </c>
      <c r="B35"/>
      <c r="C35"/>
      <c r="D35"/>
      <c r="E35"/>
      <c r="F35"/>
      <c r="G35"/>
      <c r="H35"/>
      <c r="I35"/>
      <c r="J35"/>
      <c r="K35" s="134"/>
      <c r="N35"/>
    </row>
    <row r="36" spans="1:22" s="154" customFormat="1" x14ac:dyDescent="0.2">
      <c r="A36"/>
      <c r="B36"/>
      <c r="C36"/>
      <c r="D36"/>
      <c r="E36"/>
      <c r="F36"/>
      <c r="G36"/>
      <c r="H36"/>
      <c r="I36"/>
      <c r="J36"/>
      <c r="K36" s="59"/>
      <c r="L36" s="59"/>
      <c r="M36" s="59"/>
      <c r="N36"/>
    </row>
    <row r="37" spans="1:22" s="154" customFormat="1" x14ac:dyDescent="0.2">
      <c r="A37" t="s">
        <v>165</v>
      </c>
      <c r="B37"/>
      <c r="C37"/>
      <c r="D37"/>
      <c r="E37"/>
      <c r="F37"/>
      <c r="G37"/>
      <c r="H37"/>
      <c r="I37"/>
      <c r="J37"/>
      <c r="N37"/>
    </row>
    <row r="38" spans="1:22" s="154" customFormat="1" x14ac:dyDescent="0.2">
      <c r="A38" t="s">
        <v>166</v>
      </c>
      <c r="B38"/>
      <c r="C38"/>
      <c r="D38"/>
      <c r="E38"/>
      <c r="F38"/>
      <c r="G38"/>
      <c r="H38"/>
      <c r="I38"/>
      <c r="J38"/>
      <c r="N38"/>
    </row>
    <row r="39" spans="1:22" x14ac:dyDescent="0.2">
      <c r="A39" t="s">
        <v>167</v>
      </c>
      <c r="K39" s="154"/>
      <c r="L39" s="154"/>
      <c r="M39" s="154"/>
    </row>
    <row r="40" spans="1:22" x14ac:dyDescent="0.2">
      <c r="A40" t="s">
        <v>168</v>
      </c>
      <c r="K40" s="154"/>
      <c r="L40" s="154"/>
      <c r="M40" s="154"/>
      <c r="T40" s="134"/>
      <c r="U40" s="154"/>
      <c r="V40" s="154"/>
    </row>
    <row r="41" spans="1:22" x14ac:dyDescent="0.2">
      <c r="K41" s="154"/>
      <c r="L41" s="154"/>
      <c r="M41" s="154"/>
      <c r="T41" s="59"/>
      <c r="U41" s="59"/>
      <c r="V41" s="59"/>
    </row>
    <row r="42" spans="1:22" x14ac:dyDescent="0.2">
      <c r="A42" s="141" t="s">
        <v>201</v>
      </c>
      <c r="K42" s="154"/>
      <c r="L42" s="154"/>
      <c r="M42" s="154"/>
      <c r="T42" s="154"/>
      <c r="U42" s="154"/>
      <c r="V42" s="154"/>
    </row>
    <row r="43" spans="1:22" x14ac:dyDescent="0.2">
      <c r="A43" s="141" t="s">
        <v>202</v>
      </c>
      <c r="K43" s="154"/>
      <c r="L43" s="154"/>
      <c r="M43" s="154"/>
      <c r="T43" s="154"/>
      <c r="U43" s="154"/>
      <c r="V43" s="154"/>
    </row>
    <row r="44" spans="1:22" x14ac:dyDescent="0.2">
      <c r="T44" s="154"/>
      <c r="U44" s="154"/>
      <c r="V44" s="154"/>
    </row>
    <row r="45" spans="1:22" x14ac:dyDescent="0.2">
      <c r="T45" s="154"/>
      <c r="U45" s="154"/>
      <c r="V45" s="154"/>
    </row>
    <row r="46" spans="1:22" x14ac:dyDescent="0.2">
      <c r="T46" s="154"/>
      <c r="U46" s="154"/>
      <c r="V46" s="154"/>
    </row>
    <row r="47" spans="1:22" x14ac:dyDescent="0.2">
      <c r="T47" s="154"/>
      <c r="U47" s="154"/>
      <c r="V47" s="154"/>
    </row>
    <row r="48" spans="1:22" x14ac:dyDescent="0.2">
      <c r="T48" s="154"/>
      <c r="U48" s="154"/>
      <c r="V48" s="154"/>
    </row>
    <row r="49" spans="11:22" x14ac:dyDescent="0.2">
      <c r="K49" s="154"/>
      <c r="L49" s="154"/>
      <c r="M49" s="154"/>
      <c r="T49" s="154"/>
      <c r="U49" s="154"/>
      <c r="V49" s="154"/>
    </row>
    <row r="50" spans="11:22" x14ac:dyDescent="0.2">
      <c r="K50" s="154"/>
      <c r="L50" s="154"/>
      <c r="M50" s="154"/>
      <c r="T50" s="154"/>
      <c r="U50" s="154"/>
      <c r="V50" s="154"/>
    </row>
    <row r="51" spans="11:22" x14ac:dyDescent="0.2">
      <c r="K51" s="154"/>
      <c r="L51" s="154"/>
      <c r="M51" s="154"/>
      <c r="T51" s="154"/>
      <c r="U51" s="154"/>
      <c r="V51" s="154"/>
    </row>
    <row r="52" spans="11:22" x14ac:dyDescent="0.2">
      <c r="K52" s="154"/>
      <c r="L52" s="154"/>
      <c r="M52" s="154"/>
      <c r="T52" s="154"/>
      <c r="U52" s="154"/>
      <c r="V52" s="154"/>
    </row>
    <row r="53" spans="11:22" x14ac:dyDescent="0.2">
      <c r="T53" s="154"/>
      <c r="U53" s="154"/>
      <c r="V53" s="154"/>
    </row>
    <row r="54" spans="11:22" x14ac:dyDescent="0.2">
      <c r="T54" s="154"/>
      <c r="U54" s="154"/>
      <c r="V54" s="154"/>
    </row>
    <row r="55" spans="11:22" x14ac:dyDescent="0.2">
      <c r="T55" s="154"/>
      <c r="U55" s="154"/>
      <c r="V55" s="154"/>
    </row>
    <row r="56" spans="11:22" x14ac:dyDescent="0.2">
      <c r="T56" s="154"/>
      <c r="U56" s="154"/>
      <c r="V56" s="154"/>
    </row>
    <row r="57" spans="11:22" x14ac:dyDescent="0.2">
      <c r="T57" s="154"/>
      <c r="U57" s="154"/>
      <c r="V57" s="154"/>
    </row>
    <row r="58" spans="11:22" x14ac:dyDescent="0.2">
      <c r="T58" s="154"/>
      <c r="U58" s="154"/>
      <c r="V58" s="154"/>
    </row>
  </sheetData>
  <mergeCells count="1">
    <mergeCell ref="O1:U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9"/>
  <sheetViews>
    <sheetView workbookViewId="0">
      <selection activeCell="O24" sqref="O24"/>
    </sheetView>
  </sheetViews>
  <sheetFormatPr defaultRowHeight="12.75" x14ac:dyDescent="0.2"/>
  <cols>
    <col min="1" max="1" width="8.7109375" style="154" customWidth="1"/>
    <col min="2" max="2" width="6.7109375" style="154" customWidth="1"/>
    <col min="3" max="7" width="7.7109375" style="154" customWidth="1"/>
    <col min="8" max="9" width="6.7109375" style="154" customWidth="1"/>
    <col min="10" max="11" width="7.7109375" style="154" customWidth="1"/>
    <col min="12" max="14" width="9.7109375" style="154" customWidth="1"/>
    <col min="15" max="15" width="7.140625" style="154" customWidth="1"/>
    <col min="16" max="16" width="6.5703125" style="154" customWidth="1"/>
    <col min="17" max="20" width="6.7109375" style="154" customWidth="1"/>
    <col min="21" max="22" width="5.7109375" style="154" customWidth="1"/>
    <col min="23" max="26" width="4.7109375" style="154" customWidth="1"/>
    <col min="27" max="28" width="6.7109375" style="154" customWidth="1"/>
    <col min="29" max="29" width="7.7109375" style="154" customWidth="1"/>
    <col min="30" max="30" width="0.85546875" style="154" customWidth="1"/>
    <col min="31" max="31" width="8.7109375" style="154" customWidth="1"/>
    <col min="32" max="32" width="6.7109375" style="154" customWidth="1"/>
    <col min="33" max="33" width="9.7109375" style="154" customWidth="1"/>
    <col min="34" max="34" width="3.7109375" style="154" customWidth="1"/>
    <col min="35" max="35" width="6.7109375" style="154" customWidth="1"/>
    <col min="36" max="36" width="7.7109375" style="154" customWidth="1"/>
    <col min="37" max="38" width="5.7109375" style="154" customWidth="1"/>
    <col min="39" max="40" width="7.7109375" style="154" customWidth="1"/>
    <col min="41" max="46" width="6.7109375" style="154" customWidth="1"/>
    <col min="47" max="48" width="7.7109375" style="154" customWidth="1"/>
    <col min="49" max="50" width="6.7109375" style="154" customWidth="1"/>
    <col min="51" max="51" width="7.42578125" style="154" customWidth="1"/>
    <col min="52" max="52" width="6.7109375" style="154" customWidth="1"/>
    <col min="53" max="53" width="1.7109375" style="154" customWidth="1"/>
    <col min="54" max="54" width="9.28515625" style="154" customWidth="1"/>
    <col min="55" max="55" width="6.7109375" style="154" customWidth="1"/>
    <col min="56" max="56" width="11.28515625" style="154" customWidth="1"/>
    <col min="57" max="57" width="7.7109375" style="154" customWidth="1"/>
    <col min="58" max="58" width="10.28515625" style="154" customWidth="1"/>
    <col min="59" max="60" width="7.7109375" style="154" customWidth="1"/>
    <col min="61" max="62" width="6.7109375" style="154" customWidth="1"/>
    <col min="63" max="63" width="8.7109375" style="154" customWidth="1"/>
    <col min="64" max="64" width="1.7109375" style="154" customWidth="1"/>
    <col min="65" max="65" width="6.7109375" style="154" customWidth="1"/>
    <col min="66" max="66" width="10.28515625" style="154" customWidth="1"/>
    <col min="67" max="69" width="7.7109375" style="154" customWidth="1"/>
    <col min="70" max="70" width="9.28515625" style="154" customWidth="1"/>
    <col min="71" max="71" width="1.7109375" style="154" customWidth="1"/>
    <col min="72" max="72" width="8.7109375" style="154" customWidth="1"/>
    <col min="73" max="73" width="14.28515625" style="154" customWidth="1"/>
    <col min="74" max="74" width="7.7109375" style="154" customWidth="1"/>
    <col min="75" max="75" width="8.28515625" style="154" customWidth="1"/>
    <col min="76" max="77" width="7.7109375" style="154" customWidth="1"/>
    <col min="78" max="78" width="8.7109375" style="154" customWidth="1"/>
    <col min="79" max="16384" width="9.140625" style="154"/>
  </cols>
  <sheetData>
    <row r="1" spans="1:78" ht="20.25" x14ac:dyDescent="0.3">
      <c r="A1" s="30" t="s">
        <v>71</v>
      </c>
      <c r="AE1" s="29" t="s">
        <v>71</v>
      </c>
      <c r="BB1" s="30" t="s">
        <v>71</v>
      </c>
    </row>
    <row r="2" spans="1:78" ht="16.5" x14ac:dyDescent="0.3">
      <c r="C2" s="205" t="s">
        <v>178</v>
      </c>
      <c r="D2" s="312">
        <v>80</v>
      </c>
      <c r="E2" s="206" t="s">
        <v>142</v>
      </c>
      <c r="Q2" s="154" t="s">
        <v>98</v>
      </c>
      <c r="U2" s="148" t="s">
        <v>175</v>
      </c>
      <c r="AE2" s="123" t="s">
        <v>173</v>
      </c>
      <c r="BB2" s="123" t="s">
        <v>174</v>
      </c>
      <c r="BC2" s="123"/>
      <c r="BD2" s="123"/>
      <c r="BZ2" s="140" t="s">
        <v>113</v>
      </c>
    </row>
    <row r="3" spans="1:78" x14ac:dyDescent="0.2">
      <c r="B3" s="140" t="s">
        <v>113</v>
      </c>
      <c r="C3" s="140"/>
      <c r="D3" s="140" t="s">
        <v>113</v>
      </c>
      <c r="E3" s="140" t="s">
        <v>113</v>
      </c>
      <c r="F3" s="140" t="s">
        <v>113</v>
      </c>
      <c r="G3" s="140" t="s">
        <v>113</v>
      </c>
      <c r="H3" s="140" t="s">
        <v>113</v>
      </c>
      <c r="I3" s="140" t="s">
        <v>113</v>
      </c>
      <c r="J3" s="140" t="s">
        <v>113</v>
      </c>
      <c r="K3" s="140" t="s">
        <v>113</v>
      </c>
      <c r="N3" s="140" t="s">
        <v>113</v>
      </c>
      <c r="O3" s="140"/>
      <c r="P3" s="140" t="s">
        <v>113</v>
      </c>
      <c r="Q3" s="140" t="s">
        <v>113</v>
      </c>
      <c r="R3" s="154" t="s">
        <v>104</v>
      </c>
      <c r="U3" s="140" t="s">
        <v>113</v>
      </c>
      <c r="V3" s="140" t="s">
        <v>113</v>
      </c>
      <c r="W3" s="140" t="s">
        <v>113</v>
      </c>
      <c r="X3" s="140" t="s">
        <v>113</v>
      </c>
      <c r="Y3" s="140" t="s">
        <v>113</v>
      </c>
      <c r="Z3" s="140" t="s">
        <v>113</v>
      </c>
      <c r="AA3" s="140" t="s">
        <v>113</v>
      </c>
      <c r="AB3" s="140" t="s">
        <v>113</v>
      </c>
      <c r="AC3" s="140" t="s">
        <v>113</v>
      </c>
      <c r="AE3" s="140" t="s">
        <v>113</v>
      </c>
      <c r="AF3" s="140" t="s">
        <v>113</v>
      </c>
      <c r="AG3" s="140" t="s">
        <v>113</v>
      </c>
      <c r="AH3" s="140" t="s">
        <v>113</v>
      </c>
      <c r="AI3" s="140" t="s">
        <v>113</v>
      </c>
      <c r="AJ3" s="140" t="s">
        <v>113</v>
      </c>
      <c r="AK3" s="140" t="s">
        <v>113</v>
      </c>
      <c r="AL3" s="140" t="s">
        <v>113</v>
      </c>
      <c r="AM3" s="140" t="s">
        <v>113</v>
      </c>
      <c r="AN3" s="140" t="s">
        <v>113</v>
      </c>
      <c r="AO3" s="140" t="s">
        <v>113</v>
      </c>
      <c r="AP3" s="140" t="s">
        <v>113</v>
      </c>
      <c r="AQ3" s="140" t="s">
        <v>113</v>
      </c>
      <c r="AR3" s="140" t="s">
        <v>113</v>
      </c>
      <c r="AS3" s="140" t="s">
        <v>113</v>
      </c>
      <c r="AT3" s="140" t="s">
        <v>113</v>
      </c>
      <c r="AU3" s="140" t="s">
        <v>113</v>
      </c>
      <c r="AV3" s="140" t="s">
        <v>113</v>
      </c>
      <c r="AW3" s="140" t="s">
        <v>113</v>
      </c>
      <c r="AX3" s="140" t="s">
        <v>113</v>
      </c>
      <c r="AY3" s="140" t="s">
        <v>113</v>
      </c>
      <c r="AZ3" s="140" t="s">
        <v>113</v>
      </c>
      <c r="BB3" s="140" t="s">
        <v>113</v>
      </c>
      <c r="BC3" s="140" t="s">
        <v>113</v>
      </c>
      <c r="BD3" s="140" t="s">
        <v>113</v>
      </c>
      <c r="BE3" s="140" t="s">
        <v>113</v>
      </c>
      <c r="BF3" s="140" t="s">
        <v>113</v>
      </c>
      <c r="BG3" s="140" t="s">
        <v>113</v>
      </c>
      <c r="BH3" s="140" t="s">
        <v>113</v>
      </c>
      <c r="BI3" s="140" t="s">
        <v>113</v>
      </c>
      <c r="BJ3" s="140" t="s">
        <v>113</v>
      </c>
      <c r="BK3" s="140" t="s">
        <v>113</v>
      </c>
      <c r="BM3" s="140" t="s">
        <v>113</v>
      </c>
      <c r="BN3" s="140" t="s">
        <v>113</v>
      </c>
      <c r="BO3" s="140" t="s">
        <v>113</v>
      </c>
      <c r="BP3" s="140" t="s">
        <v>113</v>
      </c>
      <c r="BQ3" s="140" t="s">
        <v>113</v>
      </c>
      <c r="BR3" s="140" t="s">
        <v>113</v>
      </c>
      <c r="BT3" s="217" t="s">
        <v>74</v>
      </c>
      <c r="BU3" s="217"/>
      <c r="BV3" s="217"/>
      <c r="BW3" s="217"/>
      <c r="BX3" s="217"/>
      <c r="BY3" s="217"/>
      <c r="BZ3" s="217"/>
    </row>
    <row r="4" spans="1:78" ht="13.5" thickBot="1" x14ac:dyDescent="0.25">
      <c r="A4" s="159" t="s">
        <v>5</v>
      </c>
      <c r="B4" s="54" t="s">
        <v>10</v>
      </c>
      <c r="C4" s="54" t="s">
        <v>75</v>
      </c>
      <c r="D4" s="194" t="s">
        <v>2</v>
      </c>
      <c r="E4" s="91" t="s">
        <v>3</v>
      </c>
      <c r="F4" s="194" t="s">
        <v>6</v>
      </c>
      <c r="G4" s="95" t="s">
        <v>7</v>
      </c>
      <c r="H4" s="194" t="s">
        <v>35</v>
      </c>
      <c r="I4" s="91" t="s">
        <v>4</v>
      </c>
      <c r="J4" s="194" t="s">
        <v>1</v>
      </c>
      <c r="K4" s="196" t="s">
        <v>0</v>
      </c>
      <c r="L4" s="31" t="s">
        <v>8</v>
      </c>
      <c r="M4" s="54" t="s">
        <v>170</v>
      </c>
      <c r="N4" s="31" t="s">
        <v>171</v>
      </c>
      <c r="O4" s="14" t="s">
        <v>172</v>
      </c>
      <c r="P4" s="54" t="s">
        <v>9</v>
      </c>
      <c r="Q4" s="194" t="s">
        <v>13</v>
      </c>
      <c r="R4" s="196" t="s">
        <v>14</v>
      </c>
      <c r="S4" s="194" t="s">
        <v>28</v>
      </c>
      <c r="T4" s="91" t="s">
        <v>29</v>
      </c>
      <c r="U4" s="67" t="s">
        <v>21</v>
      </c>
      <c r="V4" s="16" t="s">
        <v>22</v>
      </c>
      <c r="W4" s="15" t="s">
        <v>30</v>
      </c>
      <c r="X4" s="67" t="s">
        <v>23</v>
      </c>
      <c r="Y4" s="16" t="s">
        <v>24</v>
      </c>
      <c r="Z4" s="15" t="s">
        <v>25</v>
      </c>
      <c r="AA4" s="67" t="s">
        <v>26</v>
      </c>
      <c r="AB4" s="16" t="s">
        <v>27</v>
      </c>
      <c r="AC4" s="16" t="s">
        <v>31</v>
      </c>
      <c r="AE4" s="159" t="s">
        <v>5</v>
      </c>
      <c r="AF4" s="54" t="s">
        <v>10</v>
      </c>
      <c r="AG4" s="14" t="s">
        <v>8</v>
      </c>
      <c r="AH4" s="67" t="s">
        <v>54</v>
      </c>
      <c r="AI4" s="67" t="s">
        <v>55</v>
      </c>
      <c r="AJ4" s="16" t="s">
        <v>56</v>
      </c>
      <c r="AK4" s="67" t="s">
        <v>57</v>
      </c>
      <c r="AL4" s="15" t="s">
        <v>58</v>
      </c>
      <c r="AM4" s="194" t="s">
        <v>1</v>
      </c>
      <c r="AN4" s="95" t="s">
        <v>0</v>
      </c>
      <c r="AO4" s="194" t="s">
        <v>59</v>
      </c>
      <c r="AP4" s="194" t="s">
        <v>85</v>
      </c>
      <c r="AQ4" s="74" t="s">
        <v>86</v>
      </c>
      <c r="AR4" s="196" t="s">
        <v>85</v>
      </c>
      <c r="AS4" s="196" t="s">
        <v>86</v>
      </c>
      <c r="AT4" s="95" t="s">
        <v>60</v>
      </c>
      <c r="AU4" s="194" t="s">
        <v>63</v>
      </c>
      <c r="AV4" s="95" t="s">
        <v>62</v>
      </c>
      <c r="AW4" s="74" t="s">
        <v>61</v>
      </c>
      <c r="AX4" s="91" t="s">
        <v>66</v>
      </c>
      <c r="AY4" s="194" t="s">
        <v>64</v>
      </c>
      <c r="AZ4" s="95" t="s">
        <v>65</v>
      </c>
      <c r="BA4" s="161"/>
      <c r="BB4" s="159" t="s">
        <v>5</v>
      </c>
      <c r="BC4" s="54" t="s">
        <v>10</v>
      </c>
      <c r="BD4" s="67" t="s">
        <v>80</v>
      </c>
      <c r="BE4" s="159" t="s">
        <v>77</v>
      </c>
      <c r="BF4" s="159" t="s">
        <v>84</v>
      </c>
      <c r="BG4" s="90" t="s">
        <v>21</v>
      </c>
      <c r="BH4" s="126" t="s">
        <v>64</v>
      </c>
      <c r="BI4" s="90" t="s">
        <v>78</v>
      </c>
      <c r="BJ4" s="90" t="s">
        <v>79</v>
      </c>
      <c r="BK4" s="86" t="s">
        <v>81</v>
      </c>
      <c r="BM4" s="159" t="s">
        <v>77</v>
      </c>
      <c r="BN4" s="159" t="s">
        <v>84</v>
      </c>
      <c r="BO4" s="90" t="s">
        <v>22</v>
      </c>
      <c r="BP4" s="126" t="s">
        <v>65</v>
      </c>
      <c r="BQ4" s="90" t="s">
        <v>83</v>
      </c>
      <c r="BR4" s="90" t="s">
        <v>82</v>
      </c>
      <c r="BT4" s="159" t="s">
        <v>5</v>
      </c>
      <c r="BU4" s="67" t="s">
        <v>67</v>
      </c>
      <c r="BV4" s="15" t="s">
        <v>68</v>
      </c>
      <c r="BW4" s="67" t="s">
        <v>69</v>
      </c>
      <c r="BX4" s="15" t="s">
        <v>70</v>
      </c>
      <c r="BY4" s="90" t="s">
        <v>72</v>
      </c>
      <c r="BZ4" s="86" t="s">
        <v>73</v>
      </c>
    </row>
    <row r="5" spans="1:78" ht="13.5" thickTop="1" x14ac:dyDescent="0.2">
      <c r="A5" s="2">
        <v>5</v>
      </c>
      <c r="B5" s="221">
        <v>8</v>
      </c>
      <c r="C5" s="43">
        <f>B5/12*0.15</f>
        <v>9.9999999999999992E-2</v>
      </c>
      <c r="D5" s="253">
        <f>-0.1*C5*A5^2</f>
        <v>-0.25</v>
      </c>
      <c r="E5" s="99">
        <f>0.08*C5*A5^2</f>
        <v>0.2</v>
      </c>
      <c r="F5" s="253">
        <f>-0.1*0.05*A5^2</f>
        <v>-0.12500000000000003</v>
      </c>
      <c r="G5" s="108">
        <f>0.08*0.05*A5^2</f>
        <v>0.1</v>
      </c>
      <c r="H5" s="253">
        <v>-2.66</v>
      </c>
      <c r="I5" s="99">
        <v>4.6500000000000004</v>
      </c>
      <c r="J5" s="253">
        <f>D5+F5+H5</f>
        <v>-3.0350000000000001</v>
      </c>
      <c r="K5" s="111">
        <f>E5+G5+I5</f>
        <v>4.95</v>
      </c>
      <c r="L5" s="297">
        <v>4</v>
      </c>
      <c r="M5" s="236">
        <v>8</v>
      </c>
      <c r="N5" s="297">
        <v>0.2</v>
      </c>
      <c r="O5" s="269">
        <v>0.5</v>
      </c>
      <c r="P5" s="43">
        <f>N5*12/M5</f>
        <v>0.30000000000000004</v>
      </c>
      <c r="Q5" s="195">
        <f>B5-2.5-O5/2</f>
        <v>5.25</v>
      </c>
      <c r="R5" s="197">
        <f>B5-1.5-O5/2-0.5</f>
        <v>5.75</v>
      </c>
      <c r="S5" s="253">
        <f>J5*12/(P5*AL5*Q5)</f>
        <v>-25.050793650793647</v>
      </c>
      <c r="T5" s="99">
        <f>K5*12/(P5*AL5*R5)</f>
        <v>37.304347826086953</v>
      </c>
      <c r="U5" s="131">
        <v>2</v>
      </c>
      <c r="V5" s="69">
        <v>1.5</v>
      </c>
      <c r="W5" s="23">
        <f>12/M5</f>
        <v>1.5</v>
      </c>
      <c r="X5" s="201">
        <f>12*2*U5/W5</f>
        <v>32</v>
      </c>
      <c r="Y5" s="24">
        <f>12*2*V5/W5</f>
        <v>24</v>
      </c>
      <c r="Z5" s="3">
        <v>130</v>
      </c>
      <c r="AA5" s="87">
        <f>Z5/(U5*X5)^0.333</f>
        <v>32.545085810618367</v>
      </c>
      <c r="AB5" s="63">
        <f>Z5/(V5*Y5)^0.333</f>
        <v>39.418003121093513</v>
      </c>
      <c r="AC5" s="24">
        <f>0.6*$D$2</f>
        <v>48</v>
      </c>
      <c r="AE5" s="2">
        <f>A5</f>
        <v>5</v>
      </c>
      <c r="AF5" s="55">
        <f t="shared" ref="AF5:AF45" si="0">B5</f>
        <v>8</v>
      </c>
      <c r="AG5" s="169" t="str">
        <f>"#"&amp;L5&amp;" @ "&amp;M5</f>
        <v>#4 @ 8</v>
      </c>
      <c r="AH5" s="55">
        <v>8</v>
      </c>
      <c r="AI5" s="55">
        <f>0.4*4500</f>
        <v>1800</v>
      </c>
      <c r="AJ5" s="47">
        <f>0.6*$D$2*1000</f>
        <v>48000</v>
      </c>
      <c r="AK5" s="43">
        <f>AI5/((AJ5/AH5)+AI5)</f>
        <v>0.23076923076923078</v>
      </c>
      <c r="AL5" s="155">
        <f>1-AK5/3</f>
        <v>0.92307692307692313</v>
      </c>
      <c r="AM5" s="253">
        <f t="shared" ref="AM5:AN45" si="1">J5</f>
        <v>-3.0350000000000001</v>
      </c>
      <c r="AN5" s="108">
        <f t="shared" si="1"/>
        <v>4.95</v>
      </c>
      <c r="AO5" s="195">
        <f>(-AP5+(AP5^2-4*1*AQ5)^0.5)/(2*1)</f>
        <v>1.2628738838327795</v>
      </c>
      <c r="AP5" s="253">
        <f>P5*AH5/6</f>
        <v>0.40000000000000008</v>
      </c>
      <c r="AQ5" s="157">
        <f>-P5*AH5*Q5/6</f>
        <v>-2.1</v>
      </c>
      <c r="AR5" s="111">
        <f>P5*AH5/6</f>
        <v>0.40000000000000008</v>
      </c>
      <c r="AS5" s="111">
        <f>-P5*AH5*R5/6</f>
        <v>-2.3000000000000003</v>
      </c>
      <c r="AT5" s="102">
        <f>(-AR5+(AR5^2-4*1*AS5)^0.5)/(2*1)</f>
        <v>1.3297058540778357</v>
      </c>
      <c r="AU5" s="253">
        <f>12*AM5/(Q5-AO5/3)</f>
        <v>-7.5418684923346495</v>
      </c>
      <c r="AV5" s="108">
        <f>12*AN5/(R5-AT5/3)</f>
        <v>11.193260524375695</v>
      </c>
      <c r="AW5" s="62">
        <f>AU5/(6*AO5)</f>
        <v>-0.99533144057179235</v>
      </c>
      <c r="AX5" s="118">
        <f>AV5/(6*AT5)</f>
        <v>1.4029745112486216</v>
      </c>
      <c r="AY5" s="253">
        <f>AW5*AH5*(Q5-AO5)/AO5</f>
        <v>-25.139561641115488</v>
      </c>
      <c r="AZ5" s="108">
        <f>AX5*AH5*(R5-AT5)/AT5</f>
        <v>37.310868414585634</v>
      </c>
      <c r="BA5" s="155"/>
      <c r="BB5" s="2">
        <f t="shared" ref="BB5:BC45" si="2">A5</f>
        <v>5</v>
      </c>
      <c r="BC5" s="165">
        <f t="shared" si="2"/>
        <v>8</v>
      </c>
      <c r="BD5" s="169" t="str">
        <f>"#"&amp;L5&amp;" @ "&amp;M5</f>
        <v>#4 @ 8</v>
      </c>
      <c r="BE5" s="66">
        <f>BJ5*BH5*(BK5+2*BG5)/700</f>
        <v>0.77004482874734081</v>
      </c>
      <c r="BF5" s="129">
        <f>0.017*BE5/0.75</f>
        <v>1.7454349451606392E-2</v>
      </c>
      <c r="BG5" s="191">
        <f>2+O5</f>
        <v>2.5</v>
      </c>
      <c r="BH5" s="22">
        <f>-AY5</f>
        <v>25.139561641115488</v>
      </c>
      <c r="BI5" s="55">
        <f t="shared" ref="BI5:BI45" si="3">B5</f>
        <v>8</v>
      </c>
      <c r="BJ5" s="87">
        <f>1+BG5/(0.7*(BI5-BG5))</f>
        <v>1.6493506493506493</v>
      </c>
      <c r="BK5" s="69">
        <f>M5</f>
        <v>8</v>
      </c>
      <c r="BM5" s="66">
        <f>BQ5*BP5*(BR5+2*BO5)/700</f>
        <v>0.85814997353546951</v>
      </c>
      <c r="BN5" s="129">
        <f>0.017*BM5/0.75</f>
        <v>1.945139940013731E-2</v>
      </c>
      <c r="BO5" s="43">
        <f>1.5+O5/2</f>
        <v>1.75</v>
      </c>
      <c r="BP5" s="22">
        <f>AZ5</f>
        <v>37.310868414585634</v>
      </c>
      <c r="BQ5" s="87">
        <f>1+BO5/(0.7*(BI5-BO5))</f>
        <v>1.4</v>
      </c>
      <c r="BR5" s="131">
        <f>BK5</f>
        <v>8</v>
      </c>
      <c r="BT5" s="2">
        <v>5</v>
      </c>
      <c r="BU5" s="55">
        <f t="shared" ref="BU5:BU13" si="4">5.5+A5</f>
        <v>10.5</v>
      </c>
      <c r="BV5" s="22">
        <f t="shared" ref="BV5:BV13" si="5">24*1.33*A5/4/BU5</f>
        <v>3.8000000000000007</v>
      </c>
      <c r="BW5" s="87">
        <f t="shared" ref="BW5:BW13" si="6">E5+G5</f>
        <v>0.30000000000000004</v>
      </c>
      <c r="BX5" s="22">
        <f t="shared" ref="BX5:BX13" si="7">BV5+BW5</f>
        <v>4.1000000000000005</v>
      </c>
      <c r="BY5" s="87">
        <f t="shared" ref="BY5:BY13" si="8">AN5</f>
        <v>4.95</v>
      </c>
      <c r="BZ5" s="83">
        <f>BY5/BX5</f>
        <v>1.2073170731707317</v>
      </c>
    </row>
    <row r="6" spans="1:78" x14ac:dyDescent="0.2">
      <c r="A6" s="2">
        <v>5.25</v>
      </c>
      <c r="B6" s="221">
        <v>8</v>
      </c>
      <c r="C6" s="43">
        <f t="shared" ref="C6:C45" si="9">B6/12*0.15</f>
        <v>9.9999999999999992E-2</v>
      </c>
      <c r="D6" s="253">
        <f t="shared" ref="D6:D45" si="10">-0.1*C6*A6^2</f>
        <v>-0.27562500000000001</v>
      </c>
      <c r="E6" s="99">
        <f t="shared" ref="E6:E45" si="11">0.08*C6*A6^2</f>
        <v>0.2205</v>
      </c>
      <c r="F6" s="253">
        <f t="shared" ref="F6:F45" si="12">-0.1*0.05*A6^2</f>
        <v>-0.13781250000000003</v>
      </c>
      <c r="G6" s="108">
        <f t="shared" ref="G6:G45" si="13">0.08*0.05*A6^2</f>
        <v>0.11025</v>
      </c>
      <c r="H6" s="253">
        <v>-2.89</v>
      </c>
      <c r="I6" s="99">
        <v>4.67</v>
      </c>
      <c r="J6" s="253">
        <f t="shared" ref="J6:K45" si="14">D6+F6+H6</f>
        <v>-3.3034375000000002</v>
      </c>
      <c r="K6" s="111">
        <f t="shared" si="14"/>
        <v>5.00075</v>
      </c>
      <c r="L6" s="297">
        <v>4</v>
      </c>
      <c r="M6" s="236">
        <v>8</v>
      </c>
      <c r="N6" s="297">
        <v>0.2</v>
      </c>
      <c r="O6" s="269">
        <v>0.5</v>
      </c>
      <c r="P6" s="43">
        <f t="shared" ref="P6:P45" si="15">N6*12/M6</f>
        <v>0.30000000000000004</v>
      </c>
      <c r="Q6" s="195">
        <f t="shared" ref="Q6:Q45" si="16">B6-2.5-O6/2</f>
        <v>5.25</v>
      </c>
      <c r="R6" s="197">
        <f t="shared" ref="R6:R16" si="17">B6-1.5-O6/2-0.5</f>
        <v>5.75</v>
      </c>
      <c r="S6" s="253">
        <f t="shared" ref="S6:S45" si="18">J6*12/(P6*AL6*Q6)</f>
        <v>-27.266468253968245</v>
      </c>
      <c r="T6" s="99">
        <f t="shared" ref="T6:T45" si="19">K6*12/(P6*AL6*R6)</f>
        <v>37.686811594202894</v>
      </c>
      <c r="U6" s="131">
        <v>2</v>
      </c>
      <c r="V6" s="69">
        <v>1.5</v>
      </c>
      <c r="W6" s="23">
        <f t="shared" ref="W6:W45" si="20">12/M6</f>
        <v>1.5</v>
      </c>
      <c r="X6" s="201">
        <f t="shared" ref="X6:X41" si="21">12*2*U6/W6</f>
        <v>32</v>
      </c>
      <c r="Y6" s="24">
        <f t="shared" ref="Y6:Y41" si="22">12*2*V6/W6</f>
        <v>24</v>
      </c>
      <c r="Z6" s="3">
        <v>130</v>
      </c>
      <c r="AA6" s="87">
        <f t="shared" ref="AA6:AA41" si="23">Z6/(U6*X6)^0.333</f>
        <v>32.545085810618367</v>
      </c>
      <c r="AB6" s="63">
        <f t="shared" ref="AB6:AB41" si="24">Z6/(V6*Y6)^0.333</f>
        <v>39.418003121093513</v>
      </c>
      <c r="AC6" s="24">
        <f t="shared" ref="AC6:AC45" si="25">0.6*$D$2</f>
        <v>48</v>
      </c>
      <c r="AE6" s="2">
        <f t="shared" ref="AE6:AE45" si="26">A6</f>
        <v>5.25</v>
      </c>
      <c r="AF6" s="55">
        <f t="shared" si="0"/>
        <v>8</v>
      </c>
      <c r="AG6" s="169" t="str">
        <f t="shared" ref="AG6:AG45" si="27">"#"&amp;L6&amp;" @ "&amp;M6</f>
        <v>#4 @ 8</v>
      </c>
      <c r="AH6" s="55">
        <v>8</v>
      </c>
      <c r="AI6" s="55">
        <f t="shared" ref="AI6:AI45" si="28">0.4*4500</f>
        <v>1800</v>
      </c>
      <c r="AJ6" s="47">
        <f t="shared" ref="AJ6:AJ45" si="29">0.6*$D$2*1000</f>
        <v>48000</v>
      </c>
      <c r="AK6" s="43">
        <f t="shared" ref="AK6:AK45" si="30">AI6/((AJ6/AH6)+AI6)</f>
        <v>0.23076923076923078</v>
      </c>
      <c r="AL6" s="155">
        <f t="shared" ref="AL6:AL45" si="31">1-AK6/3</f>
        <v>0.92307692307692313</v>
      </c>
      <c r="AM6" s="253">
        <f t="shared" si="1"/>
        <v>-3.3034375000000002</v>
      </c>
      <c r="AN6" s="108">
        <f t="shared" si="1"/>
        <v>5.00075</v>
      </c>
      <c r="AO6" s="195">
        <f t="shared" ref="AO6:AO45" si="32">(-AP6+(AP6^2-4*1*AQ6)^0.5)/(2*1)</f>
        <v>1.2628738838327795</v>
      </c>
      <c r="AP6" s="253">
        <f t="shared" ref="AP6:AP45" si="33">P6*AH6/6</f>
        <v>0.40000000000000008</v>
      </c>
      <c r="AQ6" s="157">
        <f t="shared" ref="AQ6:AQ45" si="34">-P6*AH6*Q6/6</f>
        <v>-2.1</v>
      </c>
      <c r="AR6" s="111">
        <f t="shared" ref="AR6:AR45" si="35">P6*AH6/6</f>
        <v>0.40000000000000008</v>
      </c>
      <c r="AS6" s="111">
        <f t="shared" ref="AS6:AS45" si="36">-P6*AH6*R6/6</f>
        <v>-2.3000000000000003</v>
      </c>
      <c r="AT6" s="102">
        <f t="shared" ref="AT6:AT45" si="37">(-AR6+(AR6^2-4*1*AS6)^0.5)/(2*1)</f>
        <v>1.3297058540778357</v>
      </c>
      <c r="AU6" s="253">
        <f t="shared" ref="AU6:AU45" si="38">12*AM6/(Q6-AO6/3)</f>
        <v>-8.2089262595211672</v>
      </c>
      <c r="AV6" s="108">
        <f t="shared" ref="AV6:AV45" si="39">12*AN6/(R6-AT6/3)</f>
        <v>11.30801971055995</v>
      </c>
      <c r="AW6" s="62">
        <f t="shared" ref="AW6:AW45" si="40">AU6/(6*AO6)</f>
        <v>-1.0833658008941944</v>
      </c>
      <c r="AX6" s="118">
        <f t="shared" ref="AX6:AX45" si="41">AV6/(6*AT6)</f>
        <v>1.4173585428538473</v>
      </c>
      <c r="AY6" s="253">
        <f t="shared" ref="AY6:AY45" si="42">AW6*AH6*(Q6-AO6)/AO6</f>
        <v>-27.363087531737214</v>
      </c>
      <c r="AZ6" s="108">
        <f t="shared" ref="AZ6:AZ45" si="43">AX6*AH6*(R6-AT6)/AT6</f>
        <v>37.693399035199818</v>
      </c>
      <c r="BA6" s="155"/>
      <c r="BB6" s="2">
        <f t="shared" si="2"/>
        <v>5.25</v>
      </c>
      <c r="BC6" s="165">
        <f t="shared" si="2"/>
        <v>8</v>
      </c>
      <c r="BD6" s="169" t="str">
        <f t="shared" ref="BD6:BD45" si="44">"#"&amp;L6&amp;" @ "&amp;M6</f>
        <v>#4 @ 8</v>
      </c>
      <c r="BE6" s="66">
        <f t="shared" ref="BE6:BE45" si="45">BJ6*BH6*(BK6+2*BG6)/700</f>
        <v>0.83815320064746079</v>
      </c>
      <c r="BF6" s="129">
        <f t="shared" ref="BF6:BF45" si="46">0.017*BE6/0.75</f>
        <v>1.8998139214675778E-2</v>
      </c>
      <c r="BG6" s="191">
        <f t="shared" ref="BG6:BG45" si="47">2+O6</f>
        <v>2.5</v>
      </c>
      <c r="BH6" s="22">
        <f t="shared" ref="BH6:BH45" si="48">-AY6</f>
        <v>27.363087531737214</v>
      </c>
      <c r="BI6" s="55">
        <f t="shared" si="3"/>
        <v>8</v>
      </c>
      <c r="BJ6" s="87">
        <f t="shared" ref="BJ6:BJ45" si="49">1+BG6/(0.7*(BI6-BG6))</f>
        <v>1.6493506493506493</v>
      </c>
      <c r="BK6" s="69">
        <f t="shared" ref="BK6:BK45" si="50">M6</f>
        <v>8</v>
      </c>
      <c r="BM6" s="66">
        <f t="shared" ref="BM6:BM45" si="51">BQ6*BP6*(BR6+2*BO6)/700</f>
        <v>0.86694817780959577</v>
      </c>
      <c r="BN6" s="129">
        <f t="shared" ref="BN6:BN45" si="52">0.017*BM6/0.75</f>
        <v>1.9650825363684173E-2</v>
      </c>
      <c r="BO6" s="43">
        <f t="shared" ref="BO6:BO45" si="53">1.5+O6/2</f>
        <v>1.75</v>
      </c>
      <c r="BP6" s="22">
        <f t="shared" ref="BP6:BP45" si="54">AZ6</f>
        <v>37.693399035199818</v>
      </c>
      <c r="BQ6" s="87">
        <f t="shared" ref="BQ6:BQ45" si="55">1+BO6/(0.7*(BI6-BO6))</f>
        <v>1.4</v>
      </c>
      <c r="BR6" s="131">
        <f t="shared" ref="BR6:BR45" si="56">BK6</f>
        <v>8</v>
      </c>
      <c r="BT6" s="2">
        <v>5.25</v>
      </c>
      <c r="BU6" s="55">
        <f t="shared" si="4"/>
        <v>10.75</v>
      </c>
      <c r="BV6" s="22">
        <f t="shared" si="5"/>
        <v>3.8972093023255816</v>
      </c>
      <c r="BW6" s="87">
        <f t="shared" si="6"/>
        <v>0.33074999999999999</v>
      </c>
      <c r="BX6" s="22">
        <f t="shared" si="7"/>
        <v>4.2279593023255817</v>
      </c>
      <c r="BY6" s="87">
        <f t="shared" si="8"/>
        <v>5.00075</v>
      </c>
      <c r="BZ6" s="83">
        <f t="shared" ref="BZ6:BZ13" si="57">BY6/BX6</f>
        <v>1.1827810161865433</v>
      </c>
    </row>
    <row r="7" spans="1:78" x14ac:dyDescent="0.2">
      <c r="A7" s="2">
        <v>5.5</v>
      </c>
      <c r="B7" s="221">
        <v>8</v>
      </c>
      <c r="C7" s="43">
        <f t="shared" si="9"/>
        <v>9.9999999999999992E-2</v>
      </c>
      <c r="D7" s="253">
        <f t="shared" si="10"/>
        <v>-0.30249999999999999</v>
      </c>
      <c r="E7" s="99">
        <f t="shared" si="11"/>
        <v>0.24199999999999999</v>
      </c>
      <c r="F7" s="253">
        <f t="shared" si="12"/>
        <v>-0.15125000000000002</v>
      </c>
      <c r="G7" s="108">
        <f t="shared" si="13"/>
        <v>0.121</v>
      </c>
      <c r="H7" s="253">
        <v>-3.11</v>
      </c>
      <c r="I7" s="99">
        <v>4.71</v>
      </c>
      <c r="J7" s="253">
        <f t="shared" si="14"/>
        <v>-3.5637499999999998</v>
      </c>
      <c r="K7" s="111">
        <f t="shared" si="14"/>
        <v>5.0730000000000004</v>
      </c>
      <c r="L7" s="297">
        <v>4</v>
      </c>
      <c r="M7" s="236">
        <v>7.5</v>
      </c>
      <c r="N7" s="297">
        <v>0.2</v>
      </c>
      <c r="O7" s="269">
        <v>0.5</v>
      </c>
      <c r="P7" s="43">
        <f t="shared" si="15"/>
        <v>0.32000000000000006</v>
      </c>
      <c r="Q7" s="195">
        <f t="shared" si="16"/>
        <v>5.25</v>
      </c>
      <c r="R7" s="197">
        <f t="shared" si="17"/>
        <v>5.75</v>
      </c>
      <c r="S7" s="253">
        <f t="shared" si="18"/>
        <v>-27.576636904761898</v>
      </c>
      <c r="T7" s="99">
        <f t="shared" si="19"/>
        <v>35.841847826086948</v>
      </c>
      <c r="U7" s="131">
        <v>2</v>
      </c>
      <c r="V7" s="69">
        <v>1.5</v>
      </c>
      <c r="W7" s="23">
        <f t="shared" si="20"/>
        <v>1.6</v>
      </c>
      <c r="X7" s="201">
        <f t="shared" si="21"/>
        <v>30</v>
      </c>
      <c r="Y7" s="24">
        <f t="shared" si="22"/>
        <v>22.5</v>
      </c>
      <c r="Z7" s="3">
        <v>130</v>
      </c>
      <c r="AA7" s="87">
        <f t="shared" si="23"/>
        <v>33.252092958316553</v>
      </c>
      <c r="AB7" s="63">
        <f t="shared" si="24"/>
        <v>40.274317039476536</v>
      </c>
      <c r="AC7" s="24">
        <f t="shared" si="25"/>
        <v>48</v>
      </c>
      <c r="AE7" s="2">
        <f t="shared" si="26"/>
        <v>5.5</v>
      </c>
      <c r="AF7" s="55">
        <f t="shared" si="0"/>
        <v>8</v>
      </c>
      <c r="AG7" s="169" t="str">
        <f t="shared" si="27"/>
        <v>#4 @ 7.5</v>
      </c>
      <c r="AH7" s="55">
        <v>8</v>
      </c>
      <c r="AI7" s="55">
        <f t="shared" si="28"/>
        <v>1800</v>
      </c>
      <c r="AJ7" s="47">
        <f t="shared" si="29"/>
        <v>48000</v>
      </c>
      <c r="AK7" s="43">
        <f t="shared" si="30"/>
        <v>0.23076923076923078</v>
      </c>
      <c r="AL7" s="155">
        <f t="shared" si="31"/>
        <v>0.92307692307692313</v>
      </c>
      <c r="AM7" s="253">
        <f t="shared" si="1"/>
        <v>-3.5637499999999998</v>
      </c>
      <c r="AN7" s="108">
        <f t="shared" si="1"/>
        <v>5.0730000000000004</v>
      </c>
      <c r="AO7" s="195">
        <f t="shared" si="32"/>
        <v>1.298457363526226</v>
      </c>
      <c r="AP7" s="253">
        <f t="shared" si="33"/>
        <v>0.42666666666666675</v>
      </c>
      <c r="AQ7" s="157">
        <f t="shared" si="34"/>
        <v>-2.2400000000000007</v>
      </c>
      <c r="AR7" s="111">
        <f t="shared" si="35"/>
        <v>0.42666666666666675</v>
      </c>
      <c r="AS7" s="111">
        <f t="shared" si="36"/>
        <v>-2.4533333333333336</v>
      </c>
      <c r="AT7" s="102">
        <f t="shared" si="37"/>
        <v>1.367440035763086</v>
      </c>
      <c r="AU7" s="253">
        <f t="shared" si="38"/>
        <v>-8.8775989683067102</v>
      </c>
      <c r="AV7" s="108">
        <f t="shared" si="39"/>
        <v>11.498650117564626</v>
      </c>
      <c r="AW7" s="62">
        <f t="shared" si="40"/>
        <v>-1.1395059010893998</v>
      </c>
      <c r="AX7" s="118">
        <f t="shared" si="41"/>
        <v>1.4014813345663966</v>
      </c>
      <c r="AY7" s="253">
        <f t="shared" si="42"/>
        <v>-27.742496775958458</v>
      </c>
      <c r="AZ7" s="108">
        <f t="shared" si="43"/>
        <v>35.933281617389454</v>
      </c>
      <c r="BA7" s="155"/>
      <c r="BB7" s="2">
        <f t="shared" si="2"/>
        <v>5.5</v>
      </c>
      <c r="BC7" s="165">
        <f t="shared" si="2"/>
        <v>8</v>
      </c>
      <c r="BD7" s="169" t="str">
        <f t="shared" si="44"/>
        <v>#4 @ 7.5</v>
      </c>
      <c r="BE7" s="66">
        <f t="shared" si="45"/>
        <v>0.81709116200063181</v>
      </c>
      <c r="BF7" s="129">
        <f t="shared" si="46"/>
        <v>1.8520733005347654E-2</v>
      </c>
      <c r="BG7" s="191">
        <f t="shared" si="47"/>
        <v>2.5</v>
      </c>
      <c r="BH7" s="22">
        <f t="shared" si="48"/>
        <v>27.742496775958458</v>
      </c>
      <c r="BI7" s="55">
        <f t="shared" si="3"/>
        <v>8</v>
      </c>
      <c r="BJ7" s="87">
        <f t="shared" si="49"/>
        <v>1.6493506493506493</v>
      </c>
      <c r="BK7" s="69">
        <f t="shared" si="50"/>
        <v>7.5</v>
      </c>
      <c r="BM7" s="66">
        <f t="shared" si="51"/>
        <v>0.79053219558256793</v>
      </c>
      <c r="BN7" s="129">
        <f t="shared" si="52"/>
        <v>1.7918729766538206E-2</v>
      </c>
      <c r="BO7" s="43">
        <f t="shared" si="53"/>
        <v>1.75</v>
      </c>
      <c r="BP7" s="22">
        <f t="shared" si="54"/>
        <v>35.933281617389454</v>
      </c>
      <c r="BQ7" s="87">
        <f t="shared" si="55"/>
        <v>1.4</v>
      </c>
      <c r="BR7" s="131">
        <f t="shared" si="56"/>
        <v>7.5</v>
      </c>
      <c r="BT7" s="2">
        <v>5.5</v>
      </c>
      <c r="BU7" s="55">
        <f t="shared" si="4"/>
        <v>11</v>
      </c>
      <c r="BV7" s="22">
        <f t="shared" si="5"/>
        <v>3.99</v>
      </c>
      <c r="BW7" s="87">
        <f t="shared" si="6"/>
        <v>0.36299999999999999</v>
      </c>
      <c r="BX7" s="22">
        <f t="shared" si="7"/>
        <v>4.3529999999999998</v>
      </c>
      <c r="BY7" s="87">
        <f t="shared" si="8"/>
        <v>5.0730000000000004</v>
      </c>
      <c r="BZ7" s="83">
        <f t="shared" si="57"/>
        <v>1.1654031702274295</v>
      </c>
    </row>
    <row r="8" spans="1:78" x14ac:dyDescent="0.2">
      <c r="A8" s="2">
        <v>5.75</v>
      </c>
      <c r="B8" s="222">
        <v>8</v>
      </c>
      <c r="C8" s="43">
        <f t="shared" si="9"/>
        <v>9.9999999999999992E-2</v>
      </c>
      <c r="D8" s="253">
        <f t="shared" si="10"/>
        <v>-0.330625</v>
      </c>
      <c r="E8" s="99">
        <f t="shared" si="11"/>
        <v>0.26450000000000001</v>
      </c>
      <c r="F8" s="253">
        <f t="shared" si="12"/>
        <v>-0.16531250000000003</v>
      </c>
      <c r="G8" s="108">
        <f t="shared" si="13"/>
        <v>0.13225000000000001</v>
      </c>
      <c r="H8" s="253">
        <v>-3.31</v>
      </c>
      <c r="I8" s="99">
        <v>4.7699999999999996</v>
      </c>
      <c r="J8" s="253">
        <f t="shared" si="14"/>
        <v>-3.8059375000000002</v>
      </c>
      <c r="K8" s="111">
        <f t="shared" si="14"/>
        <v>5.1667499999999995</v>
      </c>
      <c r="L8" s="298">
        <v>4</v>
      </c>
      <c r="M8" s="238">
        <v>7.5</v>
      </c>
      <c r="N8" s="298">
        <v>0.2</v>
      </c>
      <c r="O8" s="286">
        <v>0.5</v>
      </c>
      <c r="P8" s="44">
        <f t="shared" si="15"/>
        <v>0.32000000000000006</v>
      </c>
      <c r="Q8" s="257">
        <f t="shared" si="16"/>
        <v>5.25</v>
      </c>
      <c r="R8" s="254">
        <f t="shared" si="17"/>
        <v>5.75</v>
      </c>
      <c r="S8" s="61">
        <f t="shared" si="18"/>
        <v>-29.450706845238088</v>
      </c>
      <c r="T8" s="110">
        <f t="shared" si="19"/>
        <v>36.504211956521722</v>
      </c>
      <c r="U8" s="131">
        <v>2</v>
      </c>
      <c r="V8" s="69">
        <v>1.5</v>
      </c>
      <c r="W8" s="132">
        <f t="shared" si="20"/>
        <v>1.6</v>
      </c>
      <c r="X8" s="201">
        <f t="shared" si="21"/>
        <v>30</v>
      </c>
      <c r="Y8" s="24">
        <f t="shared" si="22"/>
        <v>22.5</v>
      </c>
      <c r="Z8" s="3">
        <v>130</v>
      </c>
      <c r="AA8" s="87">
        <f t="shared" si="23"/>
        <v>33.252092958316553</v>
      </c>
      <c r="AB8" s="63">
        <f t="shared" si="24"/>
        <v>40.274317039476536</v>
      </c>
      <c r="AC8" s="245">
        <f t="shared" si="25"/>
        <v>48</v>
      </c>
      <c r="AE8" s="57">
        <f t="shared" si="26"/>
        <v>5.75</v>
      </c>
      <c r="AF8" s="55">
        <f t="shared" si="0"/>
        <v>8</v>
      </c>
      <c r="AG8" s="175" t="str">
        <f t="shared" si="27"/>
        <v>#4 @ 7.5</v>
      </c>
      <c r="AH8" s="55">
        <v>8</v>
      </c>
      <c r="AI8" s="57">
        <f t="shared" si="28"/>
        <v>1800</v>
      </c>
      <c r="AJ8" s="49">
        <f t="shared" si="29"/>
        <v>48000</v>
      </c>
      <c r="AK8" s="43">
        <f t="shared" si="30"/>
        <v>0.23076923076923078</v>
      </c>
      <c r="AL8" s="155">
        <f t="shared" si="31"/>
        <v>0.92307692307692313</v>
      </c>
      <c r="AM8" s="253">
        <f t="shared" si="1"/>
        <v>-3.8059375000000002</v>
      </c>
      <c r="AN8" s="108">
        <f t="shared" si="1"/>
        <v>5.1667499999999995</v>
      </c>
      <c r="AO8" s="195">
        <f t="shared" si="32"/>
        <v>1.298457363526226</v>
      </c>
      <c r="AP8" s="253">
        <f t="shared" si="33"/>
        <v>0.42666666666666675</v>
      </c>
      <c r="AQ8" s="157">
        <f t="shared" si="34"/>
        <v>-2.2400000000000007</v>
      </c>
      <c r="AR8" s="111">
        <f t="shared" si="35"/>
        <v>0.42666666666666675</v>
      </c>
      <c r="AS8" s="111">
        <f t="shared" si="36"/>
        <v>-2.4533333333333336</v>
      </c>
      <c r="AT8" s="102">
        <f t="shared" si="37"/>
        <v>1.367440035763086</v>
      </c>
      <c r="AU8" s="253">
        <f t="shared" si="38"/>
        <v>-9.4809082633293063</v>
      </c>
      <c r="AV8" s="108">
        <f t="shared" si="39"/>
        <v>11.711147347708854</v>
      </c>
      <c r="AW8" s="62">
        <f t="shared" si="40"/>
        <v>-1.2169451393693262</v>
      </c>
      <c r="AX8" s="118">
        <f t="shared" si="41"/>
        <v>1.4273809748414998</v>
      </c>
      <c r="AY8" s="253">
        <f t="shared" si="42"/>
        <v>-29.627838322904065</v>
      </c>
      <c r="AZ8" s="108">
        <f t="shared" si="43"/>
        <v>36.59733546159017</v>
      </c>
      <c r="BA8" s="155"/>
      <c r="BB8" s="2">
        <f t="shared" si="2"/>
        <v>5.75</v>
      </c>
      <c r="BC8" s="165">
        <f t="shared" si="2"/>
        <v>8</v>
      </c>
      <c r="BD8" s="175" t="str">
        <f t="shared" si="44"/>
        <v>#4 @ 7.5</v>
      </c>
      <c r="BE8" s="66">
        <f t="shared" si="45"/>
        <v>0.87261954244174778</v>
      </c>
      <c r="BF8" s="235">
        <f t="shared" si="46"/>
        <v>1.9779376295346283E-2</v>
      </c>
      <c r="BG8" s="234">
        <f t="shared" si="47"/>
        <v>2.5</v>
      </c>
      <c r="BH8" s="25">
        <f t="shared" si="48"/>
        <v>29.627838322904065</v>
      </c>
      <c r="BI8" s="57">
        <f t="shared" si="3"/>
        <v>8</v>
      </c>
      <c r="BJ8" s="89">
        <f t="shared" si="49"/>
        <v>1.6493506493506493</v>
      </c>
      <c r="BK8" s="132">
        <f t="shared" si="50"/>
        <v>7.5</v>
      </c>
      <c r="BM8" s="66">
        <f t="shared" si="51"/>
        <v>0.8051413801549836</v>
      </c>
      <c r="BN8" s="235">
        <f t="shared" si="52"/>
        <v>1.8249871283512964E-2</v>
      </c>
      <c r="BO8" s="44">
        <f t="shared" si="53"/>
        <v>1.75</v>
      </c>
      <c r="BP8" s="22">
        <f t="shared" si="54"/>
        <v>36.59733546159017</v>
      </c>
      <c r="BQ8" s="87">
        <f t="shared" si="55"/>
        <v>1.4</v>
      </c>
      <c r="BR8" s="132">
        <f t="shared" si="56"/>
        <v>7.5</v>
      </c>
      <c r="BT8" s="2">
        <v>5.75</v>
      </c>
      <c r="BU8" s="55">
        <f t="shared" si="4"/>
        <v>11.25</v>
      </c>
      <c r="BV8" s="22">
        <f t="shared" si="5"/>
        <v>4.0786666666666669</v>
      </c>
      <c r="BW8" s="87">
        <f t="shared" si="6"/>
        <v>0.39675000000000005</v>
      </c>
      <c r="BX8" s="22">
        <f t="shared" si="7"/>
        <v>4.4754166666666668</v>
      </c>
      <c r="BY8" s="87">
        <f t="shared" si="8"/>
        <v>5.1667499999999995</v>
      </c>
      <c r="BZ8" s="83">
        <f t="shared" si="57"/>
        <v>1.1544735127083139</v>
      </c>
    </row>
    <row r="9" spans="1:78" x14ac:dyDescent="0.2">
      <c r="A9" s="17">
        <v>6</v>
      </c>
      <c r="B9" s="221">
        <v>8</v>
      </c>
      <c r="C9" s="42">
        <f t="shared" si="9"/>
        <v>9.9999999999999992E-2</v>
      </c>
      <c r="D9" s="255">
        <f t="shared" si="10"/>
        <v>-0.36</v>
      </c>
      <c r="E9" s="100">
        <f t="shared" si="11"/>
        <v>0.28800000000000003</v>
      </c>
      <c r="F9" s="255">
        <f t="shared" si="12"/>
        <v>-0.18000000000000005</v>
      </c>
      <c r="G9" s="109">
        <f t="shared" si="13"/>
        <v>0.14400000000000002</v>
      </c>
      <c r="H9" s="255">
        <v>-3.5</v>
      </c>
      <c r="I9" s="100">
        <v>4.83</v>
      </c>
      <c r="J9" s="255">
        <f t="shared" si="14"/>
        <v>-4.04</v>
      </c>
      <c r="K9" s="112">
        <f t="shared" si="14"/>
        <v>5.2620000000000005</v>
      </c>
      <c r="L9" s="297">
        <v>4</v>
      </c>
      <c r="M9" s="236">
        <v>7</v>
      </c>
      <c r="N9" s="297">
        <v>0.2</v>
      </c>
      <c r="O9" s="269">
        <v>0.5</v>
      </c>
      <c r="P9" s="43">
        <f t="shared" si="15"/>
        <v>0.34285714285714292</v>
      </c>
      <c r="Q9" s="195">
        <f t="shared" si="16"/>
        <v>5.25</v>
      </c>
      <c r="R9" s="197">
        <f t="shared" si="17"/>
        <v>5.75</v>
      </c>
      <c r="S9" s="253">
        <f t="shared" si="18"/>
        <v>-29.17777777777777</v>
      </c>
      <c r="T9" s="99">
        <f t="shared" si="19"/>
        <v>34.698695652173903</v>
      </c>
      <c r="U9" s="130">
        <v>2</v>
      </c>
      <c r="V9" s="71">
        <v>1.5</v>
      </c>
      <c r="W9" s="23">
        <f t="shared" si="20"/>
        <v>1.7142857142857142</v>
      </c>
      <c r="X9" s="244">
        <f t="shared" si="21"/>
        <v>28</v>
      </c>
      <c r="Y9" s="28">
        <f t="shared" si="22"/>
        <v>21</v>
      </c>
      <c r="Z9" s="18">
        <v>130</v>
      </c>
      <c r="AA9" s="88">
        <f t="shared" si="23"/>
        <v>34.02489074260842</v>
      </c>
      <c r="AB9" s="65">
        <f t="shared" si="24"/>
        <v>41.210315354259073</v>
      </c>
      <c r="AC9" s="24">
        <f t="shared" si="25"/>
        <v>48</v>
      </c>
      <c r="AE9" s="2">
        <f t="shared" si="26"/>
        <v>6</v>
      </c>
      <c r="AF9" s="56">
        <f t="shared" si="0"/>
        <v>8</v>
      </c>
      <c r="AG9" s="169" t="str">
        <f t="shared" si="27"/>
        <v>#4 @ 7</v>
      </c>
      <c r="AH9" s="56">
        <v>8</v>
      </c>
      <c r="AI9" s="55">
        <f t="shared" si="28"/>
        <v>1800</v>
      </c>
      <c r="AJ9" s="47">
        <f t="shared" si="29"/>
        <v>48000</v>
      </c>
      <c r="AK9" s="42">
        <f t="shared" si="30"/>
        <v>0.23076923076923078</v>
      </c>
      <c r="AL9" s="19">
        <f t="shared" si="31"/>
        <v>0.92307692307692313</v>
      </c>
      <c r="AM9" s="255">
        <f t="shared" si="1"/>
        <v>-4.04</v>
      </c>
      <c r="AN9" s="109">
        <f t="shared" si="1"/>
        <v>5.2620000000000005</v>
      </c>
      <c r="AO9" s="256">
        <f t="shared" si="32"/>
        <v>1.3373930978336825</v>
      </c>
      <c r="AP9" s="255">
        <f t="shared" si="33"/>
        <v>0.45714285714285724</v>
      </c>
      <c r="AQ9" s="160">
        <f t="shared" si="34"/>
        <v>-2.4000000000000004</v>
      </c>
      <c r="AR9" s="112">
        <f t="shared" si="35"/>
        <v>0.45714285714285724</v>
      </c>
      <c r="AS9" s="112">
        <f t="shared" si="36"/>
        <v>-2.628571428571429</v>
      </c>
      <c r="AT9" s="103">
        <f t="shared" si="37"/>
        <v>1.4087484322165034</v>
      </c>
      <c r="AU9" s="255">
        <f t="shared" si="38"/>
        <v>-10.091165393412579</v>
      </c>
      <c r="AV9" s="109">
        <f t="shared" si="39"/>
        <v>11.958146058689559</v>
      </c>
      <c r="AW9" s="20">
        <f t="shared" si="40"/>
        <v>-1.2575666059787396</v>
      </c>
      <c r="AX9" s="106">
        <f t="shared" si="41"/>
        <v>1.4147482244073433</v>
      </c>
      <c r="AY9" s="255">
        <f t="shared" si="42"/>
        <v>-29.432565730786688</v>
      </c>
      <c r="AZ9" s="109">
        <f t="shared" si="43"/>
        <v>34.87792600451121</v>
      </c>
      <c r="BA9" s="155"/>
      <c r="BB9" s="56">
        <f t="shared" si="2"/>
        <v>6</v>
      </c>
      <c r="BC9" s="119">
        <f t="shared" si="2"/>
        <v>8</v>
      </c>
      <c r="BD9" s="169" t="str">
        <f t="shared" si="44"/>
        <v>#4 @ 7</v>
      </c>
      <c r="BE9" s="88">
        <f t="shared" si="45"/>
        <v>0.83219350971649186</v>
      </c>
      <c r="BF9" s="129">
        <f t="shared" si="46"/>
        <v>1.886305288690715E-2</v>
      </c>
      <c r="BG9" s="191">
        <f t="shared" si="47"/>
        <v>2.5</v>
      </c>
      <c r="BH9" s="27">
        <f t="shared" si="48"/>
        <v>29.432565730786688</v>
      </c>
      <c r="BI9" s="56">
        <f t="shared" si="3"/>
        <v>8</v>
      </c>
      <c r="BJ9" s="88">
        <f t="shared" si="49"/>
        <v>1.6493506493506493</v>
      </c>
      <c r="BK9" s="69">
        <f t="shared" si="50"/>
        <v>7</v>
      </c>
      <c r="BM9" s="88">
        <f t="shared" si="51"/>
        <v>0.73243644609473535</v>
      </c>
      <c r="BN9" s="129">
        <f t="shared" si="52"/>
        <v>1.6601892778147335E-2</v>
      </c>
      <c r="BO9" s="43">
        <f t="shared" si="53"/>
        <v>1.75</v>
      </c>
      <c r="BP9" s="27">
        <f t="shared" si="54"/>
        <v>34.87792600451121</v>
      </c>
      <c r="BQ9" s="88">
        <f t="shared" si="55"/>
        <v>1.4</v>
      </c>
      <c r="BR9" s="130">
        <f t="shared" si="56"/>
        <v>7</v>
      </c>
      <c r="BT9" s="17">
        <v>6</v>
      </c>
      <c r="BU9" s="56">
        <f t="shared" si="4"/>
        <v>11.5</v>
      </c>
      <c r="BV9" s="27">
        <f t="shared" si="5"/>
        <v>4.1634782608695655</v>
      </c>
      <c r="BW9" s="88">
        <f t="shared" si="6"/>
        <v>0.43200000000000005</v>
      </c>
      <c r="BX9" s="27">
        <f t="shared" si="7"/>
        <v>4.5954782608695659</v>
      </c>
      <c r="BY9" s="88">
        <f t="shared" si="8"/>
        <v>5.2620000000000005</v>
      </c>
      <c r="BZ9" s="85">
        <f t="shared" si="57"/>
        <v>1.1450386012715712</v>
      </c>
    </row>
    <row r="10" spans="1:78" x14ac:dyDescent="0.2">
      <c r="A10" s="2">
        <v>6.25</v>
      </c>
      <c r="B10" s="221">
        <v>8</v>
      </c>
      <c r="C10" s="43">
        <f t="shared" si="9"/>
        <v>9.9999999999999992E-2</v>
      </c>
      <c r="D10" s="253">
        <f t="shared" si="10"/>
        <v>-0.390625</v>
      </c>
      <c r="E10" s="99">
        <f t="shared" si="11"/>
        <v>0.3125</v>
      </c>
      <c r="F10" s="253">
        <f t="shared" si="12"/>
        <v>-0.19531250000000003</v>
      </c>
      <c r="G10" s="108">
        <f t="shared" si="13"/>
        <v>0.15625</v>
      </c>
      <c r="H10" s="253">
        <v>-3.68</v>
      </c>
      <c r="I10" s="99">
        <v>4.91</v>
      </c>
      <c r="J10" s="253">
        <f t="shared" si="14"/>
        <v>-4.2659374999999997</v>
      </c>
      <c r="K10" s="111">
        <f t="shared" si="14"/>
        <v>5.3787500000000001</v>
      </c>
      <c r="L10" s="297">
        <v>4</v>
      </c>
      <c r="M10" s="236">
        <v>7</v>
      </c>
      <c r="N10" s="297">
        <v>0.2</v>
      </c>
      <c r="O10" s="269">
        <v>0.5</v>
      </c>
      <c r="P10" s="43">
        <f t="shared" si="15"/>
        <v>0.34285714285714292</v>
      </c>
      <c r="Q10" s="195">
        <f t="shared" si="16"/>
        <v>5.25</v>
      </c>
      <c r="R10" s="197">
        <f t="shared" si="17"/>
        <v>5.75</v>
      </c>
      <c r="S10" s="253">
        <f t="shared" si="18"/>
        <v>-30.809548611111101</v>
      </c>
      <c r="T10" s="99">
        <f t="shared" si="19"/>
        <v>35.468568840579699</v>
      </c>
      <c r="U10" s="131">
        <v>2</v>
      </c>
      <c r="V10" s="69">
        <v>1.5</v>
      </c>
      <c r="W10" s="23">
        <f t="shared" si="20"/>
        <v>1.7142857142857142</v>
      </c>
      <c r="X10" s="201">
        <f t="shared" si="21"/>
        <v>28</v>
      </c>
      <c r="Y10" s="24">
        <f t="shared" si="22"/>
        <v>21</v>
      </c>
      <c r="Z10" s="3">
        <v>130</v>
      </c>
      <c r="AA10" s="87">
        <f t="shared" si="23"/>
        <v>34.02489074260842</v>
      </c>
      <c r="AB10" s="63">
        <f t="shared" si="24"/>
        <v>41.210315354259073</v>
      </c>
      <c r="AC10" s="24">
        <f t="shared" si="25"/>
        <v>48</v>
      </c>
      <c r="AE10" s="2">
        <f t="shared" si="26"/>
        <v>6.25</v>
      </c>
      <c r="AF10" s="55">
        <f t="shared" si="0"/>
        <v>8</v>
      </c>
      <c r="AG10" s="169" t="str">
        <f t="shared" si="27"/>
        <v>#4 @ 7</v>
      </c>
      <c r="AH10" s="55">
        <v>8</v>
      </c>
      <c r="AI10" s="55">
        <f t="shared" si="28"/>
        <v>1800</v>
      </c>
      <c r="AJ10" s="47">
        <f t="shared" si="29"/>
        <v>48000</v>
      </c>
      <c r="AK10" s="43">
        <f t="shared" si="30"/>
        <v>0.23076923076923078</v>
      </c>
      <c r="AL10" s="4">
        <f t="shared" si="31"/>
        <v>0.92307692307692313</v>
      </c>
      <c r="AM10" s="253">
        <f t="shared" si="1"/>
        <v>-4.2659374999999997</v>
      </c>
      <c r="AN10" s="108">
        <f t="shared" si="1"/>
        <v>5.3787500000000001</v>
      </c>
      <c r="AO10" s="195">
        <f t="shared" si="32"/>
        <v>1.3373930978336825</v>
      </c>
      <c r="AP10" s="253">
        <f t="shared" si="33"/>
        <v>0.45714285714285724</v>
      </c>
      <c r="AQ10" s="157">
        <f t="shared" si="34"/>
        <v>-2.4000000000000004</v>
      </c>
      <c r="AR10" s="111">
        <f t="shared" si="35"/>
        <v>0.45714285714285724</v>
      </c>
      <c r="AS10" s="111">
        <f t="shared" si="36"/>
        <v>-2.628571428571429</v>
      </c>
      <c r="AT10" s="102">
        <f t="shared" si="37"/>
        <v>1.4087484322165034</v>
      </c>
      <c r="AU10" s="253">
        <f t="shared" si="38"/>
        <v>-10.655515066945783</v>
      </c>
      <c r="AV10" s="108">
        <f t="shared" si="39"/>
        <v>12.223466004024413</v>
      </c>
      <c r="AW10" s="5">
        <f t="shared" si="40"/>
        <v>-1.3278961740575319</v>
      </c>
      <c r="AX10" s="105">
        <f t="shared" si="41"/>
        <v>1.446137782598061</v>
      </c>
      <c r="AY10" s="253">
        <f t="shared" si="42"/>
        <v>-31.078585611925202</v>
      </c>
      <c r="AZ10" s="108">
        <f t="shared" si="43"/>
        <v>35.651775845071192</v>
      </c>
      <c r="BA10" s="155"/>
      <c r="BB10" s="55">
        <f t="shared" si="2"/>
        <v>6.25</v>
      </c>
      <c r="BC10" s="162">
        <f t="shared" si="2"/>
        <v>8</v>
      </c>
      <c r="BD10" s="169" t="str">
        <f t="shared" si="44"/>
        <v>#4 @ 7</v>
      </c>
      <c r="BE10" s="87">
        <f t="shared" si="45"/>
        <v>0.87873403474163281</v>
      </c>
      <c r="BF10" s="129">
        <f t="shared" si="46"/>
        <v>1.9917971454143677E-2</v>
      </c>
      <c r="BG10" s="191">
        <f t="shared" si="47"/>
        <v>2.5</v>
      </c>
      <c r="BH10" s="22">
        <f t="shared" si="48"/>
        <v>31.078585611925202</v>
      </c>
      <c r="BI10" s="55">
        <f t="shared" si="3"/>
        <v>8</v>
      </c>
      <c r="BJ10" s="87">
        <f t="shared" si="49"/>
        <v>1.6493506493506493</v>
      </c>
      <c r="BK10" s="69">
        <f t="shared" si="50"/>
        <v>7</v>
      </c>
      <c r="BM10" s="87">
        <f t="shared" si="51"/>
        <v>0.74868729274649504</v>
      </c>
      <c r="BN10" s="129">
        <f t="shared" si="52"/>
        <v>1.6970245302253887E-2</v>
      </c>
      <c r="BO10" s="43">
        <f t="shared" si="53"/>
        <v>1.75</v>
      </c>
      <c r="BP10" s="22">
        <f t="shared" si="54"/>
        <v>35.651775845071192</v>
      </c>
      <c r="BQ10" s="87">
        <f t="shared" si="55"/>
        <v>1.4</v>
      </c>
      <c r="BR10" s="131">
        <f t="shared" si="56"/>
        <v>7</v>
      </c>
      <c r="BT10" s="2">
        <v>6.25</v>
      </c>
      <c r="BU10" s="55">
        <f t="shared" si="4"/>
        <v>11.75</v>
      </c>
      <c r="BV10" s="22">
        <f t="shared" si="5"/>
        <v>4.2446808510638299</v>
      </c>
      <c r="BW10" s="87">
        <f t="shared" si="6"/>
        <v>0.46875</v>
      </c>
      <c r="BX10" s="22">
        <f t="shared" si="7"/>
        <v>4.7134308510638299</v>
      </c>
      <c r="BY10" s="87">
        <f t="shared" si="8"/>
        <v>5.3787500000000001</v>
      </c>
      <c r="BZ10" s="83">
        <f t="shared" si="57"/>
        <v>1.1411539004090845</v>
      </c>
    </row>
    <row r="11" spans="1:78" x14ac:dyDescent="0.2">
      <c r="A11" s="2">
        <v>6.5</v>
      </c>
      <c r="B11" s="221">
        <v>8</v>
      </c>
      <c r="C11" s="43">
        <f t="shared" si="9"/>
        <v>9.9999999999999992E-2</v>
      </c>
      <c r="D11" s="253">
        <f t="shared" si="10"/>
        <v>-0.42249999999999999</v>
      </c>
      <c r="E11" s="99">
        <f t="shared" si="11"/>
        <v>0.33800000000000002</v>
      </c>
      <c r="F11" s="253">
        <f t="shared" si="12"/>
        <v>-0.21125000000000005</v>
      </c>
      <c r="G11" s="108">
        <f t="shared" si="13"/>
        <v>0.16900000000000001</v>
      </c>
      <c r="H11" s="253">
        <v>-3.84</v>
      </c>
      <c r="I11" s="99">
        <v>5</v>
      </c>
      <c r="J11" s="253">
        <f t="shared" si="14"/>
        <v>-4.4737499999999999</v>
      </c>
      <c r="K11" s="111">
        <f t="shared" si="14"/>
        <v>5.5069999999999997</v>
      </c>
      <c r="L11" s="297">
        <v>4</v>
      </c>
      <c r="M11" s="236">
        <v>6.5</v>
      </c>
      <c r="N11" s="297">
        <v>0.2</v>
      </c>
      <c r="O11" s="269">
        <v>0.5</v>
      </c>
      <c r="P11" s="43">
        <f t="shared" si="15"/>
        <v>0.36923076923076931</v>
      </c>
      <c r="Q11" s="195">
        <f t="shared" si="16"/>
        <v>5.25</v>
      </c>
      <c r="R11" s="197">
        <f t="shared" si="17"/>
        <v>5.75</v>
      </c>
      <c r="S11" s="253">
        <f t="shared" si="18"/>
        <v>-30.002529761904754</v>
      </c>
      <c r="T11" s="99">
        <f t="shared" si="19"/>
        <v>33.720398550724632</v>
      </c>
      <c r="U11" s="131">
        <v>2</v>
      </c>
      <c r="V11" s="69">
        <v>1.5</v>
      </c>
      <c r="W11" s="23">
        <f t="shared" si="20"/>
        <v>1.8461538461538463</v>
      </c>
      <c r="X11" s="201">
        <f t="shared" si="21"/>
        <v>26</v>
      </c>
      <c r="Y11" s="24">
        <f t="shared" si="22"/>
        <v>19.5</v>
      </c>
      <c r="Z11" s="3">
        <v>130</v>
      </c>
      <c r="AA11" s="87">
        <f t="shared" si="23"/>
        <v>34.875001814422049</v>
      </c>
      <c r="AB11" s="63">
        <f t="shared" si="24"/>
        <v>42.239954086110011</v>
      </c>
      <c r="AC11" s="24">
        <f t="shared" si="25"/>
        <v>48</v>
      </c>
      <c r="AE11" s="2">
        <f t="shared" si="26"/>
        <v>6.5</v>
      </c>
      <c r="AF11" s="55">
        <f t="shared" si="0"/>
        <v>8</v>
      </c>
      <c r="AG11" s="169" t="str">
        <f t="shared" si="27"/>
        <v>#4 @ 6.5</v>
      </c>
      <c r="AH11" s="55">
        <v>8</v>
      </c>
      <c r="AI11" s="55">
        <f t="shared" si="28"/>
        <v>1800</v>
      </c>
      <c r="AJ11" s="47">
        <f t="shared" si="29"/>
        <v>48000</v>
      </c>
      <c r="AK11" s="43">
        <f t="shared" si="30"/>
        <v>0.23076923076923078</v>
      </c>
      <c r="AL11" s="4">
        <f t="shared" si="31"/>
        <v>0.92307692307692313</v>
      </c>
      <c r="AM11" s="253">
        <f t="shared" si="1"/>
        <v>-4.4737499999999999</v>
      </c>
      <c r="AN11" s="108">
        <f t="shared" si="1"/>
        <v>5.5069999999999997</v>
      </c>
      <c r="AO11" s="195">
        <f t="shared" si="32"/>
        <v>1.3802554198649246</v>
      </c>
      <c r="AP11" s="253">
        <f t="shared" si="33"/>
        <v>0.49230769230769239</v>
      </c>
      <c r="AQ11" s="157">
        <f t="shared" si="34"/>
        <v>-2.5846153846153852</v>
      </c>
      <c r="AR11" s="111">
        <f t="shared" si="35"/>
        <v>0.49230769230769239</v>
      </c>
      <c r="AS11" s="111">
        <f t="shared" si="36"/>
        <v>-2.8307692307692314</v>
      </c>
      <c r="AT11" s="102">
        <f t="shared" si="37"/>
        <v>1.4542463851874585</v>
      </c>
      <c r="AU11" s="253">
        <f t="shared" si="38"/>
        <v>-11.207923641359956</v>
      </c>
      <c r="AV11" s="108">
        <f t="shared" si="39"/>
        <v>12.55096811677844</v>
      </c>
      <c r="AW11" s="5">
        <f t="shared" si="40"/>
        <v>-1.3533634765533462</v>
      </c>
      <c r="AX11" s="105">
        <f t="shared" si="41"/>
        <v>1.4384275187271156</v>
      </c>
      <c r="AY11" s="253">
        <f t="shared" si="42"/>
        <v>-30.354793195349878</v>
      </c>
      <c r="AZ11" s="108">
        <f t="shared" si="43"/>
        <v>33.992205316274941</v>
      </c>
      <c r="BA11" s="155"/>
      <c r="BB11" s="55">
        <f t="shared" si="2"/>
        <v>6.5</v>
      </c>
      <c r="BC11" s="162">
        <f t="shared" si="2"/>
        <v>8</v>
      </c>
      <c r="BD11" s="169" t="str">
        <f t="shared" si="44"/>
        <v>#4 @ 6.5</v>
      </c>
      <c r="BE11" s="87">
        <f t="shared" si="45"/>
        <v>0.82250789354004628</v>
      </c>
      <c r="BF11" s="129">
        <f t="shared" si="46"/>
        <v>1.8643512253574385E-2</v>
      </c>
      <c r="BG11" s="191">
        <f t="shared" si="47"/>
        <v>2.5</v>
      </c>
      <c r="BH11" s="22">
        <f t="shared" si="48"/>
        <v>30.354793195349878</v>
      </c>
      <c r="BI11" s="55">
        <f t="shared" si="3"/>
        <v>8</v>
      </c>
      <c r="BJ11" s="87">
        <f t="shared" si="49"/>
        <v>1.6493506493506493</v>
      </c>
      <c r="BK11" s="69">
        <f t="shared" si="50"/>
        <v>6.5</v>
      </c>
      <c r="BM11" s="87">
        <f t="shared" si="51"/>
        <v>0.67984410632549874</v>
      </c>
      <c r="BN11" s="129">
        <f t="shared" si="52"/>
        <v>1.5409799743377972E-2</v>
      </c>
      <c r="BO11" s="43">
        <f t="shared" si="53"/>
        <v>1.75</v>
      </c>
      <c r="BP11" s="22">
        <f t="shared" si="54"/>
        <v>33.992205316274941</v>
      </c>
      <c r="BQ11" s="87">
        <f t="shared" si="55"/>
        <v>1.4</v>
      </c>
      <c r="BR11" s="131">
        <f t="shared" si="56"/>
        <v>6.5</v>
      </c>
      <c r="BT11" s="2">
        <v>6.5</v>
      </c>
      <c r="BU11" s="55">
        <f t="shared" si="4"/>
        <v>12</v>
      </c>
      <c r="BV11" s="22">
        <f t="shared" si="5"/>
        <v>4.3225000000000007</v>
      </c>
      <c r="BW11" s="87">
        <f t="shared" si="6"/>
        <v>0.50700000000000001</v>
      </c>
      <c r="BX11" s="22">
        <f t="shared" si="7"/>
        <v>4.8295000000000003</v>
      </c>
      <c r="BY11" s="87">
        <f t="shared" si="8"/>
        <v>5.5069999999999997</v>
      </c>
      <c r="BZ11" s="83">
        <f t="shared" si="57"/>
        <v>1.1402836732581012</v>
      </c>
    </row>
    <row r="12" spans="1:78" x14ac:dyDescent="0.2">
      <c r="A12" s="8">
        <v>6.75</v>
      </c>
      <c r="B12" s="222">
        <v>8</v>
      </c>
      <c r="C12" s="44">
        <f t="shared" si="9"/>
        <v>9.9999999999999992E-2</v>
      </c>
      <c r="D12" s="61">
        <f t="shared" si="10"/>
        <v>-0.455625</v>
      </c>
      <c r="E12" s="101">
        <f t="shared" si="11"/>
        <v>0.36449999999999999</v>
      </c>
      <c r="F12" s="61">
        <f t="shared" si="12"/>
        <v>-0.22781250000000006</v>
      </c>
      <c r="G12" s="110">
        <f t="shared" si="13"/>
        <v>0.18225</v>
      </c>
      <c r="H12" s="61">
        <v>-3.99</v>
      </c>
      <c r="I12" s="101">
        <v>5.0999999999999996</v>
      </c>
      <c r="J12" s="61">
        <f t="shared" si="14"/>
        <v>-4.6734375000000004</v>
      </c>
      <c r="K12" s="113">
        <f t="shared" si="14"/>
        <v>5.6467499999999999</v>
      </c>
      <c r="L12" s="298">
        <v>4</v>
      </c>
      <c r="M12" s="238">
        <v>6.5</v>
      </c>
      <c r="N12" s="298">
        <v>0.2</v>
      </c>
      <c r="O12" s="286">
        <v>0.5</v>
      </c>
      <c r="P12" s="44">
        <f t="shared" si="15"/>
        <v>0.36923076923076931</v>
      </c>
      <c r="Q12" s="257">
        <f t="shared" si="16"/>
        <v>5.25</v>
      </c>
      <c r="R12" s="254">
        <f t="shared" si="17"/>
        <v>5.75</v>
      </c>
      <c r="S12" s="61">
        <f t="shared" si="18"/>
        <v>-31.34170386904761</v>
      </c>
      <c r="T12" s="110">
        <f t="shared" si="19"/>
        <v>34.576114130434767</v>
      </c>
      <c r="U12" s="132">
        <v>2</v>
      </c>
      <c r="V12" s="73">
        <v>1.5</v>
      </c>
      <c r="W12" s="132">
        <f t="shared" si="20"/>
        <v>1.8461538461538463</v>
      </c>
      <c r="X12" s="245">
        <f t="shared" si="21"/>
        <v>26</v>
      </c>
      <c r="Y12" s="26">
        <f t="shared" si="22"/>
        <v>19.5</v>
      </c>
      <c r="Z12" s="9">
        <v>130</v>
      </c>
      <c r="AA12" s="89">
        <f t="shared" si="23"/>
        <v>34.875001814422049</v>
      </c>
      <c r="AB12" s="64">
        <f t="shared" si="24"/>
        <v>42.239954086110011</v>
      </c>
      <c r="AC12" s="245">
        <f t="shared" si="25"/>
        <v>48</v>
      </c>
      <c r="AE12" s="57">
        <f t="shared" si="26"/>
        <v>6.75</v>
      </c>
      <c r="AF12" s="57">
        <f t="shared" si="0"/>
        <v>8</v>
      </c>
      <c r="AG12" s="175" t="str">
        <f t="shared" si="27"/>
        <v>#4 @ 6.5</v>
      </c>
      <c r="AH12" s="57">
        <v>8</v>
      </c>
      <c r="AI12" s="57">
        <f t="shared" si="28"/>
        <v>1800</v>
      </c>
      <c r="AJ12" s="49">
        <f t="shared" si="29"/>
        <v>48000</v>
      </c>
      <c r="AK12" s="44">
        <f t="shared" si="30"/>
        <v>0.23076923076923078</v>
      </c>
      <c r="AL12" s="10">
        <f t="shared" si="31"/>
        <v>0.92307692307692313</v>
      </c>
      <c r="AM12" s="61">
        <f t="shared" si="1"/>
        <v>-4.6734375000000004</v>
      </c>
      <c r="AN12" s="110">
        <f t="shared" si="1"/>
        <v>5.6467499999999999</v>
      </c>
      <c r="AO12" s="257">
        <f t="shared" si="32"/>
        <v>1.3802554198649246</v>
      </c>
      <c r="AP12" s="61">
        <f t="shared" si="33"/>
        <v>0.49230769230769239</v>
      </c>
      <c r="AQ12" s="158">
        <f t="shared" si="34"/>
        <v>-2.5846153846153852</v>
      </c>
      <c r="AR12" s="113">
        <f t="shared" si="35"/>
        <v>0.49230769230769239</v>
      </c>
      <c r="AS12" s="113">
        <f t="shared" si="36"/>
        <v>-2.8307692307692314</v>
      </c>
      <c r="AT12" s="104">
        <f t="shared" si="37"/>
        <v>1.4542463851874585</v>
      </c>
      <c r="AU12" s="61">
        <f t="shared" si="38"/>
        <v>-11.708193493750919</v>
      </c>
      <c r="AV12" s="110">
        <f t="shared" si="39"/>
        <v>12.869471438790384</v>
      </c>
      <c r="AW12" s="11">
        <f t="shared" si="40"/>
        <v>-1.4137713601463602</v>
      </c>
      <c r="AX12" s="107">
        <f t="shared" si="41"/>
        <v>1.4749301963632357</v>
      </c>
      <c r="AY12" s="61">
        <f t="shared" si="42"/>
        <v>-31.709690712242061</v>
      </c>
      <c r="AZ12" s="110">
        <f t="shared" si="43"/>
        <v>34.854818480057283</v>
      </c>
      <c r="BA12" s="155"/>
      <c r="BB12" s="57">
        <f t="shared" si="2"/>
        <v>6.75</v>
      </c>
      <c r="BC12" s="120">
        <f t="shared" si="2"/>
        <v>8</v>
      </c>
      <c r="BD12" s="175" t="str">
        <f t="shared" si="44"/>
        <v>#4 @ 6.5</v>
      </c>
      <c r="BE12" s="89">
        <f t="shared" si="45"/>
        <v>0.85922084017123435</v>
      </c>
      <c r="BF12" s="235">
        <f t="shared" si="46"/>
        <v>1.9475672377214644E-2</v>
      </c>
      <c r="BG12" s="234">
        <f t="shared" si="47"/>
        <v>2.5</v>
      </c>
      <c r="BH12" s="22">
        <f t="shared" si="48"/>
        <v>31.709690712242061</v>
      </c>
      <c r="BI12" s="55">
        <f t="shared" si="3"/>
        <v>8</v>
      </c>
      <c r="BJ12" s="87">
        <f t="shared" si="49"/>
        <v>1.6493506493506493</v>
      </c>
      <c r="BK12" s="132">
        <f t="shared" si="50"/>
        <v>6.5</v>
      </c>
      <c r="BM12" s="89">
        <f t="shared" si="51"/>
        <v>0.69709636960114563</v>
      </c>
      <c r="BN12" s="235">
        <f t="shared" si="52"/>
        <v>1.5800851044292633E-2</v>
      </c>
      <c r="BO12" s="44">
        <f t="shared" si="53"/>
        <v>1.75</v>
      </c>
      <c r="BP12" s="25">
        <f t="shared" si="54"/>
        <v>34.854818480057283</v>
      </c>
      <c r="BQ12" s="89">
        <f t="shared" si="55"/>
        <v>1.4</v>
      </c>
      <c r="BR12" s="132">
        <f t="shared" si="56"/>
        <v>6.5</v>
      </c>
      <c r="BT12" s="2">
        <v>6.75</v>
      </c>
      <c r="BU12" s="55">
        <f t="shared" si="4"/>
        <v>12.25</v>
      </c>
      <c r="BV12" s="22">
        <f t="shared" si="5"/>
        <v>4.3971428571428577</v>
      </c>
      <c r="BW12" s="87">
        <f t="shared" si="6"/>
        <v>0.54674999999999996</v>
      </c>
      <c r="BX12" s="22">
        <f t="shared" si="7"/>
        <v>4.943892857142858</v>
      </c>
      <c r="BY12" s="87">
        <f t="shared" si="8"/>
        <v>5.6467499999999999</v>
      </c>
      <c r="BZ12" s="83">
        <f t="shared" si="57"/>
        <v>1.1421667425178248</v>
      </c>
    </row>
    <row r="13" spans="1:78" x14ac:dyDescent="0.2">
      <c r="A13" s="2">
        <v>7</v>
      </c>
      <c r="B13" s="221">
        <v>8</v>
      </c>
      <c r="C13" s="43">
        <f t="shared" si="9"/>
        <v>9.9999999999999992E-2</v>
      </c>
      <c r="D13" s="253">
        <f t="shared" si="10"/>
        <v>-0.49</v>
      </c>
      <c r="E13" s="99">
        <f t="shared" si="11"/>
        <v>0.39200000000000002</v>
      </c>
      <c r="F13" s="253">
        <f t="shared" si="12"/>
        <v>-0.24500000000000005</v>
      </c>
      <c r="G13" s="108">
        <f t="shared" si="13"/>
        <v>0.19600000000000001</v>
      </c>
      <c r="H13" s="253">
        <v>-4.3600000000000003</v>
      </c>
      <c r="I13" s="99">
        <v>5.21</v>
      </c>
      <c r="J13" s="253">
        <f t="shared" si="14"/>
        <v>-5.0950000000000006</v>
      </c>
      <c r="K13" s="111">
        <f t="shared" si="14"/>
        <v>5.798</v>
      </c>
      <c r="L13" s="297">
        <v>4</v>
      </c>
      <c r="M13" s="236">
        <v>6</v>
      </c>
      <c r="N13" s="297">
        <v>0.2</v>
      </c>
      <c r="O13" s="269">
        <v>0.5</v>
      </c>
      <c r="P13" s="43">
        <f t="shared" si="15"/>
        <v>0.40000000000000008</v>
      </c>
      <c r="Q13" s="195">
        <f t="shared" si="16"/>
        <v>5.25</v>
      </c>
      <c r="R13" s="197">
        <f t="shared" si="17"/>
        <v>5.75</v>
      </c>
      <c r="S13" s="253">
        <f t="shared" si="18"/>
        <v>-31.540476190476188</v>
      </c>
      <c r="T13" s="99">
        <f t="shared" si="19"/>
        <v>32.771304347826074</v>
      </c>
      <c r="U13" s="131">
        <v>2</v>
      </c>
      <c r="V13" s="69">
        <v>1.5</v>
      </c>
      <c r="W13" s="23">
        <f t="shared" si="20"/>
        <v>2</v>
      </c>
      <c r="X13" s="201">
        <f t="shared" si="21"/>
        <v>24</v>
      </c>
      <c r="Y13" s="24">
        <f t="shared" si="22"/>
        <v>18</v>
      </c>
      <c r="Z13" s="3">
        <v>130</v>
      </c>
      <c r="AA13" s="87">
        <f t="shared" si="23"/>
        <v>35.817067077850069</v>
      </c>
      <c r="AB13" s="63">
        <f t="shared" si="24"/>
        <v>43.380966025982168</v>
      </c>
      <c r="AC13" s="24">
        <f t="shared" si="25"/>
        <v>48</v>
      </c>
      <c r="AE13" s="2">
        <f t="shared" si="26"/>
        <v>7</v>
      </c>
      <c r="AF13" s="55">
        <f t="shared" si="0"/>
        <v>8</v>
      </c>
      <c r="AG13" s="169" t="str">
        <f t="shared" si="27"/>
        <v>#4 @ 6</v>
      </c>
      <c r="AH13" s="55">
        <v>8</v>
      </c>
      <c r="AI13" s="55">
        <f t="shared" si="28"/>
        <v>1800</v>
      </c>
      <c r="AJ13" s="47">
        <f t="shared" si="29"/>
        <v>48000</v>
      </c>
      <c r="AK13" s="43">
        <f t="shared" si="30"/>
        <v>0.23076923076923078</v>
      </c>
      <c r="AL13" s="155">
        <f t="shared" si="31"/>
        <v>0.92307692307692313</v>
      </c>
      <c r="AM13" s="253">
        <f t="shared" si="1"/>
        <v>-5.0950000000000006</v>
      </c>
      <c r="AN13" s="108">
        <f t="shared" si="1"/>
        <v>5.798</v>
      </c>
      <c r="AO13" s="195">
        <f t="shared" si="32"/>
        <v>1.427768670285178</v>
      </c>
      <c r="AP13" s="253">
        <f t="shared" si="33"/>
        <v>0.53333333333333344</v>
      </c>
      <c r="AQ13" s="157">
        <f t="shared" si="34"/>
        <v>-2.8000000000000007</v>
      </c>
      <c r="AR13" s="111">
        <f t="shared" si="35"/>
        <v>0.53333333333333344</v>
      </c>
      <c r="AS13" s="111">
        <f t="shared" si="36"/>
        <v>-3.0666666666666669</v>
      </c>
      <c r="AT13" s="102">
        <f t="shared" si="37"/>
        <v>1.5047107007448561</v>
      </c>
      <c r="AU13" s="253">
        <f t="shared" si="38"/>
        <v>-12.806663694884771</v>
      </c>
      <c r="AV13" s="108">
        <f t="shared" si="39"/>
        <v>13.25653635401124</v>
      </c>
      <c r="AW13" s="136">
        <f t="shared" si="40"/>
        <v>-1.494950823315891</v>
      </c>
      <c r="AX13" s="118">
        <f t="shared" si="41"/>
        <v>1.4683372189583288</v>
      </c>
      <c r="AY13" s="253">
        <f t="shared" si="42"/>
        <v>-32.016659237211925</v>
      </c>
      <c r="AZ13" s="108">
        <f t="shared" si="43"/>
        <v>33.141340885028114</v>
      </c>
      <c r="BA13" s="155"/>
      <c r="BB13" s="2">
        <f t="shared" si="2"/>
        <v>7</v>
      </c>
      <c r="BC13" s="119">
        <f t="shared" si="2"/>
        <v>8</v>
      </c>
      <c r="BD13" s="169" t="str">
        <f t="shared" si="44"/>
        <v>#4 @ 6</v>
      </c>
      <c r="BE13" s="66">
        <f t="shared" si="45"/>
        <v>0.82981953533181918</v>
      </c>
      <c r="BF13" s="129">
        <f t="shared" si="46"/>
        <v>1.880924280085457E-2</v>
      </c>
      <c r="BG13" s="191">
        <f t="shared" si="47"/>
        <v>2.5</v>
      </c>
      <c r="BH13" s="27">
        <f t="shared" si="48"/>
        <v>32.016659237211925</v>
      </c>
      <c r="BI13" s="56">
        <f t="shared" si="3"/>
        <v>8</v>
      </c>
      <c r="BJ13" s="88">
        <f t="shared" si="49"/>
        <v>1.6493506493506493</v>
      </c>
      <c r="BK13" s="69">
        <f t="shared" si="50"/>
        <v>6</v>
      </c>
      <c r="BM13" s="66">
        <f t="shared" si="51"/>
        <v>0.62968547681553411</v>
      </c>
      <c r="BN13" s="129">
        <f t="shared" si="52"/>
        <v>1.4272870807818775E-2</v>
      </c>
      <c r="BO13" s="43">
        <f t="shared" si="53"/>
        <v>1.75</v>
      </c>
      <c r="BP13" s="22">
        <f t="shared" si="54"/>
        <v>33.141340885028114</v>
      </c>
      <c r="BQ13" s="87">
        <f t="shared" si="55"/>
        <v>1.4</v>
      </c>
      <c r="BR13" s="69">
        <f t="shared" si="56"/>
        <v>6</v>
      </c>
      <c r="BT13" s="8">
        <v>7</v>
      </c>
      <c r="BU13" s="57">
        <f t="shared" si="4"/>
        <v>12.5</v>
      </c>
      <c r="BV13" s="25">
        <f t="shared" si="5"/>
        <v>4.4687999999999999</v>
      </c>
      <c r="BW13" s="89">
        <f t="shared" si="6"/>
        <v>0.58800000000000008</v>
      </c>
      <c r="BX13" s="25">
        <f t="shared" si="7"/>
        <v>5.0568</v>
      </c>
      <c r="BY13" s="89">
        <f t="shared" si="8"/>
        <v>5.798</v>
      </c>
      <c r="BZ13" s="84">
        <f t="shared" si="57"/>
        <v>1.1465749090333808</v>
      </c>
    </row>
    <row r="14" spans="1:78" x14ac:dyDescent="0.2">
      <c r="A14" s="2">
        <v>7.25</v>
      </c>
      <c r="B14" s="221">
        <v>8</v>
      </c>
      <c r="C14" s="43">
        <f t="shared" si="9"/>
        <v>9.9999999999999992E-2</v>
      </c>
      <c r="D14" s="253">
        <f t="shared" si="10"/>
        <v>-0.52562500000000001</v>
      </c>
      <c r="E14" s="99">
        <f t="shared" si="11"/>
        <v>0.42049999999999998</v>
      </c>
      <c r="F14" s="253">
        <f t="shared" si="12"/>
        <v>-0.26281250000000006</v>
      </c>
      <c r="G14" s="108">
        <f t="shared" si="13"/>
        <v>0.21024999999999999</v>
      </c>
      <c r="H14" s="253">
        <v>-4.49</v>
      </c>
      <c r="I14" s="99">
        <v>5.32</v>
      </c>
      <c r="J14" s="253">
        <f t="shared" si="14"/>
        <v>-5.2784375000000008</v>
      </c>
      <c r="K14" s="111">
        <f t="shared" si="14"/>
        <v>5.9507500000000002</v>
      </c>
      <c r="L14" s="297">
        <v>4</v>
      </c>
      <c r="M14" s="236">
        <v>6</v>
      </c>
      <c r="N14" s="297">
        <v>0.2</v>
      </c>
      <c r="O14" s="269">
        <v>0.5</v>
      </c>
      <c r="P14" s="43">
        <f t="shared" si="15"/>
        <v>0.40000000000000008</v>
      </c>
      <c r="Q14" s="195">
        <f t="shared" si="16"/>
        <v>5.25</v>
      </c>
      <c r="R14" s="197">
        <f t="shared" si="17"/>
        <v>5.75</v>
      </c>
      <c r="S14" s="253">
        <f t="shared" si="18"/>
        <v>-32.676041666666663</v>
      </c>
      <c r="T14" s="99">
        <f t="shared" si="19"/>
        <v>33.634673913043471</v>
      </c>
      <c r="U14" s="131">
        <v>2</v>
      </c>
      <c r="V14" s="69">
        <v>1.5</v>
      </c>
      <c r="W14" s="23">
        <f t="shared" si="20"/>
        <v>2</v>
      </c>
      <c r="X14" s="201">
        <f t="shared" si="21"/>
        <v>24</v>
      </c>
      <c r="Y14" s="24">
        <f t="shared" si="22"/>
        <v>18</v>
      </c>
      <c r="Z14" s="3">
        <v>130</v>
      </c>
      <c r="AA14" s="87">
        <f t="shared" si="23"/>
        <v>35.817067077850069</v>
      </c>
      <c r="AB14" s="63">
        <f t="shared" si="24"/>
        <v>43.380966025982168</v>
      </c>
      <c r="AC14" s="24">
        <f t="shared" si="25"/>
        <v>48</v>
      </c>
      <c r="AE14" s="2">
        <f t="shared" si="26"/>
        <v>7.25</v>
      </c>
      <c r="AF14" s="55">
        <f t="shared" si="0"/>
        <v>8</v>
      </c>
      <c r="AG14" s="169" t="str">
        <f t="shared" si="27"/>
        <v>#4 @ 6</v>
      </c>
      <c r="AH14" s="55">
        <v>8</v>
      </c>
      <c r="AI14" s="55">
        <f t="shared" si="28"/>
        <v>1800</v>
      </c>
      <c r="AJ14" s="47">
        <f t="shared" si="29"/>
        <v>48000</v>
      </c>
      <c r="AK14" s="43">
        <f t="shared" si="30"/>
        <v>0.23076923076923078</v>
      </c>
      <c r="AL14" s="155">
        <f t="shared" si="31"/>
        <v>0.92307692307692313</v>
      </c>
      <c r="AM14" s="253">
        <f t="shared" si="1"/>
        <v>-5.2784375000000008</v>
      </c>
      <c r="AN14" s="108">
        <f t="shared" si="1"/>
        <v>5.9507500000000002</v>
      </c>
      <c r="AO14" s="195">
        <f t="shared" si="32"/>
        <v>1.427768670285178</v>
      </c>
      <c r="AP14" s="253">
        <f t="shared" si="33"/>
        <v>0.53333333333333344</v>
      </c>
      <c r="AQ14" s="157">
        <f t="shared" si="34"/>
        <v>-2.8000000000000007</v>
      </c>
      <c r="AR14" s="111">
        <f t="shared" si="35"/>
        <v>0.53333333333333344</v>
      </c>
      <c r="AS14" s="111">
        <f t="shared" si="36"/>
        <v>-3.0666666666666669</v>
      </c>
      <c r="AT14" s="102">
        <f t="shared" si="37"/>
        <v>1.5047107007448561</v>
      </c>
      <c r="AU14" s="253">
        <f t="shared" si="38"/>
        <v>-13.267747575459927</v>
      </c>
      <c r="AV14" s="108">
        <f t="shared" si="39"/>
        <v>13.605783668270508</v>
      </c>
      <c r="AW14" s="136">
        <f t="shared" si="40"/>
        <v>-1.5487741877225658</v>
      </c>
      <c r="AX14" s="118">
        <f t="shared" si="41"/>
        <v>1.5070209909824555</v>
      </c>
      <c r="AY14" s="253">
        <f t="shared" si="42"/>
        <v>-33.169368938649811</v>
      </c>
      <c r="AZ14" s="108">
        <f t="shared" si="43"/>
        <v>34.014459170676282</v>
      </c>
      <c r="BA14" s="155"/>
      <c r="BB14" s="2">
        <f t="shared" si="2"/>
        <v>7.25</v>
      </c>
      <c r="BC14" s="162">
        <f t="shared" si="2"/>
        <v>8</v>
      </c>
      <c r="BD14" s="169" t="str">
        <f t="shared" si="44"/>
        <v>#4 @ 6</v>
      </c>
      <c r="BE14" s="66">
        <f t="shared" si="45"/>
        <v>0.85969588881806658</v>
      </c>
      <c r="BF14" s="129">
        <f t="shared" si="46"/>
        <v>1.9486440146542845E-2</v>
      </c>
      <c r="BG14" s="191">
        <f t="shared" si="47"/>
        <v>2.5</v>
      </c>
      <c r="BH14" s="22">
        <f t="shared" si="48"/>
        <v>33.169368938649811</v>
      </c>
      <c r="BI14" s="55">
        <f t="shared" si="3"/>
        <v>8</v>
      </c>
      <c r="BJ14" s="87">
        <f t="shared" si="49"/>
        <v>1.6493506493506493</v>
      </c>
      <c r="BK14" s="69">
        <f t="shared" si="50"/>
        <v>6</v>
      </c>
      <c r="BM14" s="66">
        <f t="shared" si="51"/>
        <v>0.64627472424284937</v>
      </c>
      <c r="BN14" s="129">
        <f t="shared" si="52"/>
        <v>1.4648893749504587E-2</v>
      </c>
      <c r="BO14" s="43">
        <f t="shared" si="53"/>
        <v>1.75</v>
      </c>
      <c r="BP14" s="22">
        <f t="shared" si="54"/>
        <v>34.014459170676282</v>
      </c>
      <c r="BQ14" s="87">
        <f t="shared" si="55"/>
        <v>1.4</v>
      </c>
      <c r="BR14" s="69">
        <f t="shared" si="56"/>
        <v>6</v>
      </c>
      <c r="BT14" s="1"/>
      <c r="BU14" s="1"/>
      <c r="BV14" s="156"/>
      <c r="BW14" s="156"/>
      <c r="BX14" s="156"/>
      <c r="BY14" s="156"/>
      <c r="BZ14" s="156"/>
    </row>
    <row r="15" spans="1:78" x14ac:dyDescent="0.2">
      <c r="A15" s="2">
        <v>7.5</v>
      </c>
      <c r="B15" s="221">
        <v>8</v>
      </c>
      <c r="C15" s="43">
        <f t="shared" si="9"/>
        <v>9.9999999999999992E-2</v>
      </c>
      <c r="D15" s="253">
        <f t="shared" si="10"/>
        <v>-0.5625</v>
      </c>
      <c r="E15" s="99">
        <f t="shared" si="11"/>
        <v>0.45</v>
      </c>
      <c r="F15" s="253">
        <f t="shared" si="12"/>
        <v>-0.28125000000000006</v>
      </c>
      <c r="G15" s="108">
        <f t="shared" si="13"/>
        <v>0.22500000000000001</v>
      </c>
      <c r="H15" s="253">
        <v>-4.6100000000000003</v>
      </c>
      <c r="I15" s="99">
        <v>5.44</v>
      </c>
      <c r="J15" s="253">
        <f t="shared" si="14"/>
        <v>-5.4537500000000003</v>
      </c>
      <c r="K15" s="111">
        <f t="shared" si="14"/>
        <v>6.1150000000000002</v>
      </c>
      <c r="L15" s="297">
        <v>4</v>
      </c>
      <c r="M15" s="236">
        <v>6</v>
      </c>
      <c r="N15" s="297">
        <v>0.2</v>
      </c>
      <c r="O15" s="269">
        <v>0.5</v>
      </c>
      <c r="P15" s="43">
        <f t="shared" si="15"/>
        <v>0.40000000000000008</v>
      </c>
      <c r="Q15" s="195">
        <f t="shared" si="16"/>
        <v>5.25</v>
      </c>
      <c r="R15" s="197">
        <f t="shared" si="17"/>
        <v>5.75</v>
      </c>
      <c r="S15" s="253">
        <f t="shared" si="18"/>
        <v>-33.761309523809523</v>
      </c>
      <c r="T15" s="99">
        <f t="shared" si="19"/>
        <v>34.563043478260859</v>
      </c>
      <c r="U15" s="131">
        <v>2</v>
      </c>
      <c r="V15" s="69">
        <v>1.5</v>
      </c>
      <c r="W15" s="23">
        <f t="shared" si="20"/>
        <v>2</v>
      </c>
      <c r="X15" s="201">
        <f t="shared" si="21"/>
        <v>24</v>
      </c>
      <c r="Y15" s="24">
        <f t="shared" si="22"/>
        <v>18</v>
      </c>
      <c r="Z15" s="3">
        <v>130</v>
      </c>
      <c r="AA15" s="87">
        <f t="shared" si="23"/>
        <v>35.817067077850069</v>
      </c>
      <c r="AB15" s="63">
        <f t="shared" si="24"/>
        <v>43.380966025982168</v>
      </c>
      <c r="AC15" s="24">
        <f t="shared" si="25"/>
        <v>48</v>
      </c>
      <c r="AE15" s="2">
        <f t="shared" si="26"/>
        <v>7.5</v>
      </c>
      <c r="AF15" s="55">
        <f t="shared" si="0"/>
        <v>8</v>
      </c>
      <c r="AG15" s="169" t="str">
        <f t="shared" si="27"/>
        <v>#4 @ 6</v>
      </c>
      <c r="AH15" s="55">
        <v>8</v>
      </c>
      <c r="AI15" s="55">
        <f t="shared" si="28"/>
        <v>1800</v>
      </c>
      <c r="AJ15" s="47">
        <f t="shared" si="29"/>
        <v>48000</v>
      </c>
      <c r="AK15" s="43">
        <f t="shared" si="30"/>
        <v>0.23076923076923078</v>
      </c>
      <c r="AL15" s="155">
        <f t="shared" si="31"/>
        <v>0.92307692307692313</v>
      </c>
      <c r="AM15" s="253">
        <f t="shared" si="1"/>
        <v>-5.4537500000000003</v>
      </c>
      <c r="AN15" s="108">
        <f t="shared" si="1"/>
        <v>6.1150000000000002</v>
      </c>
      <c r="AO15" s="195">
        <f t="shared" si="32"/>
        <v>1.427768670285178</v>
      </c>
      <c r="AP15" s="253">
        <f t="shared" si="33"/>
        <v>0.53333333333333344</v>
      </c>
      <c r="AQ15" s="157">
        <f t="shared" si="34"/>
        <v>-2.8000000000000007</v>
      </c>
      <c r="AR15" s="111">
        <f t="shared" si="35"/>
        <v>0.53333333333333344</v>
      </c>
      <c r="AS15" s="111">
        <f t="shared" si="36"/>
        <v>-3.0666666666666669</v>
      </c>
      <c r="AT15" s="102">
        <f t="shared" si="37"/>
        <v>1.5047107007448561</v>
      </c>
      <c r="AU15" s="253">
        <f t="shared" si="38"/>
        <v>-13.70840866064334</v>
      </c>
      <c r="AV15" s="108">
        <f t="shared" si="39"/>
        <v>13.981324561017376</v>
      </c>
      <c r="AW15" s="136">
        <f t="shared" si="40"/>
        <v>-1.6002135530243455</v>
      </c>
      <c r="AX15" s="118">
        <f t="shared" si="41"/>
        <v>1.5486171255484962</v>
      </c>
      <c r="AY15" s="253">
        <f t="shared" si="42"/>
        <v>-34.271021651608351</v>
      </c>
      <c r="AZ15" s="108">
        <f t="shared" si="43"/>
        <v>34.953311402543449</v>
      </c>
      <c r="BA15" s="155"/>
      <c r="BB15" s="2">
        <f t="shared" si="2"/>
        <v>7.5</v>
      </c>
      <c r="BC15" s="162">
        <f t="shared" si="2"/>
        <v>8</v>
      </c>
      <c r="BD15" s="169" t="str">
        <f t="shared" si="44"/>
        <v>#4 @ 6</v>
      </c>
      <c r="BE15" s="66">
        <f t="shared" si="45"/>
        <v>0.88824892852127768</v>
      </c>
      <c r="BF15" s="129">
        <f t="shared" si="46"/>
        <v>2.0133642379815627E-2</v>
      </c>
      <c r="BG15" s="191">
        <f t="shared" si="47"/>
        <v>2.5</v>
      </c>
      <c r="BH15" s="22">
        <f t="shared" si="48"/>
        <v>34.271021651608351</v>
      </c>
      <c r="BI15" s="55">
        <f t="shared" si="3"/>
        <v>8</v>
      </c>
      <c r="BJ15" s="87">
        <f t="shared" si="49"/>
        <v>1.6493506493506493</v>
      </c>
      <c r="BK15" s="69">
        <f t="shared" si="50"/>
        <v>6</v>
      </c>
      <c r="BM15" s="66">
        <f t="shared" si="51"/>
        <v>0.66411291664832539</v>
      </c>
      <c r="BN15" s="129">
        <f t="shared" si="52"/>
        <v>1.5053226110695378E-2</v>
      </c>
      <c r="BO15" s="43">
        <f t="shared" si="53"/>
        <v>1.75</v>
      </c>
      <c r="BP15" s="22">
        <f t="shared" si="54"/>
        <v>34.953311402543449</v>
      </c>
      <c r="BQ15" s="87">
        <f t="shared" si="55"/>
        <v>1.4</v>
      </c>
      <c r="BR15" s="69">
        <f t="shared" si="56"/>
        <v>6</v>
      </c>
      <c r="BT15" s="1"/>
      <c r="BU15" s="1"/>
      <c r="BV15" s="156"/>
      <c r="BW15" s="156"/>
      <c r="BX15" s="156"/>
      <c r="BY15" s="156"/>
      <c r="BZ15" s="156"/>
    </row>
    <row r="16" spans="1:78" x14ac:dyDescent="0.2">
      <c r="A16" s="2">
        <v>7.75</v>
      </c>
      <c r="B16" s="222">
        <v>8</v>
      </c>
      <c r="C16" s="43">
        <f t="shared" si="9"/>
        <v>9.9999999999999992E-2</v>
      </c>
      <c r="D16" s="253">
        <f t="shared" si="10"/>
        <v>-0.60062499999999996</v>
      </c>
      <c r="E16" s="99">
        <f t="shared" si="11"/>
        <v>0.48049999999999998</v>
      </c>
      <c r="F16" s="253">
        <f t="shared" si="12"/>
        <v>-0.30031250000000004</v>
      </c>
      <c r="G16" s="108">
        <f t="shared" si="13"/>
        <v>0.24024999999999999</v>
      </c>
      <c r="H16" s="253">
        <v>-4.71</v>
      </c>
      <c r="I16" s="99">
        <v>5.56</v>
      </c>
      <c r="J16" s="253">
        <f t="shared" si="14"/>
        <v>-5.6109375000000004</v>
      </c>
      <c r="K16" s="111">
        <f t="shared" si="14"/>
        <v>6.2807499999999994</v>
      </c>
      <c r="L16" s="298">
        <v>4</v>
      </c>
      <c r="M16" s="238">
        <v>5.5</v>
      </c>
      <c r="N16" s="298">
        <v>0.2</v>
      </c>
      <c r="O16" s="286">
        <v>0.5</v>
      </c>
      <c r="P16" s="44">
        <f t="shared" si="15"/>
        <v>0.43636363636363645</v>
      </c>
      <c r="Q16" s="257">
        <f t="shared" si="16"/>
        <v>5.25</v>
      </c>
      <c r="R16" s="254">
        <f t="shared" si="17"/>
        <v>5.75</v>
      </c>
      <c r="S16" s="61">
        <f t="shared" si="18"/>
        <v>-31.839843749999996</v>
      </c>
      <c r="T16" s="110">
        <f t="shared" si="19"/>
        <v>32.541567028985497</v>
      </c>
      <c r="U16" s="131">
        <v>2</v>
      </c>
      <c r="V16" s="69">
        <v>1.5</v>
      </c>
      <c r="W16" s="132">
        <f t="shared" si="20"/>
        <v>2.1818181818181817</v>
      </c>
      <c r="X16" s="201">
        <f t="shared" si="21"/>
        <v>22</v>
      </c>
      <c r="Y16" s="24">
        <f t="shared" si="22"/>
        <v>16.5</v>
      </c>
      <c r="Z16" s="3">
        <v>130</v>
      </c>
      <c r="AA16" s="87">
        <f t="shared" si="23"/>
        <v>36.870040192552679</v>
      </c>
      <c r="AB16" s="63">
        <f t="shared" si="24"/>
        <v>44.656307494224144</v>
      </c>
      <c r="AC16" s="245">
        <f t="shared" si="25"/>
        <v>48</v>
      </c>
      <c r="AE16" s="57">
        <f t="shared" si="26"/>
        <v>7.75</v>
      </c>
      <c r="AF16" s="55">
        <f t="shared" si="0"/>
        <v>8</v>
      </c>
      <c r="AG16" s="175" t="str">
        <f t="shared" si="27"/>
        <v>#4 @ 5.5</v>
      </c>
      <c r="AH16" s="55">
        <v>8</v>
      </c>
      <c r="AI16" s="57">
        <f t="shared" si="28"/>
        <v>1800</v>
      </c>
      <c r="AJ16" s="49">
        <f t="shared" si="29"/>
        <v>48000</v>
      </c>
      <c r="AK16" s="43">
        <f t="shared" si="30"/>
        <v>0.23076923076923078</v>
      </c>
      <c r="AL16" s="155">
        <f t="shared" si="31"/>
        <v>0.92307692307692313</v>
      </c>
      <c r="AM16" s="253">
        <f t="shared" si="1"/>
        <v>-5.6109375000000004</v>
      </c>
      <c r="AN16" s="108">
        <f t="shared" si="1"/>
        <v>6.2807499999999994</v>
      </c>
      <c r="AO16" s="195">
        <f t="shared" si="32"/>
        <v>1.4808622131025213</v>
      </c>
      <c r="AP16" s="253">
        <f t="shared" si="33"/>
        <v>0.5818181818181819</v>
      </c>
      <c r="AQ16" s="157">
        <f t="shared" si="34"/>
        <v>-3.0545454545454551</v>
      </c>
      <c r="AR16" s="111">
        <f t="shared" si="35"/>
        <v>0.5818181818181819</v>
      </c>
      <c r="AS16" s="111">
        <f t="shared" si="36"/>
        <v>-3.3454545454545461</v>
      </c>
      <c r="AT16" s="102">
        <f t="shared" si="37"/>
        <v>1.5611391386540865</v>
      </c>
      <c r="AU16" s="253">
        <f t="shared" si="38"/>
        <v>-14.155988470829625</v>
      </c>
      <c r="AV16" s="108">
        <f t="shared" si="39"/>
        <v>14.411945009792301</v>
      </c>
      <c r="AW16" s="136">
        <f t="shared" si="40"/>
        <v>-1.5932146765106223</v>
      </c>
      <c r="AX16" s="118">
        <f t="shared" si="41"/>
        <v>1.5386141923494565</v>
      </c>
      <c r="AY16" s="253">
        <f t="shared" si="42"/>
        <v>-32.440806912317882</v>
      </c>
      <c r="AZ16" s="108">
        <f t="shared" si="43"/>
        <v>33.027373980774016</v>
      </c>
      <c r="BA16" s="155"/>
      <c r="BB16" s="2">
        <f t="shared" si="2"/>
        <v>7.75</v>
      </c>
      <c r="BC16" s="120">
        <f t="shared" si="2"/>
        <v>8</v>
      </c>
      <c r="BD16" s="175" t="str">
        <f t="shared" si="44"/>
        <v>#4 @ 5.5</v>
      </c>
      <c r="BE16" s="66">
        <f t="shared" si="45"/>
        <v>0.80259398919435809</v>
      </c>
      <c r="BF16" s="235">
        <f t="shared" si="46"/>
        <v>1.8192130421738787E-2</v>
      </c>
      <c r="BG16" s="234">
        <f t="shared" si="47"/>
        <v>2.5</v>
      </c>
      <c r="BH16" s="25">
        <f t="shared" si="48"/>
        <v>32.440806912317882</v>
      </c>
      <c r="BI16" s="57">
        <f t="shared" si="3"/>
        <v>8</v>
      </c>
      <c r="BJ16" s="89">
        <f t="shared" si="49"/>
        <v>1.6493506493506493</v>
      </c>
      <c r="BK16" s="132">
        <f t="shared" si="50"/>
        <v>5.5</v>
      </c>
      <c r="BM16" s="66">
        <f t="shared" si="51"/>
        <v>0.59449273165393224</v>
      </c>
      <c r="BN16" s="235">
        <f t="shared" si="52"/>
        <v>1.3475168584155798E-2</v>
      </c>
      <c r="BO16" s="44">
        <f t="shared" si="53"/>
        <v>1.75</v>
      </c>
      <c r="BP16" s="22">
        <f t="shared" si="54"/>
        <v>33.027373980774016</v>
      </c>
      <c r="BQ16" s="87">
        <f t="shared" si="55"/>
        <v>1.4</v>
      </c>
      <c r="BR16" s="69">
        <f t="shared" si="56"/>
        <v>5.5</v>
      </c>
      <c r="BT16" s="1"/>
      <c r="BU16" s="1"/>
      <c r="BV16" s="156"/>
      <c r="BW16" s="156"/>
      <c r="BX16" s="156"/>
      <c r="BY16" s="156"/>
      <c r="BZ16" s="156"/>
    </row>
    <row r="17" spans="1:78" x14ac:dyDescent="0.2">
      <c r="A17" s="17">
        <v>8</v>
      </c>
      <c r="B17" s="221">
        <v>8</v>
      </c>
      <c r="C17" s="42">
        <f t="shared" si="9"/>
        <v>9.9999999999999992E-2</v>
      </c>
      <c r="D17" s="255">
        <f t="shared" si="10"/>
        <v>-0.64</v>
      </c>
      <c r="E17" s="100">
        <f t="shared" si="11"/>
        <v>0.51200000000000001</v>
      </c>
      <c r="F17" s="255">
        <f t="shared" si="12"/>
        <v>-0.32000000000000006</v>
      </c>
      <c r="G17" s="109">
        <f t="shared" si="13"/>
        <v>0.25600000000000001</v>
      </c>
      <c r="H17" s="255">
        <v>-4.8099999999999996</v>
      </c>
      <c r="I17" s="100">
        <v>5.69</v>
      </c>
      <c r="J17" s="255">
        <f t="shared" si="14"/>
        <v>-5.77</v>
      </c>
      <c r="K17" s="112">
        <f t="shared" si="14"/>
        <v>6.4580000000000002</v>
      </c>
      <c r="L17" s="297">
        <v>4</v>
      </c>
      <c r="M17" s="236">
        <v>5.5</v>
      </c>
      <c r="N17" s="297">
        <v>0.2</v>
      </c>
      <c r="O17" s="269">
        <v>0.5</v>
      </c>
      <c r="P17" s="43">
        <f t="shared" si="15"/>
        <v>0.43636363636363645</v>
      </c>
      <c r="Q17" s="195">
        <f t="shared" si="16"/>
        <v>5.25</v>
      </c>
      <c r="R17" s="197">
        <f>B17-1.5-O17/2-0.5</f>
        <v>5.75</v>
      </c>
      <c r="S17" s="253">
        <f t="shared" si="18"/>
        <v>-32.742460317460306</v>
      </c>
      <c r="T17" s="99">
        <f t="shared" si="19"/>
        <v>33.459927536231881</v>
      </c>
      <c r="U17" s="130">
        <v>2</v>
      </c>
      <c r="V17" s="71">
        <v>1.5</v>
      </c>
      <c r="W17" s="23">
        <f t="shared" si="20"/>
        <v>2.1818181818181817</v>
      </c>
      <c r="X17" s="244">
        <f t="shared" si="21"/>
        <v>22</v>
      </c>
      <c r="Y17" s="28">
        <f t="shared" si="22"/>
        <v>16.5</v>
      </c>
      <c r="Z17" s="18">
        <v>130</v>
      </c>
      <c r="AA17" s="88">
        <f t="shared" si="23"/>
        <v>36.870040192552679</v>
      </c>
      <c r="AB17" s="65">
        <f t="shared" si="24"/>
        <v>44.656307494224144</v>
      </c>
      <c r="AC17" s="24">
        <f t="shared" si="25"/>
        <v>48</v>
      </c>
      <c r="AE17" s="2">
        <f t="shared" si="26"/>
        <v>8</v>
      </c>
      <c r="AF17" s="56">
        <f t="shared" si="0"/>
        <v>8</v>
      </c>
      <c r="AG17" s="169" t="str">
        <f t="shared" si="27"/>
        <v>#4 @ 5.5</v>
      </c>
      <c r="AH17" s="56">
        <v>8</v>
      </c>
      <c r="AI17" s="55">
        <f t="shared" si="28"/>
        <v>1800</v>
      </c>
      <c r="AJ17" s="47">
        <f t="shared" si="29"/>
        <v>48000</v>
      </c>
      <c r="AK17" s="42">
        <f t="shared" si="30"/>
        <v>0.23076923076923078</v>
      </c>
      <c r="AL17" s="19">
        <f t="shared" si="31"/>
        <v>0.92307692307692313</v>
      </c>
      <c r="AM17" s="255">
        <f t="shared" si="1"/>
        <v>-5.77</v>
      </c>
      <c r="AN17" s="109">
        <f t="shared" si="1"/>
        <v>6.4580000000000002</v>
      </c>
      <c r="AO17" s="256">
        <f t="shared" si="32"/>
        <v>1.4808622131025213</v>
      </c>
      <c r="AP17" s="255">
        <f t="shared" si="33"/>
        <v>0.5818181818181819</v>
      </c>
      <c r="AQ17" s="160">
        <f t="shared" si="34"/>
        <v>-3.0545454545454551</v>
      </c>
      <c r="AR17" s="112">
        <f t="shared" si="35"/>
        <v>0.5818181818181819</v>
      </c>
      <c r="AS17" s="112">
        <f t="shared" si="36"/>
        <v>-3.3454545454545461</v>
      </c>
      <c r="AT17" s="103">
        <f t="shared" si="37"/>
        <v>1.5611391386540865</v>
      </c>
      <c r="AU17" s="255">
        <f t="shared" si="38"/>
        <v>-14.557291624917745</v>
      </c>
      <c r="AV17" s="109">
        <f t="shared" si="39"/>
        <v>14.818666699556374</v>
      </c>
      <c r="AW17" s="128">
        <f t="shared" si="40"/>
        <v>-1.6383801607959967</v>
      </c>
      <c r="AX17" s="106">
        <f t="shared" si="41"/>
        <v>1.5820356572372394</v>
      </c>
      <c r="AY17" s="255">
        <f t="shared" si="42"/>
        <v>-33.360459973769828</v>
      </c>
      <c r="AZ17" s="109">
        <f t="shared" si="43"/>
        <v>33.959444519816678</v>
      </c>
      <c r="BA17" s="155"/>
      <c r="BB17" s="56">
        <f t="shared" si="2"/>
        <v>8</v>
      </c>
      <c r="BC17" s="165">
        <f t="shared" si="2"/>
        <v>8</v>
      </c>
      <c r="BD17" s="169" t="str">
        <f t="shared" si="44"/>
        <v>#4 @ 5.5</v>
      </c>
      <c r="BE17" s="88">
        <f t="shared" si="45"/>
        <v>0.82534644480560404</v>
      </c>
      <c r="BF17" s="129">
        <f t="shared" si="46"/>
        <v>1.8707852748927025E-2</v>
      </c>
      <c r="BG17" s="191">
        <f t="shared" si="47"/>
        <v>2.5</v>
      </c>
      <c r="BH17" s="22">
        <f t="shared" si="48"/>
        <v>33.360459973769828</v>
      </c>
      <c r="BI17" s="55">
        <f t="shared" si="3"/>
        <v>8</v>
      </c>
      <c r="BJ17" s="87">
        <f t="shared" si="49"/>
        <v>1.6493506493506493</v>
      </c>
      <c r="BK17" s="69">
        <f t="shared" si="50"/>
        <v>5.5</v>
      </c>
      <c r="BM17" s="88">
        <f t="shared" si="51"/>
        <v>0.61127000135670018</v>
      </c>
      <c r="BN17" s="129">
        <f t="shared" si="52"/>
        <v>1.3855453364085205E-2</v>
      </c>
      <c r="BO17" s="43">
        <f t="shared" si="53"/>
        <v>1.75</v>
      </c>
      <c r="BP17" s="27">
        <f t="shared" si="54"/>
        <v>33.959444519816678</v>
      </c>
      <c r="BQ17" s="88">
        <f t="shared" si="55"/>
        <v>1.4</v>
      </c>
      <c r="BR17" s="130">
        <f t="shared" si="56"/>
        <v>5.5</v>
      </c>
      <c r="BT17" s="1"/>
      <c r="BU17" s="1"/>
      <c r="BV17" s="156"/>
      <c r="BW17" s="156"/>
      <c r="BX17" s="156"/>
      <c r="BY17" s="156"/>
      <c r="BZ17" s="156"/>
    </row>
    <row r="18" spans="1:78" x14ac:dyDescent="0.2">
      <c r="A18" s="2">
        <v>8.25</v>
      </c>
      <c r="B18" s="221">
        <v>8</v>
      </c>
      <c r="C18" s="43">
        <f t="shared" si="9"/>
        <v>9.9999999999999992E-2</v>
      </c>
      <c r="D18" s="253">
        <f t="shared" si="10"/>
        <v>-0.68062500000000004</v>
      </c>
      <c r="E18" s="99">
        <f t="shared" si="11"/>
        <v>0.54449999999999998</v>
      </c>
      <c r="F18" s="253">
        <f t="shared" si="12"/>
        <v>-0.34031250000000007</v>
      </c>
      <c r="G18" s="108">
        <f t="shared" si="13"/>
        <v>0.27224999999999999</v>
      </c>
      <c r="H18" s="253">
        <v>-4.9000000000000004</v>
      </c>
      <c r="I18" s="99">
        <v>5.83</v>
      </c>
      <c r="J18" s="253">
        <f t="shared" si="14"/>
        <v>-5.9209375000000009</v>
      </c>
      <c r="K18" s="111">
        <f t="shared" si="14"/>
        <v>6.6467499999999999</v>
      </c>
      <c r="L18" s="297">
        <v>4</v>
      </c>
      <c r="M18" s="236">
        <v>5.5</v>
      </c>
      <c r="N18" s="297">
        <v>0.2</v>
      </c>
      <c r="O18" s="269">
        <v>0.5</v>
      </c>
      <c r="P18" s="43">
        <f t="shared" si="15"/>
        <v>0.43636363636363645</v>
      </c>
      <c r="Q18" s="195">
        <f t="shared" si="16"/>
        <v>5.25</v>
      </c>
      <c r="R18" s="197">
        <f t="shared" ref="R18:R45" si="58">B18-1.5-O18/2-0.5</f>
        <v>5.75</v>
      </c>
      <c r="S18" s="253">
        <f t="shared" si="18"/>
        <v>-33.598970734126979</v>
      </c>
      <c r="T18" s="99">
        <f t="shared" si="19"/>
        <v>34.437871376811586</v>
      </c>
      <c r="U18" s="131">
        <v>2</v>
      </c>
      <c r="V18" s="69">
        <v>1.5</v>
      </c>
      <c r="W18" s="23">
        <f t="shared" si="20"/>
        <v>2.1818181818181817</v>
      </c>
      <c r="X18" s="201">
        <f t="shared" si="21"/>
        <v>22</v>
      </c>
      <c r="Y18" s="24">
        <f t="shared" si="22"/>
        <v>16.5</v>
      </c>
      <c r="Z18" s="3">
        <v>130</v>
      </c>
      <c r="AA18" s="87">
        <f t="shared" si="23"/>
        <v>36.870040192552679</v>
      </c>
      <c r="AB18" s="63">
        <f t="shared" si="24"/>
        <v>44.656307494224144</v>
      </c>
      <c r="AC18" s="24">
        <f t="shared" si="25"/>
        <v>48</v>
      </c>
      <c r="AE18" s="2">
        <f t="shared" si="26"/>
        <v>8.25</v>
      </c>
      <c r="AF18" s="55">
        <f t="shared" si="0"/>
        <v>8</v>
      </c>
      <c r="AG18" s="169" t="str">
        <f t="shared" si="27"/>
        <v>#4 @ 5.5</v>
      </c>
      <c r="AH18" s="55">
        <v>8</v>
      </c>
      <c r="AI18" s="55">
        <f t="shared" si="28"/>
        <v>1800</v>
      </c>
      <c r="AJ18" s="47">
        <f t="shared" si="29"/>
        <v>48000</v>
      </c>
      <c r="AK18" s="43">
        <f t="shared" si="30"/>
        <v>0.23076923076923078</v>
      </c>
      <c r="AL18" s="4">
        <f t="shared" si="31"/>
        <v>0.92307692307692313</v>
      </c>
      <c r="AM18" s="253">
        <f t="shared" si="1"/>
        <v>-5.9209375000000009</v>
      </c>
      <c r="AN18" s="108">
        <f t="shared" si="1"/>
        <v>6.6467499999999999</v>
      </c>
      <c r="AO18" s="195">
        <f t="shared" si="32"/>
        <v>1.4808622131025213</v>
      </c>
      <c r="AP18" s="253">
        <f t="shared" si="33"/>
        <v>0.5818181818181819</v>
      </c>
      <c r="AQ18" s="157">
        <f t="shared" si="34"/>
        <v>-3.0545454545454551</v>
      </c>
      <c r="AR18" s="111">
        <f t="shared" si="35"/>
        <v>0.5818181818181819</v>
      </c>
      <c r="AS18" s="111">
        <f t="shared" si="36"/>
        <v>-3.3454545454545461</v>
      </c>
      <c r="AT18" s="102">
        <f t="shared" si="37"/>
        <v>1.5611391386540865</v>
      </c>
      <c r="AU18" s="253">
        <f t="shared" si="38"/>
        <v>-14.938095993138896</v>
      </c>
      <c r="AV18" s="108">
        <f t="shared" si="39"/>
        <v>15.251776538444769</v>
      </c>
      <c r="AW18" s="79">
        <f t="shared" si="40"/>
        <v>-1.6812385672986219</v>
      </c>
      <c r="AX18" s="105">
        <f t="shared" si="41"/>
        <v>1.6282743116664014</v>
      </c>
      <c r="AY18" s="253">
        <f t="shared" si="42"/>
        <v>-34.233136650943294</v>
      </c>
      <c r="AZ18" s="108">
        <f t="shared" si="43"/>
        <v>34.951987900602589</v>
      </c>
      <c r="BA18" s="155"/>
      <c r="BB18" s="55">
        <f t="shared" si="2"/>
        <v>8.25</v>
      </c>
      <c r="BC18" s="165">
        <f t="shared" si="2"/>
        <v>8</v>
      </c>
      <c r="BD18" s="169" t="str">
        <f t="shared" si="44"/>
        <v>#4 @ 5.5</v>
      </c>
      <c r="BE18" s="87">
        <f t="shared" si="45"/>
        <v>0.84693669246814252</v>
      </c>
      <c r="BF18" s="129">
        <f t="shared" si="46"/>
        <v>1.9197231695944564E-2</v>
      </c>
      <c r="BG18" s="191">
        <f t="shared" si="47"/>
        <v>2.5</v>
      </c>
      <c r="BH18" s="22">
        <f t="shared" si="48"/>
        <v>34.233136650943294</v>
      </c>
      <c r="BI18" s="55">
        <f t="shared" si="3"/>
        <v>8</v>
      </c>
      <c r="BJ18" s="87">
        <f t="shared" si="49"/>
        <v>1.6493506493506493</v>
      </c>
      <c r="BK18" s="69">
        <f t="shared" si="50"/>
        <v>5.5</v>
      </c>
      <c r="BM18" s="87">
        <f t="shared" si="51"/>
        <v>0.62913578221084654</v>
      </c>
      <c r="BN18" s="129">
        <f t="shared" si="52"/>
        <v>1.4260411063445855E-2</v>
      </c>
      <c r="BO18" s="43">
        <f t="shared" si="53"/>
        <v>1.75</v>
      </c>
      <c r="BP18" s="22">
        <f t="shared" si="54"/>
        <v>34.951987900602589</v>
      </c>
      <c r="BQ18" s="87">
        <f t="shared" si="55"/>
        <v>1.4</v>
      </c>
      <c r="BR18" s="131">
        <f t="shared" si="56"/>
        <v>5.5</v>
      </c>
      <c r="BT18" s="1"/>
      <c r="BU18" s="1"/>
      <c r="BV18" s="156"/>
      <c r="BW18" s="156"/>
      <c r="BX18" s="156"/>
      <c r="BY18" s="156"/>
      <c r="BZ18" s="156"/>
    </row>
    <row r="19" spans="1:78" x14ac:dyDescent="0.2">
      <c r="A19" s="2">
        <v>8.5</v>
      </c>
      <c r="B19" s="221">
        <v>8</v>
      </c>
      <c r="C19" s="43">
        <f t="shared" si="9"/>
        <v>9.9999999999999992E-2</v>
      </c>
      <c r="D19" s="253">
        <f t="shared" si="10"/>
        <v>-0.72250000000000003</v>
      </c>
      <c r="E19" s="99">
        <f t="shared" si="11"/>
        <v>0.57799999999999996</v>
      </c>
      <c r="F19" s="253">
        <f t="shared" si="12"/>
        <v>-0.36125000000000007</v>
      </c>
      <c r="G19" s="108">
        <f t="shared" si="13"/>
        <v>0.28899999999999998</v>
      </c>
      <c r="H19" s="253">
        <v>-4.9800000000000004</v>
      </c>
      <c r="I19" s="99">
        <v>5.99</v>
      </c>
      <c r="J19" s="253">
        <f t="shared" si="14"/>
        <v>-6.0637500000000006</v>
      </c>
      <c r="K19" s="111">
        <f t="shared" si="14"/>
        <v>6.8570000000000002</v>
      </c>
      <c r="L19" s="297">
        <v>4</v>
      </c>
      <c r="M19" s="236">
        <v>5.5</v>
      </c>
      <c r="N19" s="297">
        <v>0.2</v>
      </c>
      <c r="O19" s="269">
        <v>0.5</v>
      </c>
      <c r="P19" s="43">
        <f t="shared" si="15"/>
        <v>0.43636363636363645</v>
      </c>
      <c r="Q19" s="195">
        <f t="shared" si="16"/>
        <v>5.25</v>
      </c>
      <c r="R19" s="197">
        <f t="shared" si="58"/>
        <v>5.75</v>
      </c>
      <c r="S19" s="253">
        <f t="shared" si="18"/>
        <v>-34.409374999999997</v>
      </c>
      <c r="T19" s="99">
        <f t="shared" si="19"/>
        <v>35.52721014492753</v>
      </c>
      <c r="U19" s="131">
        <v>2</v>
      </c>
      <c r="V19" s="69">
        <v>1.5</v>
      </c>
      <c r="W19" s="23">
        <f t="shared" si="20"/>
        <v>2.1818181818181817</v>
      </c>
      <c r="X19" s="201">
        <f t="shared" si="21"/>
        <v>22</v>
      </c>
      <c r="Y19" s="24">
        <f t="shared" si="22"/>
        <v>16.5</v>
      </c>
      <c r="Z19" s="3">
        <v>130</v>
      </c>
      <c r="AA19" s="87">
        <f t="shared" si="23"/>
        <v>36.870040192552679</v>
      </c>
      <c r="AB19" s="63">
        <f t="shared" si="24"/>
        <v>44.656307494224144</v>
      </c>
      <c r="AC19" s="24">
        <f t="shared" si="25"/>
        <v>48</v>
      </c>
      <c r="AE19" s="2">
        <f t="shared" si="26"/>
        <v>8.5</v>
      </c>
      <c r="AF19" s="55">
        <f t="shared" si="0"/>
        <v>8</v>
      </c>
      <c r="AG19" s="169" t="str">
        <f t="shared" si="27"/>
        <v>#4 @ 5.5</v>
      </c>
      <c r="AH19" s="55">
        <v>8</v>
      </c>
      <c r="AI19" s="55">
        <f t="shared" si="28"/>
        <v>1800</v>
      </c>
      <c r="AJ19" s="47">
        <f t="shared" si="29"/>
        <v>48000</v>
      </c>
      <c r="AK19" s="43">
        <f t="shared" si="30"/>
        <v>0.23076923076923078</v>
      </c>
      <c r="AL19" s="4">
        <f t="shared" si="31"/>
        <v>0.92307692307692313</v>
      </c>
      <c r="AM19" s="253">
        <f t="shared" si="1"/>
        <v>-6.0637500000000006</v>
      </c>
      <c r="AN19" s="108">
        <f t="shared" si="1"/>
        <v>6.8570000000000002</v>
      </c>
      <c r="AO19" s="195">
        <f t="shared" si="32"/>
        <v>1.4808622131025213</v>
      </c>
      <c r="AP19" s="253">
        <f t="shared" si="33"/>
        <v>0.5818181818181819</v>
      </c>
      <c r="AQ19" s="157">
        <f t="shared" si="34"/>
        <v>-3.0545454545454551</v>
      </c>
      <c r="AR19" s="111">
        <f t="shared" si="35"/>
        <v>0.5818181818181819</v>
      </c>
      <c r="AS19" s="111">
        <f t="shared" si="36"/>
        <v>-3.3454545454545461</v>
      </c>
      <c r="AT19" s="102">
        <f t="shared" si="37"/>
        <v>1.5611391386540865</v>
      </c>
      <c r="AU19" s="253">
        <f t="shared" si="38"/>
        <v>-15.298401575493068</v>
      </c>
      <c r="AV19" s="108">
        <f t="shared" si="39"/>
        <v>15.734220743087342</v>
      </c>
      <c r="AW19" s="79">
        <f t="shared" si="40"/>
        <v>-1.721789896018497</v>
      </c>
      <c r="AX19" s="105">
        <f t="shared" si="41"/>
        <v>1.6797798856729251</v>
      </c>
      <c r="AY19" s="253">
        <f t="shared" si="42"/>
        <v>-35.058836943838273</v>
      </c>
      <c r="AZ19" s="108">
        <f t="shared" si="43"/>
        <v>36.057589202908481</v>
      </c>
      <c r="BA19" s="155"/>
      <c r="BB19" s="55">
        <f t="shared" si="2"/>
        <v>8.5</v>
      </c>
      <c r="BC19" s="165">
        <f t="shared" si="2"/>
        <v>8</v>
      </c>
      <c r="BD19" s="169" t="str">
        <f t="shared" si="44"/>
        <v>#4 @ 5.5</v>
      </c>
      <c r="BE19" s="87">
        <f t="shared" si="45"/>
        <v>0.86736473218197296</v>
      </c>
      <c r="BF19" s="129">
        <f t="shared" si="46"/>
        <v>1.9660267262791388E-2</v>
      </c>
      <c r="BG19" s="191">
        <f t="shared" si="47"/>
        <v>2.5</v>
      </c>
      <c r="BH19" s="22">
        <f t="shared" si="48"/>
        <v>35.058836943838273</v>
      </c>
      <c r="BI19" s="55">
        <f t="shared" si="3"/>
        <v>8</v>
      </c>
      <c r="BJ19" s="87">
        <f t="shared" si="49"/>
        <v>1.6493506493506493</v>
      </c>
      <c r="BK19" s="69">
        <f t="shared" si="50"/>
        <v>5.5</v>
      </c>
      <c r="BM19" s="87">
        <f t="shared" si="51"/>
        <v>0.64903660565235266</v>
      </c>
      <c r="BN19" s="129">
        <f t="shared" si="52"/>
        <v>1.4711496394786661E-2</v>
      </c>
      <c r="BO19" s="43">
        <f t="shared" si="53"/>
        <v>1.75</v>
      </c>
      <c r="BP19" s="22">
        <f t="shared" si="54"/>
        <v>36.057589202908481</v>
      </c>
      <c r="BQ19" s="87">
        <f t="shared" si="55"/>
        <v>1.4</v>
      </c>
      <c r="BR19" s="131">
        <f t="shared" si="56"/>
        <v>5.5</v>
      </c>
      <c r="BT19" s="1"/>
      <c r="BU19" s="1"/>
      <c r="BV19" s="156"/>
      <c r="BW19" s="156"/>
      <c r="BX19" s="156"/>
      <c r="BY19" s="156"/>
      <c r="BZ19" s="156"/>
    </row>
    <row r="20" spans="1:78" x14ac:dyDescent="0.2">
      <c r="A20" s="8">
        <v>8.75</v>
      </c>
      <c r="B20" s="222">
        <v>8</v>
      </c>
      <c r="C20" s="44">
        <f t="shared" si="9"/>
        <v>9.9999999999999992E-2</v>
      </c>
      <c r="D20" s="61">
        <f t="shared" si="10"/>
        <v>-0.765625</v>
      </c>
      <c r="E20" s="101">
        <f t="shared" si="11"/>
        <v>0.61250000000000004</v>
      </c>
      <c r="F20" s="61">
        <f t="shared" si="12"/>
        <v>-0.38281250000000006</v>
      </c>
      <c r="G20" s="110">
        <f t="shared" si="13"/>
        <v>0.30625000000000002</v>
      </c>
      <c r="H20" s="61">
        <v>-5.0599999999999996</v>
      </c>
      <c r="I20" s="101">
        <v>6.14</v>
      </c>
      <c r="J20" s="61">
        <f t="shared" si="14"/>
        <v>-6.2084374999999996</v>
      </c>
      <c r="K20" s="113">
        <f t="shared" si="14"/>
        <v>7.0587499999999999</v>
      </c>
      <c r="L20" s="238">
        <v>4</v>
      </c>
      <c r="M20" s="238">
        <v>5.5</v>
      </c>
      <c r="N20" s="298">
        <v>0.2</v>
      </c>
      <c r="O20" s="286">
        <v>0.5</v>
      </c>
      <c r="P20" s="44">
        <f t="shared" si="15"/>
        <v>0.43636363636363645</v>
      </c>
      <c r="Q20" s="257">
        <f t="shared" si="16"/>
        <v>5.25</v>
      </c>
      <c r="R20" s="254">
        <f t="shared" si="58"/>
        <v>5.75</v>
      </c>
      <c r="S20" s="61">
        <f t="shared" si="18"/>
        <v>-35.230419146825383</v>
      </c>
      <c r="T20" s="110">
        <f t="shared" si="19"/>
        <v>36.572509057971004</v>
      </c>
      <c r="U20" s="132">
        <v>2</v>
      </c>
      <c r="V20" s="73">
        <v>1.5</v>
      </c>
      <c r="W20" s="132">
        <f t="shared" si="20"/>
        <v>2.1818181818181817</v>
      </c>
      <c r="X20" s="245">
        <f t="shared" si="21"/>
        <v>22</v>
      </c>
      <c r="Y20" s="26">
        <f t="shared" si="22"/>
        <v>16.5</v>
      </c>
      <c r="Z20" s="9">
        <v>130</v>
      </c>
      <c r="AA20" s="89">
        <f t="shared" si="23"/>
        <v>36.870040192552679</v>
      </c>
      <c r="AB20" s="64">
        <f t="shared" si="24"/>
        <v>44.656307494224144</v>
      </c>
      <c r="AC20" s="245">
        <f t="shared" si="25"/>
        <v>48</v>
      </c>
      <c r="AE20" s="57">
        <f t="shared" si="26"/>
        <v>8.75</v>
      </c>
      <c r="AF20" s="57">
        <f t="shared" si="0"/>
        <v>8</v>
      </c>
      <c r="AG20" s="175" t="str">
        <f t="shared" si="27"/>
        <v>#4 @ 5.5</v>
      </c>
      <c r="AH20" s="57">
        <v>8</v>
      </c>
      <c r="AI20" s="57">
        <f t="shared" si="28"/>
        <v>1800</v>
      </c>
      <c r="AJ20" s="49">
        <f t="shared" si="29"/>
        <v>48000</v>
      </c>
      <c r="AK20" s="44">
        <f t="shared" si="30"/>
        <v>0.23076923076923078</v>
      </c>
      <c r="AL20" s="10">
        <f t="shared" si="31"/>
        <v>0.92307692307692313</v>
      </c>
      <c r="AM20" s="61">
        <f t="shared" si="1"/>
        <v>-6.2084374999999996</v>
      </c>
      <c r="AN20" s="110">
        <f t="shared" si="1"/>
        <v>7.0587499999999999</v>
      </c>
      <c r="AO20" s="257">
        <f t="shared" si="32"/>
        <v>1.4808622131025213</v>
      </c>
      <c r="AP20" s="61">
        <f t="shared" si="33"/>
        <v>0.5818181818181819</v>
      </c>
      <c r="AQ20" s="158">
        <f t="shared" si="34"/>
        <v>-3.0545454545454551</v>
      </c>
      <c r="AR20" s="113">
        <f t="shared" si="35"/>
        <v>0.5818181818181819</v>
      </c>
      <c r="AS20" s="113">
        <f t="shared" si="36"/>
        <v>-3.3454545454545461</v>
      </c>
      <c r="AT20" s="104">
        <f t="shared" si="37"/>
        <v>1.5611391386540865</v>
      </c>
      <c r="AU20" s="61">
        <f t="shared" si="38"/>
        <v>-15.663437646893462</v>
      </c>
      <c r="AV20" s="110">
        <f t="shared" si="39"/>
        <v>16.197160663594541</v>
      </c>
      <c r="AW20" s="81">
        <f t="shared" si="40"/>
        <v>-1.7628736273036216</v>
      </c>
      <c r="AX20" s="137">
        <f t="shared" si="41"/>
        <v>1.729203189148864</v>
      </c>
      <c r="AY20" s="61">
        <f t="shared" si="42"/>
        <v>-35.895377940797509</v>
      </c>
      <c r="AZ20" s="110">
        <f t="shared" si="43"/>
        <v>37.118493187404148</v>
      </c>
      <c r="BA20" s="155"/>
      <c r="BB20" s="57">
        <f t="shared" si="2"/>
        <v>8.75</v>
      </c>
      <c r="BC20" s="165">
        <f t="shared" si="2"/>
        <v>8</v>
      </c>
      <c r="BD20" s="175" t="str">
        <f t="shared" si="44"/>
        <v>#4 @ 5.5</v>
      </c>
      <c r="BE20" s="89">
        <f t="shared" si="45"/>
        <v>0.88806097373012027</v>
      </c>
      <c r="BF20" s="235">
        <f t="shared" si="46"/>
        <v>2.0129382071216062E-2</v>
      </c>
      <c r="BG20" s="234">
        <f t="shared" si="47"/>
        <v>2.5</v>
      </c>
      <c r="BH20" s="22">
        <f t="shared" si="48"/>
        <v>35.895377940797509</v>
      </c>
      <c r="BI20" s="55">
        <f t="shared" si="3"/>
        <v>8</v>
      </c>
      <c r="BJ20" s="87">
        <f t="shared" si="49"/>
        <v>1.6493506493506493</v>
      </c>
      <c r="BK20" s="132">
        <f t="shared" si="50"/>
        <v>5.5</v>
      </c>
      <c r="BM20" s="89">
        <f t="shared" si="51"/>
        <v>0.66813287737327465</v>
      </c>
      <c r="BN20" s="235">
        <f t="shared" si="52"/>
        <v>1.5144345220460894E-2</v>
      </c>
      <c r="BO20" s="44">
        <f t="shared" si="53"/>
        <v>1.75</v>
      </c>
      <c r="BP20" s="25">
        <f t="shared" si="54"/>
        <v>37.118493187404148</v>
      </c>
      <c r="BQ20" s="89">
        <f t="shared" si="55"/>
        <v>1.4</v>
      </c>
      <c r="BR20" s="132">
        <f t="shared" si="56"/>
        <v>5.5</v>
      </c>
      <c r="BT20" s="1"/>
      <c r="BU20" s="1"/>
      <c r="BV20" s="156"/>
      <c r="BW20" s="156"/>
      <c r="BX20" s="156"/>
      <c r="BY20" s="156"/>
      <c r="BZ20" s="156"/>
    </row>
    <row r="21" spans="1:78" x14ac:dyDescent="0.2">
      <c r="A21" s="2">
        <v>9</v>
      </c>
      <c r="B21" s="221">
        <v>8.25</v>
      </c>
      <c r="C21" s="43">
        <f t="shared" si="9"/>
        <v>0.10312499999999999</v>
      </c>
      <c r="D21" s="253">
        <f t="shared" si="10"/>
        <v>-0.83531250000000001</v>
      </c>
      <c r="E21" s="99">
        <f t="shared" si="11"/>
        <v>0.66825000000000001</v>
      </c>
      <c r="F21" s="253">
        <f t="shared" si="12"/>
        <v>-0.40500000000000008</v>
      </c>
      <c r="G21" s="108">
        <f t="shared" si="13"/>
        <v>0.32400000000000001</v>
      </c>
      <c r="H21" s="253">
        <v>-5.13</v>
      </c>
      <c r="I21" s="99">
        <v>6.29</v>
      </c>
      <c r="J21" s="253">
        <f t="shared" si="14"/>
        <v>-6.3703124999999998</v>
      </c>
      <c r="K21" s="111">
        <f t="shared" si="14"/>
        <v>7.2822500000000003</v>
      </c>
      <c r="L21" s="297">
        <v>4</v>
      </c>
      <c r="M21" s="236">
        <v>5.5</v>
      </c>
      <c r="N21" s="297">
        <v>0.2</v>
      </c>
      <c r="O21" s="269">
        <v>0.5</v>
      </c>
      <c r="P21" s="43">
        <f t="shared" si="15"/>
        <v>0.43636363636363645</v>
      </c>
      <c r="Q21" s="195">
        <f t="shared" si="16"/>
        <v>5.5</v>
      </c>
      <c r="R21" s="197">
        <f t="shared" si="58"/>
        <v>6</v>
      </c>
      <c r="S21" s="253">
        <f t="shared" si="18"/>
        <v>-34.505859374999986</v>
      </c>
      <c r="T21" s="99">
        <f t="shared" si="19"/>
        <v>36.158394097222214</v>
      </c>
      <c r="U21" s="131">
        <v>2</v>
      </c>
      <c r="V21" s="69">
        <v>1.5</v>
      </c>
      <c r="W21" s="23">
        <f t="shared" si="20"/>
        <v>2.1818181818181817</v>
      </c>
      <c r="X21" s="201">
        <f t="shared" si="21"/>
        <v>22</v>
      </c>
      <c r="Y21" s="24">
        <f t="shared" si="22"/>
        <v>16.5</v>
      </c>
      <c r="Z21" s="3">
        <v>130</v>
      </c>
      <c r="AA21" s="87">
        <f t="shared" si="23"/>
        <v>36.870040192552679</v>
      </c>
      <c r="AB21" s="63">
        <f t="shared" si="24"/>
        <v>44.656307494224144</v>
      </c>
      <c r="AC21" s="24">
        <f t="shared" si="25"/>
        <v>48</v>
      </c>
      <c r="AE21" s="2">
        <f t="shared" si="26"/>
        <v>9</v>
      </c>
      <c r="AF21" s="55">
        <f t="shared" si="0"/>
        <v>8.25</v>
      </c>
      <c r="AG21" s="169" t="str">
        <f t="shared" si="27"/>
        <v>#4 @ 5.5</v>
      </c>
      <c r="AH21" s="55">
        <v>8</v>
      </c>
      <c r="AI21" s="55">
        <f t="shared" si="28"/>
        <v>1800</v>
      </c>
      <c r="AJ21" s="47">
        <f t="shared" si="29"/>
        <v>48000</v>
      </c>
      <c r="AK21" s="43">
        <f t="shared" si="30"/>
        <v>0.23076923076923078</v>
      </c>
      <c r="AL21" s="155">
        <f t="shared" si="31"/>
        <v>0.92307692307692313</v>
      </c>
      <c r="AM21" s="253">
        <f t="shared" si="1"/>
        <v>-6.3703124999999998</v>
      </c>
      <c r="AN21" s="108">
        <f t="shared" si="1"/>
        <v>7.2822500000000003</v>
      </c>
      <c r="AO21" s="195">
        <f t="shared" si="32"/>
        <v>1.5214452064548527</v>
      </c>
      <c r="AP21" s="253">
        <f t="shared" si="33"/>
        <v>0.5818181818181819</v>
      </c>
      <c r="AQ21" s="157">
        <f t="shared" si="34"/>
        <v>-3.2000000000000006</v>
      </c>
      <c r="AR21" s="111">
        <f t="shared" si="35"/>
        <v>0.5818181818181819</v>
      </c>
      <c r="AS21" s="111">
        <f t="shared" si="36"/>
        <v>-3.4909090909090916</v>
      </c>
      <c r="AT21" s="102">
        <f t="shared" si="37"/>
        <v>1.6</v>
      </c>
      <c r="AU21" s="253">
        <f t="shared" si="38"/>
        <v>-15.310639321413566</v>
      </c>
      <c r="AV21" s="108">
        <f t="shared" si="39"/>
        <v>15.985426829268292</v>
      </c>
      <c r="AW21" s="136">
        <f t="shared" si="40"/>
        <v>-1.6772034966553466</v>
      </c>
      <c r="AX21" s="118">
        <f t="shared" si="41"/>
        <v>1.6651486280487802</v>
      </c>
      <c r="AY21" s="253">
        <f t="shared" si="42"/>
        <v>-35.086881778239423</v>
      </c>
      <c r="AZ21" s="108">
        <f t="shared" si="43"/>
        <v>36.633269817073163</v>
      </c>
      <c r="BA21" s="155"/>
      <c r="BB21" s="2">
        <f t="shared" si="2"/>
        <v>9</v>
      </c>
      <c r="BC21" s="119">
        <f t="shared" si="2"/>
        <v>8.25</v>
      </c>
      <c r="BD21" s="169" t="str">
        <f t="shared" si="44"/>
        <v>#4 @ 5.5</v>
      </c>
      <c r="BE21" s="66">
        <f t="shared" si="45"/>
        <v>0.85319964075656729</v>
      </c>
      <c r="BF21" s="129">
        <f t="shared" si="46"/>
        <v>1.9339191857148861E-2</v>
      </c>
      <c r="BG21" s="191">
        <f t="shared" si="47"/>
        <v>2.5</v>
      </c>
      <c r="BH21" s="27">
        <f t="shared" si="48"/>
        <v>35.086881778239423</v>
      </c>
      <c r="BI21" s="56">
        <f t="shared" si="3"/>
        <v>8.25</v>
      </c>
      <c r="BJ21" s="88">
        <f t="shared" si="49"/>
        <v>1.6211180124223603</v>
      </c>
      <c r="BK21" s="69">
        <f t="shared" si="50"/>
        <v>5.5</v>
      </c>
      <c r="BM21" s="66">
        <f t="shared" si="51"/>
        <v>0.6521527154248189</v>
      </c>
      <c r="BN21" s="129">
        <f t="shared" si="52"/>
        <v>1.4782128216295896E-2</v>
      </c>
      <c r="BO21" s="43">
        <f t="shared" si="53"/>
        <v>1.75</v>
      </c>
      <c r="BP21" s="22">
        <f t="shared" si="54"/>
        <v>36.633269817073163</v>
      </c>
      <c r="BQ21" s="87">
        <f t="shared" si="55"/>
        <v>1.3846153846153846</v>
      </c>
      <c r="BR21" s="69">
        <f t="shared" si="56"/>
        <v>5.5</v>
      </c>
      <c r="BT21" s="1"/>
      <c r="BU21" s="1"/>
      <c r="BV21" s="156"/>
      <c r="BW21" s="156"/>
      <c r="BX21" s="156"/>
      <c r="BY21" s="156"/>
      <c r="BZ21" s="156"/>
    </row>
    <row r="22" spans="1:78" x14ac:dyDescent="0.2">
      <c r="A22" s="2">
        <v>9.25</v>
      </c>
      <c r="B22" s="221">
        <v>8.25</v>
      </c>
      <c r="C22" s="43">
        <f t="shared" si="9"/>
        <v>0.10312499999999999</v>
      </c>
      <c r="D22" s="253">
        <f t="shared" si="10"/>
        <v>-0.88236328125000008</v>
      </c>
      <c r="E22" s="99">
        <f t="shared" si="11"/>
        <v>0.70589062499999999</v>
      </c>
      <c r="F22" s="253">
        <f t="shared" si="12"/>
        <v>-0.4278125000000001</v>
      </c>
      <c r="G22" s="108">
        <f t="shared" si="13"/>
        <v>0.34225</v>
      </c>
      <c r="H22" s="253">
        <v>-5.19</v>
      </c>
      <c r="I22" s="99">
        <v>6.44</v>
      </c>
      <c r="J22" s="253">
        <f t="shared" si="14"/>
        <v>-6.5001757812500003</v>
      </c>
      <c r="K22" s="111">
        <f t="shared" si="14"/>
        <v>7.4881406250000007</v>
      </c>
      <c r="L22" s="297">
        <v>4</v>
      </c>
      <c r="M22" s="236">
        <v>5.5</v>
      </c>
      <c r="N22" s="297">
        <v>0.2</v>
      </c>
      <c r="O22" s="269">
        <v>0.5</v>
      </c>
      <c r="P22" s="43">
        <f t="shared" si="15"/>
        <v>0.43636363636363645</v>
      </c>
      <c r="Q22" s="195">
        <f t="shared" si="16"/>
        <v>5.5</v>
      </c>
      <c r="R22" s="197">
        <f t="shared" si="58"/>
        <v>6</v>
      </c>
      <c r="S22" s="253">
        <f t="shared" si="18"/>
        <v>-35.209285481770827</v>
      </c>
      <c r="T22" s="99">
        <f t="shared" si="19"/>
        <v>37.180698242187496</v>
      </c>
      <c r="U22" s="131">
        <v>2</v>
      </c>
      <c r="V22" s="69">
        <v>1.5</v>
      </c>
      <c r="W22" s="23">
        <f t="shared" si="20"/>
        <v>2.1818181818181817</v>
      </c>
      <c r="X22" s="201">
        <f t="shared" si="21"/>
        <v>22</v>
      </c>
      <c r="Y22" s="24">
        <f t="shared" si="22"/>
        <v>16.5</v>
      </c>
      <c r="Z22" s="3">
        <v>130</v>
      </c>
      <c r="AA22" s="87">
        <f t="shared" si="23"/>
        <v>36.870040192552679</v>
      </c>
      <c r="AB22" s="63">
        <f t="shared" si="24"/>
        <v>44.656307494224144</v>
      </c>
      <c r="AC22" s="24">
        <f t="shared" si="25"/>
        <v>48</v>
      </c>
      <c r="AE22" s="2">
        <f t="shared" si="26"/>
        <v>9.25</v>
      </c>
      <c r="AF22" s="55">
        <f t="shared" si="0"/>
        <v>8.25</v>
      </c>
      <c r="AG22" s="169" t="str">
        <f t="shared" si="27"/>
        <v>#4 @ 5.5</v>
      </c>
      <c r="AH22" s="55">
        <v>8</v>
      </c>
      <c r="AI22" s="55">
        <f t="shared" si="28"/>
        <v>1800</v>
      </c>
      <c r="AJ22" s="47">
        <f t="shared" si="29"/>
        <v>48000</v>
      </c>
      <c r="AK22" s="43">
        <f t="shared" si="30"/>
        <v>0.23076923076923078</v>
      </c>
      <c r="AL22" s="155">
        <f t="shared" si="31"/>
        <v>0.92307692307692313</v>
      </c>
      <c r="AM22" s="253">
        <f t="shared" si="1"/>
        <v>-6.5001757812500003</v>
      </c>
      <c r="AN22" s="108">
        <f t="shared" si="1"/>
        <v>7.4881406250000007</v>
      </c>
      <c r="AO22" s="195">
        <f t="shared" si="32"/>
        <v>1.5214452064548527</v>
      </c>
      <c r="AP22" s="253">
        <f t="shared" si="33"/>
        <v>0.5818181818181819</v>
      </c>
      <c r="AQ22" s="157">
        <f t="shared" si="34"/>
        <v>-3.2000000000000006</v>
      </c>
      <c r="AR22" s="111">
        <f t="shared" si="35"/>
        <v>0.5818181818181819</v>
      </c>
      <c r="AS22" s="111">
        <f t="shared" si="36"/>
        <v>-3.4909090909090916</v>
      </c>
      <c r="AT22" s="102">
        <f t="shared" si="37"/>
        <v>1.6</v>
      </c>
      <c r="AU22" s="253">
        <f t="shared" si="38"/>
        <v>-15.622757425559014</v>
      </c>
      <c r="AV22" s="108">
        <f t="shared" si="39"/>
        <v>16.437381859756098</v>
      </c>
      <c r="AW22" s="136">
        <f t="shared" si="40"/>
        <v>-1.7113944644296335</v>
      </c>
      <c r="AX22" s="118">
        <f t="shared" si="41"/>
        <v>1.7122272770579265</v>
      </c>
      <c r="AY22" s="253">
        <f t="shared" si="42"/>
        <v>-35.802152433572743</v>
      </c>
      <c r="AZ22" s="108">
        <f t="shared" si="43"/>
        <v>37.669000095274384</v>
      </c>
      <c r="BA22" s="155"/>
      <c r="BB22" s="2">
        <f t="shared" si="2"/>
        <v>9.25</v>
      </c>
      <c r="BC22" s="162">
        <f t="shared" si="2"/>
        <v>8.25</v>
      </c>
      <c r="BD22" s="169" t="str">
        <f t="shared" si="44"/>
        <v>#4 @ 5.5</v>
      </c>
      <c r="BE22" s="66">
        <f t="shared" si="45"/>
        <v>0.87059271290333717</v>
      </c>
      <c r="BF22" s="129">
        <f t="shared" si="46"/>
        <v>1.9733434825808978E-2</v>
      </c>
      <c r="BG22" s="191">
        <f t="shared" si="47"/>
        <v>2.5</v>
      </c>
      <c r="BH22" s="22">
        <f t="shared" si="48"/>
        <v>35.802152433572743</v>
      </c>
      <c r="BI22" s="55">
        <f t="shared" si="3"/>
        <v>8.25</v>
      </c>
      <c r="BJ22" s="87">
        <f t="shared" si="49"/>
        <v>1.6211180124223603</v>
      </c>
      <c r="BK22" s="69">
        <f t="shared" si="50"/>
        <v>5.5</v>
      </c>
      <c r="BM22" s="66">
        <f t="shared" si="51"/>
        <v>0.67059099070708239</v>
      </c>
      <c r="BN22" s="129">
        <f t="shared" si="52"/>
        <v>1.5200062456027202E-2</v>
      </c>
      <c r="BO22" s="43">
        <f t="shared" si="53"/>
        <v>1.75</v>
      </c>
      <c r="BP22" s="22">
        <f t="shared" si="54"/>
        <v>37.669000095274384</v>
      </c>
      <c r="BQ22" s="87">
        <f t="shared" si="55"/>
        <v>1.3846153846153846</v>
      </c>
      <c r="BR22" s="69">
        <f t="shared" si="56"/>
        <v>5.5</v>
      </c>
      <c r="BT22" s="1"/>
      <c r="BU22" s="1"/>
      <c r="BV22" s="156"/>
      <c r="BW22" s="156"/>
      <c r="BX22" s="156"/>
      <c r="BY22" s="156"/>
      <c r="BZ22" s="156"/>
    </row>
    <row r="23" spans="1:78" x14ac:dyDescent="0.2">
      <c r="A23" s="2">
        <v>9.5</v>
      </c>
      <c r="B23" s="221">
        <v>8.5</v>
      </c>
      <c r="C23" s="43">
        <f t="shared" si="9"/>
        <v>0.10625</v>
      </c>
      <c r="D23" s="253">
        <f t="shared" si="10"/>
        <v>-0.95890625000000007</v>
      </c>
      <c r="E23" s="99">
        <f t="shared" si="11"/>
        <v>0.76712500000000006</v>
      </c>
      <c r="F23" s="253">
        <f t="shared" si="12"/>
        <v>-0.4512500000000001</v>
      </c>
      <c r="G23" s="108">
        <f t="shared" si="13"/>
        <v>0.36099999999999999</v>
      </c>
      <c r="H23" s="253">
        <v>-5.46</v>
      </c>
      <c r="I23" s="99">
        <v>6.59</v>
      </c>
      <c r="J23" s="253">
        <f t="shared" si="14"/>
        <v>-6.87015625</v>
      </c>
      <c r="K23" s="111">
        <f t="shared" si="14"/>
        <v>7.7181249999999997</v>
      </c>
      <c r="L23" s="297">
        <v>4</v>
      </c>
      <c r="M23" s="236">
        <v>5.5</v>
      </c>
      <c r="N23" s="297">
        <v>0.2</v>
      </c>
      <c r="O23" s="269">
        <v>0.5</v>
      </c>
      <c r="P23" s="43">
        <f t="shared" si="15"/>
        <v>0.43636363636363645</v>
      </c>
      <c r="Q23" s="195">
        <f t="shared" si="16"/>
        <v>5.75</v>
      </c>
      <c r="R23" s="197">
        <f t="shared" si="58"/>
        <v>6.25</v>
      </c>
      <c r="S23" s="253">
        <f t="shared" si="18"/>
        <v>-35.595374773550716</v>
      </c>
      <c r="T23" s="99">
        <f t="shared" si="19"/>
        <v>36.78972916666666</v>
      </c>
      <c r="U23" s="131">
        <v>2</v>
      </c>
      <c r="V23" s="69">
        <v>1.5</v>
      </c>
      <c r="W23" s="23">
        <f t="shared" si="20"/>
        <v>2.1818181818181817</v>
      </c>
      <c r="X23" s="201">
        <f t="shared" si="21"/>
        <v>22</v>
      </c>
      <c r="Y23" s="24">
        <f t="shared" si="22"/>
        <v>16.5</v>
      </c>
      <c r="Z23" s="3">
        <v>130</v>
      </c>
      <c r="AA23" s="87">
        <f t="shared" si="23"/>
        <v>36.870040192552679</v>
      </c>
      <c r="AB23" s="63">
        <f t="shared" si="24"/>
        <v>44.656307494224144</v>
      </c>
      <c r="AC23" s="24">
        <f t="shared" si="25"/>
        <v>48</v>
      </c>
      <c r="AE23" s="2">
        <f t="shared" si="26"/>
        <v>9.5</v>
      </c>
      <c r="AF23" s="55">
        <f t="shared" si="0"/>
        <v>8.5</v>
      </c>
      <c r="AG23" s="169" t="str">
        <f t="shared" si="27"/>
        <v>#4 @ 5.5</v>
      </c>
      <c r="AH23" s="55">
        <v>8</v>
      </c>
      <c r="AI23" s="55">
        <f t="shared" si="28"/>
        <v>1800</v>
      </c>
      <c r="AJ23" s="47">
        <f t="shared" si="29"/>
        <v>48000</v>
      </c>
      <c r="AK23" s="43">
        <f t="shared" si="30"/>
        <v>0.23076923076923078</v>
      </c>
      <c r="AL23" s="155">
        <f t="shared" si="31"/>
        <v>0.92307692307692313</v>
      </c>
      <c r="AM23" s="253">
        <f t="shared" si="1"/>
        <v>-6.87015625</v>
      </c>
      <c r="AN23" s="108">
        <f t="shared" si="1"/>
        <v>7.7181249999999997</v>
      </c>
      <c r="AO23" s="195">
        <f t="shared" si="32"/>
        <v>1.5611391386540865</v>
      </c>
      <c r="AP23" s="253">
        <f t="shared" si="33"/>
        <v>0.5818181818181819</v>
      </c>
      <c r="AQ23" s="157">
        <f t="shared" si="34"/>
        <v>-3.3454545454545461</v>
      </c>
      <c r="AR23" s="111">
        <f t="shared" si="35"/>
        <v>0.5818181818181819</v>
      </c>
      <c r="AS23" s="111">
        <f t="shared" si="36"/>
        <v>-3.6363636363636371</v>
      </c>
      <c r="AT23" s="102">
        <f t="shared" si="37"/>
        <v>1.6380781396181592</v>
      </c>
      <c r="AU23" s="253">
        <f t="shared" si="38"/>
        <v>-15.764409359340984</v>
      </c>
      <c r="AV23" s="108">
        <f t="shared" si="39"/>
        <v>16.237363767029255</v>
      </c>
      <c r="AW23" s="136">
        <f t="shared" si="40"/>
        <v>-1.6830028117515139</v>
      </c>
      <c r="AX23" s="118">
        <f t="shared" si="41"/>
        <v>1.6520746044115484</v>
      </c>
      <c r="AY23" s="253">
        <f t="shared" si="42"/>
        <v>-36.126771448489748</v>
      </c>
      <c r="AZ23" s="108">
        <f t="shared" si="43"/>
        <v>37.210625299442036</v>
      </c>
      <c r="BA23" s="155"/>
      <c r="BB23" s="2">
        <f t="shared" si="2"/>
        <v>9.5</v>
      </c>
      <c r="BC23" s="162">
        <f t="shared" si="2"/>
        <v>8.5</v>
      </c>
      <c r="BD23" s="169" t="str">
        <f t="shared" si="44"/>
        <v>#4 @ 5.5</v>
      </c>
      <c r="BE23" s="66">
        <f t="shared" si="45"/>
        <v>0.86446203108886188</v>
      </c>
      <c r="BF23" s="129">
        <f t="shared" si="46"/>
        <v>1.9594472704680871E-2</v>
      </c>
      <c r="BG23" s="191">
        <f t="shared" si="47"/>
        <v>2.5</v>
      </c>
      <c r="BH23" s="22">
        <f t="shared" si="48"/>
        <v>36.126771448489748</v>
      </c>
      <c r="BI23" s="55">
        <f t="shared" si="3"/>
        <v>8.5</v>
      </c>
      <c r="BJ23" s="87">
        <f t="shared" si="49"/>
        <v>1.5952380952380953</v>
      </c>
      <c r="BK23" s="69">
        <f t="shared" si="50"/>
        <v>5.5</v>
      </c>
      <c r="BM23" s="66">
        <f t="shared" si="51"/>
        <v>0.65561577908540736</v>
      </c>
      <c r="BN23" s="129">
        <f t="shared" si="52"/>
        <v>1.4860624325935901E-2</v>
      </c>
      <c r="BO23" s="43">
        <f t="shared" si="53"/>
        <v>1.75</v>
      </c>
      <c r="BP23" s="22">
        <f t="shared" si="54"/>
        <v>37.210625299442036</v>
      </c>
      <c r="BQ23" s="87">
        <f t="shared" si="55"/>
        <v>1.3703703703703705</v>
      </c>
      <c r="BR23" s="69">
        <f t="shared" si="56"/>
        <v>5.5</v>
      </c>
      <c r="BT23" s="1"/>
      <c r="BU23" s="1"/>
      <c r="BV23" s="156"/>
      <c r="BW23" s="156"/>
      <c r="BX23" s="156"/>
      <c r="BY23" s="156"/>
      <c r="BZ23" s="156"/>
    </row>
    <row r="24" spans="1:78" x14ac:dyDescent="0.2">
      <c r="A24" s="2">
        <v>9.75</v>
      </c>
      <c r="B24" s="222">
        <v>8.5</v>
      </c>
      <c r="C24" s="43">
        <f t="shared" si="9"/>
        <v>0.10625</v>
      </c>
      <c r="D24" s="253">
        <f t="shared" si="10"/>
        <v>-1.0100390625</v>
      </c>
      <c r="E24" s="99">
        <f t="shared" si="11"/>
        <v>0.80803125000000009</v>
      </c>
      <c r="F24" s="253">
        <f t="shared" si="12"/>
        <v>-0.47531250000000008</v>
      </c>
      <c r="G24" s="108">
        <f t="shared" si="13"/>
        <v>0.38025000000000003</v>
      </c>
      <c r="H24" s="253">
        <v>-5.8</v>
      </c>
      <c r="I24" s="99">
        <v>6.74</v>
      </c>
      <c r="J24" s="253">
        <f t="shared" si="14"/>
        <v>-7.2853515624999998</v>
      </c>
      <c r="K24" s="111">
        <f t="shared" si="14"/>
        <v>7.9282812500000004</v>
      </c>
      <c r="L24" s="238">
        <v>4</v>
      </c>
      <c r="M24" s="238">
        <v>5.5</v>
      </c>
      <c r="N24" s="298">
        <v>0.2</v>
      </c>
      <c r="O24" s="286">
        <v>0.5</v>
      </c>
      <c r="P24" s="44">
        <f t="shared" si="15"/>
        <v>0.43636363636363645</v>
      </c>
      <c r="Q24" s="257">
        <f t="shared" si="16"/>
        <v>5.75</v>
      </c>
      <c r="R24" s="254">
        <f t="shared" si="58"/>
        <v>6.25</v>
      </c>
      <c r="S24" s="61">
        <f t="shared" si="18"/>
        <v>-37.746567878170282</v>
      </c>
      <c r="T24" s="110">
        <f t="shared" si="19"/>
        <v>37.791473958333327</v>
      </c>
      <c r="U24" s="131">
        <v>2</v>
      </c>
      <c r="V24" s="69">
        <v>1.5</v>
      </c>
      <c r="W24" s="132">
        <f t="shared" si="20"/>
        <v>2.1818181818181817</v>
      </c>
      <c r="X24" s="201">
        <f t="shared" si="21"/>
        <v>22</v>
      </c>
      <c r="Y24" s="24">
        <f t="shared" si="22"/>
        <v>16.5</v>
      </c>
      <c r="Z24" s="3">
        <v>130</v>
      </c>
      <c r="AA24" s="87">
        <f t="shared" si="23"/>
        <v>36.870040192552679</v>
      </c>
      <c r="AB24" s="63">
        <f t="shared" si="24"/>
        <v>44.656307494224144</v>
      </c>
      <c r="AC24" s="245">
        <f t="shared" si="25"/>
        <v>48</v>
      </c>
      <c r="AE24" s="57">
        <f t="shared" si="26"/>
        <v>9.75</v>
      </c>
      <c r="AF24" s="55">
        <f t="shared" si="0"/>
        <v>8.5</v>
      </c>
      <c r="AG24" s="175" t="str">
        <f t="shared" si="27"/>
        <v>#4 @ 5.5</v>
      </c>
      <c r="AH24" s="55">
        <v>8</v>
      </c>
      <c r="AI24" s="57">
        <f t="shared" si="28"/>
        <v>1800</v>
      </c>
      <c r="AJ24" s="49">
        <f t="shared" si="29"/>
        <v>48000</v>
      </c>
      <c r="AK24" s="43">
        <f t="shared" si="30"/>
        <v>0.23076923076923078</v>
      </c>
      <c r="AL24" s="155">
        <f t="shared" si="31"/>
        <v>0.92307692307692313</v>
      </c>
      <c r="AM24" s="253">
        <f t="shared" si="1"/>
        <v>-7.2853515624999998</v>
      </c>
      <c r="AN24" s="108">
        <f t="shared" si="1"/>
        <v>7.9282812500000004</v>
      </c>
      <c r="AO24" s="195">
        <f t="shared" si="32"/>
        <v>1.5611391386540865</v>
      </c>
      <c r="AP24" s="253">
        <f t="shared" si="33"/>
        <v>0.5818181818181819</v>
      </c>
      <c r="AQ24" s="157">
        <f t="shared" si="34"/>
        <v>-3.3454545454545461</v>
      </c>
      <c r="AR24" s="111">
        <f t="shared" si="35"/>
        <v>0.5818181818181819</v>
      </c>
      <c r="AS24" s="111">
        <f t="shared" si="36"/>
        <v>-3.6363636363636371</v>
      </c>
      <c r="AT24" s="102">
        <f t="shared" si="37"/>
        <v>1.6380781396181592</v>
      </c>
      <c r="AU24" s="253">
        <f t="shared" si="38"/>
        <v>-16.717125517773262</v>
      </c>
      <c r="AV24" s="108">
        <f t="shared" si="39"/>
        <v>16.67948973404388</v>
      </c>
      <c r="AW24" s="82">
        <f t="shared" si="40"/>
        <v>-1.7847144545345361</v>
      </c>
      <c r="AX24" s="118">
        <f t="shared" si="41"/>
        <v>1.6970588206017976</v>
      </c>
      <c r="AY24" s="253">
        <f t="shared" si="42"/>
        <v>-38.310079311563712</v>
      </c>
      <c r="AZ24" s="108">
        <f t="shared" si="43"/>
        <v>38.223830640517221</v>
      </c>
      <c r="BA24" s="155"/>
      <c r="BB24" s="2">
        <f t="shared" si="2"/>
        <v>9.75</v>
      </c>
      <c r="BC24" s="120">
        <f t="shared" si="2"/>
        <v>8.5</v>
      </c>
      <c r="BD24" s="175" t="str">
        <f t="shared" si="44"/>
        <v>#4 @ 5.5</v>
      </c>
      <c r="BE24" s="66">
        <f t="shared" si="45"/>
        <v>0.91670546924098895</v>
      </c>
      <c r="BF24" s="235">
        <f t="shared" si="46"/>
        <v>2.0778657302795749E-2</v>
      </c>
      <c r="BG24" s="234">
        <f t="shared" si="47"/>
        <v>2.5</v>
      </c>
      <c r="BH24" s="25">
        <f t="shared" si="48"/>
        <v>38.310079311563712</v>
      </c>
      <c r="BI24" s="57">
        <f t="shared" si="3"/>
        <v>8.5</v>
      </c>
      <c r="BJ24" s="89">
        <f t="shared" si="49"/>
        <v>1.5952380952380953</v>
      </c>
      <c r="BK24" s="132">
        <f t="shared" si="50"/>
        <v>5.5</v>
      </c>
      <c r="BM24" s="66">
        <f t="shared" si="51"/>
        <v>0.67346749223768432</v>
      </c>
      <c r="BN24" s="235">
        <f t="shared" si="52"/>
        <v>1.5265263157387512E-2</v>
      </c>
      <c r="BO24" s="44">
        <f t="shared" si="53"/>
        <v>1.75</v>
      </c>
      <c r="BP24" s="22">
        <f t="shared" si="54"/>
        <v>38.223830640517221</v>
      </c>
      <c r="BQ24" s="87">
        <f t="shared" si="55"/>
        <v>1.3703703703703705</v>
      </c>
      <c r="BR24" s="69">
        <f t="shared" si="56"/>
        <v>5.5</v>
      </c>
      <c r="BT24" s="1"/>
      <c r="BU24" s="1"/>
      <c r="BV24" s="156"/>
      <c r="BW24" s="156"/>
      <c r="BX24" s="156"/>
      <c r="BY24" s="156"/>
      <c r="BZ24" s="156"/>
    </row>
    <row r="25" spans="1:78" x14ac:dyDescent="0.2">
      <c r="A25" s="17">
        <v>10</v>
      </c>
      <c r="B25" s="221">
        <v>8.75</v>
      </c>
      <c r="C25" s="42">
        <f t="shared" si="9"/>
        <v>0.10937499999999999</v>
      </c>
      <c r="D25" s="255">
        <f t="shared" si="10"/>
        <v>-1.09375</v>
      </c>
      <c r="E25" s="100">
        <f t="shared" si="11"/>
        <v>0.87499999999999989</v>
      </c>
      <c r="F25" s="255">
        <f t="shared" si="12"/>
        <v>-0.50000000000000011</v>
      </c>
      <c r="G25" s="109">
        <f t="shared" si="13"/>
        <v>0.4</v>
      </c>
      <c r="H25" s="255">
        <v>-6.13</v>
      </c>
      <c r="I25" s="100">
        <v>6.89</v>
      </c>
      <c r="J25" s="255">
        <f t="shared" si="14"/>
        <v>-7.7237499999999999</v>
      </c>
      <c r="K25" s="112">
        <f t="shared" si="14"/>
        <v>8.1649999999999991</v>
      </c>
      <c r="L25" s="297">
        <v>5</v>
      </c>
      <c r="M25" s="236">
        <v>6</v>
      </c>
      <c r="N25" s="297">
        <v>0.31</v>
      </c>
      <c r="O25" s="269">
        <v>0.625</v>
      </c>
      <c r="P25" s="43">
        <f t="shared" si="15"/>
        <v>0.62</v>
      </c>
      <c r="Q25" s="195">
        <f t="shared" si="16"/>
        <v>5.9375</v>
      </c>
      <c r="R25" s="197">
        <f t="shared" si="58"/>
        <v>6.4375</v>
      </c>
      <c r="S25" s="253">
        <f t="shared" si="18"/>
        <v>-27.275721561969441</v>
      </c>
      <c r="T25" s="99">
        <f t="shared" si="19"/>
        <v>26.594425305355461</v>
      </c>
      <c r="U25" s="130">
        <v>2</v>
      </c>
      <c r="V25" s="71">
        <v>1.5</v>
      </c>
      <c r="W25" s="23">
        <f t="shared" si="20"/>
        <v>2</v>
      </c>
      <c r="X25" s="244">
        <f t="shared" si="21"/>
        <v>24</v>
      </c>
      <c r="Y25" s="28">
        <f t="shared" si="22"/>
        <v>18</v>
      </c>
      <c r="Z25" s="18">
        <v>130</v>
      </c>
      <c r="AA25" s="88">
        <f t="shared" si="23"/>
        <v>35.817067077850069</v>
      </c>
      <c r="AB25" s="65">
        <f t="shared" si="24"/>
        <v>43.380966025982168</v>
      </c>
      <c r="AC25" s="24">
        <f t="shared" si="25"/>
        <v>48</v>
      </c>
      <c r="AE25" s="2">
        <f t="shared" si="26"/>
        <v>10</v>
      </c>
      <c r="AF25" s="56">
        <f t="shared" si="0"/>
        <v>8.75</v>
      </c>
      <c r="AG25" s="169" t="str">
        <f t="shared" si="27"/>
        <v>#5 @ 6</v>
      </c>
      <c r="AH25" s="56">
        <v>8</v>
      </c>
      <c r="AI25" s="55">
        <f t="shared" si="28"/>
        <v>1800</v>
      </c>
      <c r="AJ25" s="47">
        <f t="shared" si="29"/>
        <v>48000</v>
      </c>
      <c r="AK25" s="42">
        <f t="shared" si="30"/>
        <v>0.23076923076923078</v>
      </c>
      <c r="AL25" s="19">
        <f t="shared" si="31"/>
        <v>0.92307692307692313</v>
      </c>
      <c r="AM25" s="255">
        <f t="shared" si="1"/>
        <v>-7.7237499999999999</v>
      </c>
      <c r="AN25" s="109">
        <f t="shared" si="1"/>
        <v>8.1649999999999991</v>
      </c>
      <c r="AO25" s="256">
        <f t="shared" si="32"/>
        <v>1.8403697921421089</v>
      </c>
      <c r="AP25" s="255">
        <f t="shared" si="33"/>
        <v>0.82666666666666666</v>
      </c>
      <c r="AQ25" s="160">
        <f t="shared" si="34"/>
        <v>-4.9083333333333332</v>
      </c>
      <c r="AR25" s="112">
        <f t="shared" si="35"/>
        <v>0.82666666666666666</v>
      </c>
      <c r="AS25" s="112">
        <f t="shared" si="36"/>
        <v>-5.3216666666666663</v>
      </c>
      <c r="AT25" s="103">
        <f t="shared" si="37"/>
        <v>1.93027736623072</v>
      </c>
      <c r="AU25" s="255">
        <f t="shared" si="38"/>
        <v>-17.408761159685756</v>
      </c>
      <c r="AV25" s="109">
        <f t="shared" si="39"/>
        <v>16.910380576356708</v>
      </c>
      <c r="AW25" s="80">
        <f t="shared" si="40"/>
        <v>-1.5765636915305963</v>
      </c>
      <c r="AX25" s="106">
        <f t="shared" si="41"/>
        <v>1.4600993681180863</v>
      </c>
      <c r="AY25" s="255">
        <f t="shared" si="42"/>
        <v>-28.078647031751224</v>
      </c>
      <c r="AZ25" s="109">
        <f t="shared" si="43"/>
        <v>27.274807381220494</v>
      </c>
      <c r="BA25" s="155"/>
      <c r="BB25" s="56">
        <f t="shared" si="2"/>
        <v>10</v>
      </c>
      <c r="BC25" s="165">
        <f t="shared" si="2"/>
        <v>8.75</v>
      </c>
      <c r="BD25" s="169" t="str">
        <f t="shared" si="44"/>
        <v>#5 @ 6</v>
      </c>
      <c r="BE25" s="88">
        <f t="shared" si="45"/>
        <v>0.72754803351221287</v>
      </c>
      <c r="BF25" s="129">
        <f t="shared" si="46"/>
        <v>1.649108875961016E-2</v>
      </c>
      <c r="BG25" s="191">
        <f t="shared" si="47"/>
        <v>2.625</v>
      </c>
      <c r="BH25" s="22">
        <f t="shared" si="48"/>
        <v>28.078647031751224</v>
      </c>
      <c r="BI25" s="55">
        <f t="shared" si="3"/>
        <v>8.75</v>
      </c>
      <c r="BJ25" s="87">
        <f t="shared" si="49"/>
        <v>1.6122448979591837</v>
      </c>
      <c r="BK25" s="69">
        <f t="shared" si="50"/>
        <v>6</v>
      </c>
      <c r="BM25" s="88">
        <f t="shared" si="51"/>
        <v>0.51500066639862441</v>
      </c>
      <c r="BN25" s="129">
        <f t="shared" si="52"/>
        <v>1.167334843836882E-2</v>
      </c>
      <c r="BO25" s="43">
        <f t="shared" si="53"/>
        <v>1.8125</v>
      </c>
      <c r="BP25" s="27">
        <f t="shared" si="54"/>
        <v>27.274807381220494</v>
      </c>
      <c r="BQ25" s="88">
        <f t="shared" si="55"/>
        <v>1.3732303732303732</v>
      </c>
      <c r="BR25" s="130">
        <f t="shared" si="56"/>
        <v>6</v>
      </c>
      <c r="BT25" s="1"/>
      <c r="BU25" s="1"/>
      <c r="BV25" s="156"/>
      <c r="BW25" s="156"/>
      <c r="BX25" s="156"/>
      <c r="BY25" s="156"/>
      <c r="BZ25" s="156"/>
    </row>
    <row r="26" spans="1:78" x14ac:dyDescent="0.2">
      <c r="A26" s="2">
        <v>10.25</v>
      </c>
      <c r="B26" s="221">
        <v>8.75</v>
      </c>
      <c r="C26" s="43">
        <f t="shared" si="9"/>
        <v>0.10937499999999999</v>
      </c>
      <c r="D26" s="253">
        <f t="shared" si="10"/>
        <v>-1.1491210937499998</v>
      </c>
      <c r="E26" s="99">
        <f t="shared" si="11"/>
        <v>0.9192968749999999</v>
      </c>
      <c r="F26" s="253">
        <f t="shared" si="12"/>
        <v>-0.52531250000000007</v>
      </c>
      <c r="G26" s="108">
        <f t="shared" si="13"/>
        <v>0.42025000000000001</v>
      </c>
      <c r="H26" s="253">
        <v>-6.45</v>
      </c>
      <c r="I26" s="99">
        <v>7.03</v>
      </c>
      <c r="J26" s="253">
        <f t="shared" si="14"/>
        <v>-8.1244335937500001</v>
      </c>
      <c r="K26" s="111">
        <f t="shared" si="14"/>
        <v>8.3695468750000011</v>
      </c>
      <c r="L26" s="297">
        <v>5</v>
      </c>
      <c r="M26" s="236">
        <v>6</v>
      </c>
      <c r="N26" s="297">
        <v>0.31</v>
      </c>
      <c r="O26" s="269">
        <v>0.625</v>
      </c>
      <c r="P26" s="43">
        <f t="shared" si="15"/>
        <v>0.62</v>
      </c>
      <c r="Q26" s="195">
        <f t="shared" si="16"/>
        <v>5.9375</v>
      </c>
      <c r="R26" s="197">
        <f t="shared" si="58"/>
        <v>6.4375</v>
      </c>
      <c r="S26" s="253">
        <f t="shared" si="18"/>
        <v>-28.690699278438032</v>
      </c>
      <c r="T26" s="99">
        <f t="shared" si="19"/>
        <v>27.260660037582216</v>
      </c>
      <c r="U26" s="131">
        <v>2</v>
      </c>
      <c r="V26" s="69">
        <v>1.5</v>
      </c>
      <c r="W26" s="23">
        <f t="shared" si="20"/>
        <v>2</v>
      </c>
      <c r="X26" s="201">
        <f t="shared" si="21"/>
        <v>24</v>
      </c>
      <c r="Y26" s="24">
        <f t="shared" si="22"/>
        <v>18</v>
      </c>
      <c r="Z26" s="3">
        <v>130</v>
      </c>
      <c r="AA26" s="87">
        <f t="shared" si="23"/>
        <v>35.817067077850069</v>
      </c>
      <c r="AB26" s="63">
        <f t="shared" si="24"/>
        <v>43.380966025982168</v>
      </c>
      <c r="AC26" s="24">
        <f t="shared" si="25"/>
        <v>48</v>
      </c>
      <c r="AE26" s="2">
        <f t="shared" si="26"/>
        <v>10.25</v>
      </c>
      <c r="AF26" s="55">
        <f t="shared" si="0"/>
        <v>8.75</v>
      </c>
      <c r="AG26" s="169" t="str">
        <f t="shared" si="27"/>
        <v>#5 @ 6</v>
      </c>
      <c r="AH26" s="55">
        <v>8</v>
      </c>
      <c r="AI26" s="55">
        <f t="shared" si="28"/>
        <v>1800</v>
      </c>
      <c r="AJ26" s="47">
        <f t="shared" si="29"/>
        <v>48000</v>
      </c>
      <c r="AK26" s="43">
        <f t="shared" si="30"/>
        <v>0.23076923076923078</v>
      </c>
      <c r="AL26" s="4">
        <f t="shared" si="31"/>
        <v>0.92307692307692313</v>
      </c>
      <c r="AM26" s="253">
        <f t="shared" si="1"/>
        <v>-8.1244335937500001</v>
      </c>
      <c r="AN26" s="108">
        <f t="shared" si="1"/>
        <v>8.3695468750000011</v>
      </c>
      <c r="AO26" s="195">
        <f t="shared" si="32"/>
        <v>1.8403697921421089</v>
      </c>
      <c r="AP26" s="253">
        <f t="shared" si="33"/>
        <v>0.82666666666666666</v>
      </c>
      <c r="AQ26" s="157">
        <f t="shared" si="34"/>
        <v>-4.9083333333333332</v>
      </c>
      <c r="AR26" s="111">
        <f t="shared" si="35"/>
        <v>0.82666666666666666</v>
      </c>
      <c r="AS26" s="111">
        <f t="shared" si="36"/>
        <v>-5.3216666666666663</v>
      </c>
      <c r="AT26" s="102">
        <f t="shared" si="37"/>
        <v>1.93027736623072</v>
      </c>
      <c r="AU26" s="253">
        <f t="shared" si="38"/>
        <v>-18.311872340679226</v>
      </c>
      <c r="AV26" s="108">
        <f t="shared" si="39"/>
        <v>17.334013828280099</v>
      </c>
      <c r="AW26" s="79">
        <f t="shared" si="40"/>
        <v>-1.6583508034513921</v>
      </c>
      <c r="AX26" s="105">
        <f t="shared" si="41"/>
        <v>1.4966772937687942</v>
      </c>
      <c r="AY26" s="253">
        <f t="shared" si="42"/>
        <v>-29.53527796883747</v>
      </c>
      <c r="AZ26" s="108">
        <f t="shared" si="43"/>
        <v>27.95808681980661</v>
      </c>
      <c r="BA26" s="155"/>
      <c r="BB26" s="55">
        <f t="shared" si="2"/>
        <v>10.25</v>
      </c>
      <c r="BC26" s="165">
        <f t="shared" si="2"/>
        <v>8.75</v>
      </c>
      <c r="BD26" s="169" t="str">
        <f t="shared" si="44"/>
        <v>#5 @ 6</v>
      </c>
      <c r="BE26" s="87">
        <f t="shared" si="45"/>
        <v>0.76529091238496494</v>
      </c>
      <c r="BF26" s="129">
        <f t="shared" si="46"/>
        <v>1.7346594014059209E-2</v>
      </c>
      <c r="BG26" s="191">
        <f t="shared" si="47"/>
        <v>2.625</v>
      </c>
      <c r="BH26" s="22">
        <f t="shared" si="48"/>
        <v>29.53527796883747</v>
      </c>
      <c r="BI26" s="55">
        <f t="shared" si="3"/>
        <v>8.75</v>
      </c>
      <c r="BJ26" s="87">
        <f t="shared" si="49"/>
        <v>1.6122448979591837</v>
      </c>
      <c r="BK26" s="69">
        <f t="shared" si="50"/>
        <v>6</v>
      </c>
      <c r="BM26" s="87">
        <f t="shared" si="51"/>
        <v>0.52790229247759046</v>
      </c>
      <c r="BN26" s="129">
        <f t="shared" si="52"/>
        <v>1.1965785296158717E-2</v>
      </c>
      <c r="BO26" s="43">
        <f t="shared" si="53"/>
        <v>1.8125</v>
      </c>
      <c r="BP26" s="22">
        <f t="shared" si="54"/>
        <v>27.95808681980661</v>
      </c>
      <c r="BQ26" s="87">
        <f t="shared" si="55"/>
        <v>1.3732303732303732</v>
      </c>
      <c r="BR26" s="131">
        <f t="shared" si="56"/>
        <v>6</v>
      </c>
      <c r="BT26" s="1"/>
      <c r="BU26" s="1"/>
      <c r="BV26" s="156"/>
      <c r="BW26" s="156"/>
      <c r="BX26" s="156"/>
      <c r="BY26" s="156"/>
      <c r="BZ26" s="156"/>
    </row>
    <row r="27" spans="1:78" x14ac:dyDescent="0.2">
      <c r="A27" s="2">
        <v>10.5</v>
      </c>
      <c r="B27" s="221">
        <v>8.75</v>
      </c>
      <c r="C27" s="43">
        <f t="shared" si="9"/>
        <v>0.10937499999999999</v>
      </c>
      <c r="D27" s="253">
        <f t="shared" si="10"/>
        <v>-1.205859375</v>
      </c>
      <c r="E27" s="99">
        <f t="shared" si="11"/>
        <v>0.96468749999999992</v>
      </c>
      <c r="F27" s="253">
        <f t="shared" si="12"/>
        <v>-0.55125000000000013</v>
      </c>
      <c r="G27" s="108">
        <f t="shared" si="13"/>
        <v>0.441</v>
      </c>
      <c r="H27" s="253">
        <v>-6.77</v>
      </c>
      <c r="I27" s="99">
        <v>7.17</v>
      </c>
      <c r="J27" s="253">
        <f t="shared" si="14"/>
        <v>-8.5271093750000002</v>
      </c>
      <c r="K27" s="111">
        <f t="shared" si="14"/>
        <v>8.5756875000000008</v>
      </c>
      <c r="L27" s="297">
        <v>5</v>
      </c>
      <c r="M27" s="236">
        <v>6</v>
      </c>
      <c r="N27" s="297">
        <v>0.31</v>
      </c>
      <c r="O27" s="269">
        <v>0.625</v>
      </c>
      <c r="P27" s="43">
        <f t="shared" si="15"/>
        <v>0.62</v>
      </c>
      <c r="Q27" s="195">
        <f t="shared" si="16"/>
        <v>5.9375</v>
      </c>
      <c r="R27" s="197">
        <f t="shared" si="58"/>
        <v>6.4375</v>
      </c>
      <c r="S27" s="253">
        <f t="shared" si="18"/>
        <v>-30.112712224108659</v>
      </c>
      <c r="T27" s="99">
        <f t="shared" si="19"/>
        <v>27.932085812715318</v>
      </c>
      <c r="U27" s="131">
        <v>2</v>
      </c>
      <c r="V27" s="69">
        <v>1.5</v>
      </c>
      <c r="W27" s="23">
        <f t="shared" si="20"/>
        <v>2</v>
      </c>
      <c r="X27" s="201">
        <f t="shared" si="21"/>
        <v>24</v>
      </c>
      <c r="Y27" s="24">
        <f t="shared" si="22"/>
        <v>18</v>
      </c>
      <c r="Z27" s="3">
        <v>130</v>
      </c>
      <c r="AA27" s="87">
        <f t="shared" si="23"/>
        <v>35.817067077850069</v>
      </c>
      <c r="AB27" s="63">
        <f t="shared" si="24"/>
        <v>43.380966025982168</v>
      </c>
      <c r="AC27" s="24">
        <f t="shared" si="25"/>
        <v>48</v>
      </c>
      <c r="AE27" s="2">
        <f t="shared" si="26"/>
        <v>10.5</v>
      </c>
      <c r="AF27" s="55">
        <f t="shared" si="0"/>
        <v>8.75</v>
      </c>
      <c r="AG27" s="169" t="str">
        <f t="shared" si="27"/>
        <v>#5 @ 6</v>
      </c>
      <c r="AH27" s="55">
        <v>8</v>
      </c>
      <c r="AI27" s="55">
        <f t="shared" si="28"/>
        <v>1800</v>
      </c>
      <c r="AJ27" s="47">
        <f t="shared" si="29"/>
        <v>48000</v>
      </c>
      <c r="AK27" s="43">
        <f t="shared" si="30"/>
        <v>0.23076923076923078</v>
      </c>
      <c r="AL27" s="4">
        <f t="shared" si="31"/>
        <v>0.92307692307692313</v>
      </c>
      <c r="AM27" s="253">
        <f t="shared" si="1"/>
        <v>-8.5271093750000002</v>
      </c>
      <c r="AN27" s="108">
        <f t="shared" si="1"/>
        <v>8.5756875000000008</v>
      </c>
      <c r="AO27" s="195">
        <f t="shared" si="32"/>
        <v>1.8403697921421089</v>
      </c>
      <c r="AP27" s="253">
        <f t="shared" si="33"/>
        <v>0.82666666666666666</v>
      </c>
      <c r="AQ27" s="157">
        <f t="shared" si="34"/>
        <v>-4.9083333333333332</v>
      </c>
      <c r="AR27" s="111">
        <f t="shared" si="35"/>
        <v>0.82666666666666666</v>
      </c>
      <c r="AS27" s="111">
        <f t="shared" si="36"/>
        <v>-5.3216666666666663</v>
      </c>
      <c r="AT27" s="102">
        <f t="shared" si="37"/>
        <v>1.93027736623072</v>
      </c>
      <c r="AU27" s="253">
        <f t="shared" si="38"/>
        <v>-19.219473764931834</v>
      </c>
      <c r="AV27" s="108">
        <f t="shared" si="39"/>
        <v>17.760947866369264</v>
      </c>
      <c r="AW27" s="79">
        <f t="shared" si="40"/>
        <v>-1.7405445585803727</v>
      </c>
      <c r="AX27" s="105">
        <f t="shared" si="41"/>
        <v>1.5335402204443567</v>
      </c>
      <c r="AY27" s="253">
        <f t="shared" si="42"/>
        <v>-30.99915123376103</v>
      </c>
      <c r="AZ27" s="108">
        <f t="shared" si="43"/>
        <v>28.646690107047196</v>
      </c>
      <c r="BA27" s="155"/>
      <c r="BB27" s="55">
        <f t="shared" si="2"/>
        <v>10.5</v>
      </c>
      <c r="BC27" s="165">
        <f t="shared" si="2"/>
        <v>8.75</v>
      </c>
      <c r="BD27" s="169" t="str">
        <f t="shared" si="44"/>
        <v>#5 @ 6</v>
      </c>
      <c r="BE27" s="87">
        <f t="shared" si="45"/>
        <v>0.80322144778440574</v>
      </c>
      <c r="BF27" s="129">
        <f t="shared" si="46"/>
        <v>1.820635281644653E-2</v>
      </c>
      <c r="BG27" s="191">
        <f t="shared" si="47"/>
        <v>2.625</v>
      </c>
      <c r="BH27" s="22">
        <f t="shared" si="48"/>
        <v>30.99915123376103</v>
      </c>
      <c r="BI27" s="55">
        <f t="shared" si="3"/>
        <v>8.75</v>
      </c>
      <c r="BJ27" s="87">
        <f t="shared" si="49"/>
        <v>1.6122448979591837</v>
      </c>
      <c r="BK27" s="69">
        <f t="shared" si="50"/>
        <v>6</v>
      </c>
      <c r="BM27" s="87">
        <f t="shared" si="51"/>
        <v>0.54090444302833485</v>
      </c>
      <c r="BN27" s="129">
        <f t="shared" si="52"/>
        <v>1.2260500708642257E-2</v>
      </c>
      <c r="BO27" s="43">
        <f t="shared" si="53"/>
        <v>1.8125</v>
      </c>
      <c r="BP27" s="22">
        <f t="shared" si="54"/>
        <v>28.646690107047196</v>
      </c>
      <c r="BQ27" s="87">
        <f t="shared" si="55"/>
        <v>1.3732303732303732</v>
      </c>
      <c r="BR27" s="131">
        <f t="shared" si="56"/>
        <v>6</v>
      </c>
      <c r="BT27" s="1"/>
      <c r="BU27" s="1"/>
      <c r="BV27" s="156"/>
      <c r="BW27" s="156"/>
      <c r="BX27" s="156"/>
      <c r="BY27" s="156"/>
      <c r="BZ27" s="156"/>
    </row>
    <row r="28" spans="1:78" x14ac:dyDescent="0.2">
      <c r="A28" s="8">
        <v>10.75</v>
      </c>
      <c r="B28" s="222">
        <v>9</v>
      </c>
      <c r="C28" s="43">
        <f t="shared" si="9"/>
        <v>0.11249999999999999</v>
      </c>
      <c r="D28" s="61">
        <f t="shared" si="10"/>
        <v>-1.300078125</v>
      </c>
      <c r="E28" s="101">
        <f t="shared" si="11"/>
        <v>1.0400624999999999</v>
      </c>
      <c r="F28" s="61">
        <f t="shared" si="12"/>
        <v>-0.57781250000000006</v>
      </c>
      <c r="G28" s="110">
        <f t="shared" si="13"/>
        <v>0.46224999999999999</v>
      </c>
      <c r="H28" s="61">
        <v>-7.08</v>
      </c>
      <c r="I28" s="101">
        <v>7.32</v>
      </c>
      <c r="J28" s="61">
        <f t="shared" si="14"/>
        <v>-8.957890625000001</v>
      </c>
      <c r="K28" s="113">
        <f t="shared" si="14"/>
        <v>8.8223125000000007</v>
      </c>
      <c r="L28" s="238">
        <v>5</v>
      </c>
      <c r="M28" s="238">
        <v>6</v>
      </c>
      <c r="N28" s="298">
        <v>0.31</v>
      </c>
      <c r="O28" s="286">
        <v>0.625</v>
      </c>
      <c r="P28" s="44">
        <f t="shared" si="15"/>
        <v>0.62</v>
      </c>
      <c r="Q28" s="257">
        <f t="shared" si="16"/>
        <v>6.1875</v>
      </c>
      <c r="R28" s="254">
        <f t="shared" si="58"/>
        <v>6.6875</v>
      </c>
      <c r="S28" s="61">
        <f t="shared" si="18"/>
        <v>-30.355836591723694</v>
      </c>
      <c r="T28" s="110">
        <f t="shared" si="19"/>
        <v>27.661154657823335</v>
      </c>
      <c r="U28" s="132">
        <v>2</v>
      </c>
      <c r="V28" s="73">
        <v>1.5</v>
      </c>
      <c r="W28" s="132">
        <f t="shared" si="20"/>
        <v>2</v>
      </c>
      <c r="X28" s="245">
        <f t="shared" si="21"/>
        <v>24</v>
      </c>
      <c r="Y28" s="26">
        <f t="shared" si="22"/>
        <v>18</v>
      </c>
      <c r="Z28" s="9">
        <v>130</v>
      </c>
      <c r="AA28" s="89">
        <f t="shared" si="23"/>
        <v>35.817067077850069</v>
      </c>
      <c r="AB28" s="64">
        <f t="shared" si="24"/>
        <v>43.380966025982168</v>
      </c>
      <c r="AC28" s="245">
        <f t="shared" si="25"/>
        <v>48</v>
      </c>
      <c r="AE28" s="57">
        <f t="shared" si="26"/>
        <v>10.75</v>
      </c>
      <c r="AF28" s="60">
        <f t="shared" si="0"/>
        <v>9</v>
      </c>
      <c r="AG28" s="175" t="str">
        <f t="shared" si="27"/>
        <v>#5 @ 6</v>
      </c>
      <c r="AH28" s="57">
        <v>8</v>
      </c>
      <c r="AI28" s="57">
        <f t="shared" si="28"/>
        <v>1800</v>
      </c>
      <c r="AJ28" s="49">
        <f t="shared" si="29"/>
        <v>48000</v>
      </c>
      <c r="AK28" s="44">
        <f t="shared" si="30"/>
        <v>0.23076923076923078</v>
      </c>
      <c r="AL28" s="10">
        <f t="shared" si="31"/>
        <v>0.92307692307692313</v>
      </c>
      <c r="AM28" s="61">
        <f t="shared" si="1"/>
        <v>-8.957890625000001</v>
      </c>
      <c r="AN28" s="110">
        <f t="shared" si="1"/>
        <v>8.8223125000000007</v>
      </c>
      <c r="AO28" s="257">
        <f t="shared" si="32"/>
        <v>1.8857631075417431</v>
      </c>
      <c r="AP28" s="61">
        <f t="shared" si="33"/>
        <v>0.82666666666666666</v>
      </c>
      <c r="AQ28" s="158">
        <f t="shared" si="34"/>
        <v>-5.1150000000000002</v>
      </c>
      <c r="AR28" s="113">
        <f t="shared" si="35"/>
        <v>0.82666666666666666</v>
      </c>
      <c r="AS28" s="113">
        <f t="shared" si="36"/>
        <v>-5.5283333333333333</v>
      </c>
      <c r="AT28" s="104">
        <f t="shared" si="37"/>
        <v>1.9739617422234732</v>
      </c>
      <c r="AU28" s="61">
        <f t="shared" si="38"/>
        <v>-19.337359855202696</v>
      </c>
      <c r="AV28" s="110">
        <f t="shared" si="39"/>
        <v>17.558259571552593</v>
      </c>
      <c r="AW28" s="81">
        <f t="shared" si="40"/>
        <v>-1.7090658398772962</v>
      </c>
      <c r="AX28" s="137">
        <f t="shared" si="41"/>
        <v>1.4824890131672415</v>
      </c>
      <c r="AY28" s="61">
        <f t="shared" si="42"/>
        <v>-31.189290089036611</v>
      </c>
      <c r="AZ28" s="110">
        <f t="shared" si="43"/>
        <v>28.31977350250418</v>
      </c>
      <c r="BA28" s="155"/>
      <c r="BB28" s="57">
        <f t="shared" si="2"/>
        <v>10.75</v>
      </c>
      <c r="BC28" s="138">
        <f t="shared" si="2"/>
        <v>9</v>
      </c>
      <c r="BD28" s="175" t="str">
        <f t="shared" si="44"/>
        <v>#5 @ 6</v>
      </c>
      <c r="BE28" s="89">
        <f t="shared" si="45"/>
        <v>0.79611318189452696</v>
      </c>
      <c r="BF28" s="235">
        <f t="shared" si="46"/>
        <v>1.8045232122942612E-2</v>
      </c>
      <c r="BG28" s="234">
        <f t="shared" si="47"/>
        <v>2.625</v>
      </c>
      <c r="BH28" s="22">
        <f t="shared" si="48"/>
        <v>31.189290089036611</v>
      </c>
      <c r="BI28" s="55">
        <f t="shared" si="3"/>
        <v>9</v>
      </c>
      <c r="BJ28" s="87">
        <f t="shared" si="49"/>
        <v>1.5882352941176472</v>
      </c>
      <c r="BK28" s="132">
        <f t="shared" si="50"/>
        <v>6</v>
      </c>
      <c r="BM28" s="89">
        <f t="shared" si="51"/>
        <v>0.52967650906469388</v>
      </c>
      <c r="BN28" s="235">
        <f t="shared" si="52"/>
        <v>1.2006000872133063E-2</v>
      </c>
      <c r="BO28" s="44">
        <f t="shared" si="53"/>
        <v>1.8125</v>
      </c>
      <c r="BP28" s="25">
        <f t="shared" si="54"/>
        <v>28.31977350250418</v>
      </c>
      <c r="BQ28" s="89">
        <f t="shared" si="55"/>
        <v>1.360248447204969</v>
      </c>
      <c r="BR28" s="132">
        <f t="shared" si="56"/>
        <v>6</v>
      </c>
      <c r="BT28" s="1"/>
      <c r="BU28" s="1"/>
      <c r="BV28" s="156"/>
      <c r="BW28" s="156"/>
      <c r="BX28" s="156"/>
      <c r="BY28" s="156"/>
      <c r="BZ28" s="156"/>
    </row>
    <row r="29" spans="1:78" x14ac:dyDescent="0.2">
      <c r="A29" s="2">
        <v>11</v>
      </c>
      <c r="B29" s="221">
        <v>9</v>
      </c>
      <c r="C29" s="42">
        <f t="shared" si="9"/>
        <v>0.11249999999999999</v>
      </c>
      <c r="D29" s="253">
        <f t="shared" si="10"/>
        <v>-1.3612499999999998</v>
      </c>
      <c r="E29" s="99">
        <f t="shared" si="11"/>
        <v>1.089</v>
      </c>
      <c r="F29" s="253">
        <f t="shared" si="12"/>
        <v>-0.60500000000000009</v>
      </c>
      <c r="G29" s="108">
        <f t="shared" si="13"/>
        <v>0.48399999999999999</v>
      </c>
      <c r="H29" s="253">
        <v>-7.38</v>
      </c>
      <c r="I29" s="99">
        <v>7.46</v>
      </c>
      <c r="J29" s="253">
        <f t="shared" si="14"/>
        <v>-9.3462499999999995</v>
      </c>
      <c r="K29" s="111">
        <f t="shared" si="14"/>
        <v>9.0329999999999995</v>
      </c>
      <c r="L29" s="297">
        <v>5</v>
      </c>
      <c r="M29" s="236">
        <v>6</v>
      </c>
      <c r="N29" s="297">
        <v>0.31</v>
      </c>
      <c r="O29" s="269">
        <v>0.625</v>
      </c>
      <c r="P29" s="43">
        <f t="shared" si="15"/>
        <v>0.62</v>
      </c>
      <c r="Q29" s="195">
        <f t="shared" si="16"/>
        <v>6.1875</v>
      </c>
      <c r="R29" s="197">
        <f t="shared" si="58"/>
        <v>6.6875</v>
      </c>
      <c r="S29" s="253">
        <f t="shared" si="18"/>
        <v>-31.671880091234932</v>
      </c>
      <c r="T29" s="99">
        <f t="shared" si="19"/>
        <v>28.321736508893576</v>
      </c>
      <c r="U29" s="131">
        <v>2</v>
      </c>
      <c r="V29" s="69">
        <v>1.5</v>
      </c>
      <c r="W29" s="23">
        <f t="shared" si="20"/>
        <v>2</v>
      </c>
      <c r="X29" s="201">
        <f t="shared" si="21"/>
        <v>24</v>
      </c>
      <c r="Y29" s="24">
        <f t="shared" si="22"/>
        <v>18</v>
      </c>
      <c r="Z29" s="3">
        <v>130</v>
      </c>
      <c r="AA29" s="87">
        <f t="shared" si="23"/>
        <v>35.817067077850069</v>
      </c>
      <c r="AB29" s="63">
        <f t="shared" si="24"/>
        <v>43.380966025982168</v>
      </c>
      <c r="AC29" s="24">
        <f t="shared" si="25"/>
        <v>48</v>
      </c>
      <c r="AE29" s="2">
        <f t="shared" si="26"/>
        <v>11</v>
      </c>
      <c r="AF29" s="55">
        <f t="shared" si="0"/>
        <v>9</v>
      </c>
      <c r="AG29" s="169" t="str">
        <f t="shared" si="27"/>
        <v>#5 @ 6</v>
      </c>
      <c r="AH29" s="55">
        <v>8</v>
      </c>
      <c r="AI29" s="55">
        <f t="shared" si="28"/>
        <v>1800</v>
      </c>
      <c r="AJ29" s="47">
        <f t="shared" si="29"/>
        <v>48000</v>
      </c>
      <c r="AK29" s="43">
        <f t="shared" si="30"/>
        <v>0.23076923076923078</v>
      </c>
      <c r="AL29" s="155">
        <f t="shared" si="31"/>
        <v>0.92307692307692313</v>
      </c>
      <c r="AM29" s="253">
        <f t="shared" si="1"/>
        <v>-9.3462499999999995</v>
      </c>
      <c r="AN29" s="108">
        <f t="shared" si="1"/>
        <v>9.0329999999999995</v>
      </c>
      <c r="AO29" s="195">
        <f t="shared" si="32"/>
        <v>1.8857631075417431</v>
      </c>
      <c r="AP29" s="253">
        <f t="shared" si="33"/>
        <v>0.82666666666666666</v>
      </c>
      <c r="AQ29" s="157">
        <f t="shared" si="34"/>
        <v>-5.1150000000000002</v>
      </c>
      <c r="AR29" s="111">
        <f t="shared" si="35"/>
        <v>0.82666666666666666</v>
      </c>
      <c r="AS29" s="111">
        <f t="shared" si="36"/>
        <v>-5.5283333333333333</v>
      </c>
      <c r="AT29" s="102">
        <f t="shared" si="37"/>
        <v>1.9739617422234732</v>
      </c>
      <c r="AU29" s="253">
        <f t="shared" si="38"/>
        <v>-20.175709562951731</v>
      </c>
      <c r="AV29" s="108">
        <f t="shared" si="39"/>
        <v>17.977572060594607</v>
      </c>
      <c r="AW29" s="82">
        <f t="shared" si="40"/>
        <v>-1.7831604866188213</v>
      </c>
      <c r="AX29" s="118">
        <f t="shared" si="41"/>
        <v>1.5178926450337926</v>
      </c>
      <c r="AY29" s="253">
        <f t="shared" si="42"/>
        <v>-32.541467037018926</v>
      </c>
      <c r="AZ29" s="108">
        <f t="shared" si="43"/>
        <v>28.996083968700976</v>
      </c>
      <c r="BA29" s="155"/>
      <c r="BB29" s="2">
        <f t="shared" si="2"/>
        <v>11</v>
      </c>
      <c r="BC29" s="119">
        <f t="shared" si="2"/>
        <v>9</v>
      </c>
      <c r="BD29" s="169" t="str">
        <f t="shared" si="44"/>
        <v>#5 @ 6</v>
      </c>
      <c r="BE29" s="88">
        <f t="shared" si="45"/>
        <v>0.83062778256256298</v>
      </c>
      <c r="BF29" s="129">
        <f t="shared" si="46"/>
        <v>1.8827563071418096E-2</v>
      </c>
      <c r="BG29" s="191">
        <f t="shared" si="47"/>
        <v>2.625</v>
      </c>
      <c r="BH29" s="27">
        <f t="shared" si="48"/>
        <v>32.541467037018926</v>
      </c>
      <c r="BI29" s="56">
        <f t="shared" si="3"/>
        <v>9</v>
      </c>
      <c r="BJ29" s="88">
        <f t="shared" si="49"/>
        <v>1.5882352941176472</v>
      </c>
      <c r="BK29" s="69">
        <f t="shared" si="50"/>
        <v>6</v>
      </c>
      <c r="BM29" s="88">
        <f t="shared" si="51"/>
        <v>0.54232582515994299</v>
      </c>
      <c r="BN29" s="129">
        <f t="shared" si="52"/>
        <v>1.2292718703625374E-2</v>
      </c>
      <c r="BO29" s="43">
        <f t="shared" si="53"/>
        <v>1.8125</v>
      </c>
      <c r="BP29" s="22">
        <f t="shared" si="54"/>
        <v>28.996083968700976</v>
      </c>
      <c r="BQ29" s="87">
        <f t="shared" si="55"/>
        <v>1.360248447204969</v>
      </c>
      <c r="BR29" s="130">
        <f t="shared" si="56"/>
        <v>6</v>
      </c>
      <c r="BT29" s="1"/>
      <c r="BU29" s="1"/>
      <c r="BV29" s="156"/>
      <c r="BW29" s="156"/>
      <c r="BX29" s="156"/>
      <c r="BY29" s="156"/>
      <c r="BZ29" s="156"/>
    </row>
    <row r="30" spans="1:78" x14ac:dyDescent="0.2">
      <c r="A30" s="2">
        <v>11.25</v>
      </c>
      <c r="B30" s="221">
        <v>9</v>
      </c>
      <c r="C30" s="43">
        <f t="shared" si="9"/>
        <v>0.11249999999999999</v>
      </c>
      <c r="D30" s="253">
        <f t="shared" si="10"/>
        <v>-1.423828125</v>
      </c>
      <c r="E30" s="99">
        <f t="shared" si="11"/>
        <v>1.1390624999999999</v>
      </c>
      <c r="F30" s="253">
        <f t="shared" si="12"/>
        <v>-0.63281250000000011</v>
      </c>
      <c r="G30" s="108">
        <f t="shared" si="13"/>
        <v>0.50624999999999998</v>
      </c>
      <c r="H30" s="253">
        <v>-7.67</v>
      </c>
      <c r="I30" s="99">
        <v>7.6</v>
      </c>
      <c r="J30" s="253">
        <f t="shared" si="14"/>
        <v>-9.7266406249999999</v>
      </c>
      <c r="K30" s="111">
        <f t="shared" si="14"/>
        <v>9.2453124999999989</v>
      </c>
      <c r="L30" s="297">
        <v>5</v>
      </c>
      <c r="M30" s="236">
        <v>6</v>
      </c>
      <c r="N30" s="297">
        <v>0.31</v>
      </c>
      <c r="O30" s="269">
        <v>0.625</v>
      </c>
      <c r="P30" s="43">
        <f t="shared" si="15"/>
        <v>0.62</v>
      </c>
      <c r="Q30" s="195">
        <f t="shared" si="16"/>
        <v>6.1875</v>
      </c>
      <c r="R30" s="197">
        <f t="shared" si="58"/>
        <v>6.6875</v>
      </c>
      <c r="S30" s="253">
        <f t="shared" si="18"/>
        <v>-32.96091968067774</v>
      </c>
      <c r="T30" s="99">
        <f t="shared" si="19"/>
        <v>28.987413325293939</v>
      </c>
      <c r="U30" s="131">
        <v>2</v>
      </c>
      <c r="V30" s="69">
        <v>1.5</v>
      </c>
      <c r="W30" s="23">
        <f t="shared" si="20"/>
        <v>2</v>
      </c>
      <c r="X30" s="201">
        <f t="shared" si="21"/>
        <v>24</v>
      </c>
      <c r="Y30" s="24">
        <f t="shared" si="22"/>
        <v>18</v>
      </c>
      <c r="Z30" s="3">
        <v>130</v>
      </c>
      <c r="AA30" s="87">
        <f t="shared" si="23"/>
        <v>35.817067077850069</v>
      </c>
      <c r="AB30" s="63">
        <f t="shared" si="24"/>
        <v>43.380966025982168</v>
      </c>
      <c r="AC30" s="24">
        <f t="shared" si="25"/>
        <v>48</v>
      </c>
      <c r="AE30" s="2">
        <f t="shared" si="26"/>
        <v>11.25</v>
      </c>
      <c r="AF30" s="246">
        <f t="shared" si="0"/>
        <v>9</v>
      </c>
      <c r="AG30" s="169" t="str">
        <f t="shared" si="27"/>
        <v>#5 @ 6</v>
      </c>
      <c r="AH30" s="55">
        <v>8</v>
      </c>
      <c r="AI30" s="55">
        <f t="shared" si="28"/>
        <v>1800</v>
      </c>
      <c r="AJ30" s="47">
        <f t="shared" si="29"/>
        <v>48000</v>
      </c>
      <c r="AK30" s="43">
        <f t="shared" si="30"/>
        <v>0.23076923076923078</v>
      </c>
      <c r="AL30" s="155">
        <f t="shared" si="31"/>
        <v>0.92307692307692313</v>
      </c>
      <c r="AM30" s="253">
        <f t="shared" si="1"/>
        <v>-9.7266406249999999</v>
      </c>
      <c r="AN30" s="108">
        <f t="shared" si="1"/>
        <v>9.2453124999999989</v>
      </c>
      <c r="AO30" s="195">
        <f t="shared" si="32"/>
        <v>1.8857631075417431</v>
      </c>
      <c r="AP30" s="253">
        <f t="shared" si="33"/>
        <v>0.82666666666666666</v>
      </c>
      <c r="AQ30" s="157">
        <f t="shared" si="34"/>
        <v>-5.1150000000000002</v>
      </c>
      <c r="AR30" s="111">
        <f t="shared" si="35"/>
        <v>0.82666666666666666</v>
      </c>
      <c r="AS30" s="111">
        <f t="shared" si="36"/>
        <v>-5.5283333333333333</v>
      </c>
      <c r="AT30" s="102">
        <f t="shared" si="37"/>
        <v>1.9739617422234732</v>
      </c>
      <c r="AU30" s="253">
        <f t="shared" si="38"/>
        <v>-20.996857164446414</v>
      </c>
      <c r="AV30" s="108">
        <f t="shared" si="39"/>
        <v>18.400118641809598</v>
      </c>
      <c r="AW30" s="82">
        <f t="shared" si="40"/>
        <v>-1.8557347845436829</v>
      </c>
      <c r="AX30" s="118">
        <f t="shared" si="41"/>
        <v>1.5535693396201691</v>
      </c>
      <c r="AY30" s="253">
        <f t="shared" si="42"/>
        <v>-33.86589865233293</v>
      </c>
      <c r="AZ30" s="108">
        <f t="shared" si="43"/>
        <v>29.67761071259612</v>
      </c>
      <c r="BA30" s="155"/>
      <c r="BB30" s="2">
        <f t="shared" si="2"/>
        <v>11.25</v>
      </c>
      <c r="BC30" s="149">
        <f t="shared" si="2"/>
        <v>9</v>
      </c>
      <c r="BD30" s="169" t="str">
        <f t="shared" si="44"/>
        <v>#5 @ 6</v>
      </c>
      <c r="BE30" s="87">
        <f t="shared" si="45"/>
        <v>0.864434177785389</v>
      </c>
      <c r="BF30" s="129">
        <f t="shared" si="46"/>
        <v>1.9593841363135484E-2</v>
      </c>
      <c r="BG30" s="191">
        <f t="shared" si="47"/>
        <v>2.625</v>
      </c>
      <c r="BH30" s="22">
        <f t="shared" si="48"/>
        <v>33.86589865233293</v>
      </c>
      <c r="BI30" s="55">
        <f t="shared" si="3"/>
        <v>9</v>
      </c>
      <c r="BJ30" s="87">
        <f t="shared" si="49"/>
        <v>1.5882352941176472</v>
      </c>
      <c r="BK30" s="69">
        <f t="shared" si="50"/>
        <v>6</v>
      </c>
      <c r="BM30" s="87">
        <f t="shared" si="51"/>
        <v>0.55507270346773341</v>
      </c>
      <c r="BN30" s="129">
        <f t="shared" si="52"/>
        <v>1.2581647945268623E-2</v>
      </c>
      <c r="BO30" s="43">
        <f t="shared" si="53"/>
        <v>1.8125</v>
      </c>
      <c r="BP30" s="22">
        <f t="shared" si="54"/>
        <v>29.67761071259612</v>
      </c>
      <c r="BQ30" s="87">
        <f t="shared" si="55"/>
        <v>1.360248447204969</v>
      </c>
      <c r="BR30" s="131">
        <f t="shared" si="56"/>
        <v>6</v>
      </c>
      <c r="BT30" s="1"/>
      <c r="BU30" s="1"/>
      <c r="BV30" s="156"/>
      <c r="BW30" s="156"/>
      <c r="BX30" s="156"/>
      <c r="BY30" s="156"/>
      <c r="BZ30" s="156"/>
    </row>
    <row r="31" spans="1:78" x14ac:dyDescent="0.2">
      <c r="A31" s="2">
        <v>11.5</v>
      </c>
      <c r="B31" s="221">
        <v>9.25</v>
      </c>
      <c r="C31" s="43">
        <f t="shared" si="9"/>
        <v>0.11562500000000001</v>
      </c>
      <c r="D31" s="253">
        <f t="shared" si="10"/>
        <v>-1.5291406250000001</v>
      </c>
      <c r="E31" s="99">
        <f t="shared" si="11"/>
        <v>1.2233125000000002</v>
      </c>
      <c r="F31" s="253">
        <f t="shared" si="12"/>
        <v>-0.66125000000000012</v>
      </c>
      <c r="G31" s="108">
        <f t="shared" si="13"/>
        <v>0.52900000000000003</v>
      </c>
      <c r="H31" s="253">
        <v>-7.96</v>
      </c>
      <c r="I31" s="99">
        <v>7.74</v>
      </c>
      <c r="J31" s="253">
        <f t="shared" si="14"/>
        <v>-10.150390625</v>
      </c>
      <c r="K31" s="111">
        <f t="shared" si="14"/>
        <v>9.4923125000000006</v>
      </c>
      <c r="L31" s="297">
        <v>5</v>
      </c>
      <c r="M31" s="236">
        <v>6</v>
      </c>
      <c r="N31" s="297">
        <v>0.31</v>
      </c>
      <c r="O31" s="269">
        <v>0.625</v>
      </c>
      <c r="P31" s="43">
        <f t="shared" si="15"/>
        <v>0.62</v>
      </c>
      <c r="Q31" s="195">
        <f t="shared" si="16"/>
        <v>6.4375</v>
      </c>
      <c r="R31" s="197">
        <f t="shared" si="58"/>
        <v>6.9375</v>
      </c>
      <c r="S31" s="253">
        <f t="shared" si="18"/>
        <v>-33.061090667084244</v>
      </c>
      <c r="T31" s="99">
        <f t="shared" si="19"/>
        <v>28.689349026445804</v>
      </c>
      <c r="U31" s="131">
        <v>2</v>
      </c>
      <c r="V31" s="69">
        <v>1.5</v>
      </c>
      <c r="W31" s="23">
        <f t="shared" si="20"/>
        <v>2</v>
      </c>
      <c r="X31" s="201">
        <f t="shared" si="21"/>
        <v>24</v>
      </c>
      <c r="Y31" s="24">
        <f t="shared" si="22"/>
        <v>18</v>
      </c>
      <c r="Z31" s="3">
        <v>130</v>
      </c>
      <c r="AA31" s="87">
        <f t="shared" si="23"/>
        <v>35.817067077850069</v>
      </c>
      <c r="AB31" s="63">
        <f t="shared" si="24"/>
        <v>43.380966025982168</v>
      </c>
      <c r="AC31" s="24">
        <f t="shared" si="25"/>
        <v>48</v>
      </c>
      <c r="AE31" s="2">
        <f t="shared" si="26"/>
        <v>11.5</v>
      </c>
      <c r="AF31" s="55">
        <f t="shared" si="0"/>
        <v>9.25</v>
      </c>
      <c r="AG31" s="169" t="str">
        <f t="shared" si="27"/>
        <v>#5 @ 6</v>
      </c>
      <c r="AH31" s="55">
        <v>8</v>
      </c>
      <c r="AI31" s="55">
        <f t="shared" si="28"/>
        <v>1800</v>
      </c>
      <c r="AJ31" s="47">
        <f t="shared" si="29"/>
        <v>48000</v>
      </c>
      <c r="AK31" s="43">
        <f t="shared" si="30"/>
        <v>0.23076923076923078</v>
      </c>
      <c r="AL31" s="155">
        <f t="shared" si="31"/>
        <v>0.92307692307692313</v>
      </c>
      <c r="AM31" s="253">
        <f t="shared" si="1"/>
        <v>-10.150390625</v>
      </c>
      <c r="AN31" s="108">
        <f t="shared" si="1"/>
        <v>9.4923125000000006</v>
      </c>
      <c r="AO31" s="195">
        <f t="shared" si="32"/>
        <v>1.93027736623072</v>
      </c>
      <c r="AP31" s="253">
        <f t="shared" si="33"/>
        <v>0.82666666666666666</v>
      </c>
      <c r="AQ31" s="157">
        <f t="shared" si="34"/>
        <v>-5.3216666666666663</v>
      </c>
      <c r="AR31" s="111">
        <f t="shared" si="35"/>
        <v>0.82666666666666666</v>
      </c>
      <c r="AS31" s="111">
        <f t="shared" si="36"/>
        <v>-5.7349999999999994</v>
      </c>
      <c r="AT31" s="102">
        <f t="shared" si="37"/>
        <v>2.0168609890294782</v>
      </c>
      <c r="AU31" s="253">
        <f t="shared" si="38"/>
        <v>-21.022286401400276</v>
      </c>
      <c r="AV31" s="108">
        <f t="shared" si="39"/>
        <v>18.180986014923203</v>
      </c>
      <c r="AW31" s="82">
        <f t="shared" si="40"/>
        <v>-1.8151352036392221</v>
      </c>
      <c r="AX31" s="118">
        <f t="shared" si="41"/>
        <v>1.5024160575779997</v>
      </c>
      <c r="AY31" s="253">
        <f t="shared" si="42"/>
        <v>-33.906913550645598</v>
      </c>
      <c r="AZ31" s="108">
        <f t="shared" si="43"/>
        <v>29.324170991811616</v>
      </c>
      <c r="BA31" s="155"/>
      <c r="BB31" s="2">
        <f t="shared" si="2"/>
        <v>11.5</v>
      </c>
      <c r="BC31" s="162">
        <f t="shared" si="2"/>
        <v>9.25</v>
      </c>
      <c r="BD31" s="169" t="str">
        <f t="shared" si="44"/>
        <v>#5 @ 6</v>
      </c>
      <c r="BE31" s="87">
        <f t="shared" si="45"/>
        <v>0.85338491988990106</v>
      </c>
      <c r="BF31" s="129">
        <f t="shared" si="46"/>
        <v>1.9343391517504426E-2</v>
      </c>
      <c r="BG31" s="191">
        <f t="shared" si="47"/>
        <v>2.625</v>
      </c>
      <c r="BH31" s="22">
        <f t="shared" si="48"/>
        <v>33.906913550645598</v>
      </c>
      <c r="BI31" s="55">
        <f t="shared" si="3"/>
        <v>9.25</v>
      </c>
      <c r="BJ31" s="87">
        <f t="shared" si="49"/>
        <v>1.5660377358490567</v>
      </c>
      <c r="BK31" s="69">
        <f t="shared" si="50"/>
        <v>6</v>
      </c>
      <c r="BM31" s="87">
        <f t="shared" si="51"/>
        <v>0.54357965825607579</v>
      </c>
      <c r="BN31" s="129">
        <f t="shared" si="52"/>
        <v>1.2321138920471051E-2</v>
      </c>
      <c r="BO31" s="43">
        <f t="shared" si="53"/>
        <v>1.8125</v>
      </c>
      <c r="BP31" s="22">
        <f t="shared" si="54"/>
        <v>29.324170991811616</v>
      </c>
      <c r="BQ31" s="87">
        <f t="shared" si="55"/>
        <v>1.3481392557022809</v>
      </c>
      <c r="BR31" s="131">
        <f t="shared" si="56"/>
        <v>6</v>
      </c>
      <c r="BT31" s="1"/>
      <c r="BU31" s="1"/>
      <c r="BV31" s="156"/>
      <c r="BW31" s="156"/>
      <c r="BX31" s="156"/>
      <c r="BY31" s="156"/>
      <c r="BZ31" s="156"/>
    </row>
    <row r="32" spans="1:78" x14ac:dyDescent="0.2">
      <c r="A32" s="2">
        <v>11.75</v>
      </c>
      <c r="B32" s="222">
        <v>9.25</v>
      </c>
      <c r="C32" s="44">
        <f t="shared" si="9"/>
        <v>0.11562500000000001</v>
      </c>
      <c r="D32" s="253">
        <f t="shared" si="10"/>
        <v>-1.5963476562500003</v>
      </c>
      <c r="E32" s="99">
        <f t="shared" si="11"/>
        <v>1.2770781250000003</v>
      </c>
      <c r="F32" s="253">
        <f t="shared" si="12"/>
        <v>-0.69031250000000011</v>
      </c>
      <c r="G32" s="108">
        <f t="shared" si="13"/>
        <v>0.55225000000000002</v>
      </c>
      <c r="H32" s="253">
        <v>-8.24</v>
      </c>
      <c r="I32" s="99">
        <v>7.88</v>
      </c>
      <c r="J32" s="253">
        <f t="shared" si="14"/>
        <v>-10.526660156250001</v>
      </c>
      <c r="K32" s="111">
        <f t="shared" si="14"/>
        <v>9.7093281250000008</v>
      </c>
      <c r="L32" s="238">
        <v>5</v>
      </c>
      <c r="M32" s="238">
        <v>6</v>
      </c>
      <c r="N32" s="298">
        <v>0.31</v>
      </c>
      <c r="O32" s="286">
        <v>0.625</v>
      </c>
      <c r="P32" s="44">
        <f t="shared" si="15"/>
        <v>0.62</v>
      </c>
      <c r="Q32" s="257">
        <f t="shared" si="16"/>
        <v>6.4375</v>
      </c>
      <c r="R32" s="254">
        <f t="shared" si="58"/>
        <v>6.9375</v>
      </c>
      <c r="S32" s="61">
        <f t="shared" si="18"/>
        <v>-34.286647549326652</v>
      </c>
      <c r="T32" s="110">
        <f t="shared" si="19"/>
        <v>29.345252106945658</v>
      </c>
      <c r="U32" s="131">
        <v>2</v>
      </c>
      <c r="V32" s="69">
        <v>1.5</v>
      </c>
      <c r="W32" s="132">
        <f t="shared" si="20"/>
        <v>2</v>
      </c>
      <c r="X32" s="201">
        <f t="shared" si="21"/>
        <v>24</v>
      </c>
      <c r="Y32" s="24">
        <f t="shared" si="22"/>
        <v>18</v>
      </c>
      <c r="Z32" s="3">
        <v>130</v>
      </c>
      <c r="AA32" s="87">
        <f t="shared" si="23"/>
        <v>35.817067077850069</v>
      </c>
      <c r="AB32" s="63">
        <f t="shared" si="24"/>
        <v>43.380966025982168</v>
      </c>
      <c r="AC32" s="245">
        <f t="shared" si="25"/>
        <v>48</v>
      </c>
      <c r="AE32" s="57">
        <f t="shared" si="26"/>
        <v>11.75</v>
      </c>
      <c r="AF32" s="246">
        <f t="shared" si="0"/>
        <v>9.25</v>
      </c>
      <c r="AG32" s="175" t="str">
        <f t="shared" si="27"/>
        <v>#5 @ 6</v>
      </c>
      <c r="AH32" s="55">
        <v>8</v>
      </c>
      <c r="AI32" s="57">
        <f t="shared" si="28"/>
        <v>1800</v>
      </c>
      <c r="AJ32" s="49">
        <f t="shared" si="29"/>
        <v>48000</v>
      </c>
      <c r="AK32" s="43">
        <f t="shared" si="30"/>
        <v>0.23076923076923078</v>
      </c>
      <c r="AL32" s="155">
        <f t="shared" si="31"/>
        <v>0.92307692307692313</v>
      </c>
      <c r="AM32" s="253">
        <f t="shared" si="1"/>
        <v>-10.526660156250001</v>
      </c>
      <c r="AN32" s="108">
        <f t="shared" si="1"/>
        <v>9.7093281250000008</v>
      </c>
      <c r="AO32" s="195">
        <f t="shared" si="32"/>
        <v>1.93027736623072</v>
      </c>
      <c r="AP32" s="253">
        <f t="shared" si="33"/>
        <v>0.82666666666666666</v>
      </c>
      <c r="AQ32" s="157">
        <f t="shared" si="34"/>
        <v>-5.3216666666666663</v>
      </c>
      <c r="AR32" s="111">
        <f t="shared" si="35"/>
        <v>0.82666666666666666</v>
      </c>
      <c r="AS32" s="111">
        <f t="shared" si="36"/>
        <v>-5.7349999999999994</v>
      </c>
      <c r="AT32" s="102">
        <f t="shared" si="37"/>
        <v>2.0168609890294782</v>
      </c>
      <c r="AU32" s="253">
        <f t="shared" si="38"/>
        <v>-21.801571272523955</v>
      </c>
      <c r="AV32" s="108">
        <f t="shared" si="39"/>
        <v>18.596644269236347</v>
      </c>
      <c r="AW32" s="82">
        <f t="shared" si="40"/>
        <v>-1.8824212911860945</v>
      </c>
      <c r="AX32" s="118">
        <f t="shared" si="41"/>
        <v>1.5367646696517516</v>
      </c>
      <c r="AY32" s="253">
        <f t="shared" si="42"/>
        <v>-35.163824633103154</v>
      </c>
      <c r="AZ32" s="108">
        <f t="shared" si="43"/>
        <v>29.994587531026365</v>
      </c>
      <c r="BA32" s="155"/>
      <c r="BB32" s="2">
        <f t="shared" si="2"/>
        <v>11.75</v>
      </c>
      <c r="BC32" s="149">
        <f t="shared" si="2"/>
        <v>9.25</v>
      </c>
      <c r="BD32" s="175" t="str">
        <f t="shared" si="44"/>
        <v>#5 @ 6</v>
      </c>
      <c r="BE32" s="87">
        <f t="shared" si="45"/>
        <v>0.88501944073207739</v>
      </c>
      <c r="BF32" s="235">
        <f t="shared" si="46"/>
        <v>2.0060440656593754E-2</v>
      </c>
      <c r="BG32" s="234">
        <f t="shared" si="47"/>
        <v>2.625</v>
      </c>
      <c r="BH32" s="22">
        <f t="shared" si="48"/>
        <v>35.163824633103154</v>
      </c>
      <c r="BI32" s="55">
        <f t="shared" si="3"/>
        <v>9.25</v>
      </c>
      <c r="BJ32" s="87">
        <f t="shared" si="49"/>
        <v>1.5660377358490567</v>
      </c>
      <c r="BK32" s="132">
        <f t="shared" si="50"/>
        <v>6</v>
      </c>
      <c r="BM32" s="87">
        <f t="shared" si="51"/>
        <v>0.55600711250115342</v>
      </c>
      <c r="BN32" s="235">
        <f t="shared" si="52"/>
        <v>1.2602827883359478E-2</v>
      </c>
      <c r="BO32" s="44">
        <f t="shared" si="53"/>
        <v>1.8125</v>
      </c>
      <c r="BP32" s="22">
        <f t="shared" si="54"/>
        <v>29.994587531026365</v>
      </c>
      <c r="BQ32" s="87">
        <f t="shared" si="55"/>
        <v>1.3481392557022809</v>
      </c>
      <c r="BR32" s="131">
        <f t="shared" si="56"/>
        <v>6</v>
      </c>
      <c r="BT32" s="1"/>
      <c r="BU32" s="1"/>
      <c r="BV32" s="156"/>
      <c r="BW32" s="156"/>
      <c r="BX32" s="156"/>
      <c r="BY32" s="156"/>
      <c r="BZ32" s="156"/>
    </row>
    <row r="33" spans="1:78" x14ac:dyDescent="0.2">
      <c r="A33" s="17">
        <v>12</v>
      </c>
      <c r="B33" s="221">
        <v>9.5</v>
      </c>
      <c r="C33" s="43">
        <f t="shared" si="9"/>
        <v>0.11874999999999999</v>
      </c>
      <c r="D33" s="255">
        <f t="shared" si="10"/>
        <v>-1.71</v>
      </c>
      <c r="E33" s="100">
        <f t="shared" si="11"/>
        <v>1.3679999999999999</v>
      </c>
      <c r="F33" s="255">
        <f t="shared" si="12"/>
        <v>-0.7200000000000002</v>
      </c>
      <c r="G33" s="109">
        <f t="shared" si="13"/>
        <v>0.57600000000000007</v>
      </c>
      <c r="H33" s="255">
        <v>-8.51</v>
      </c>
      <c r="I33" s="100">
        <v>8.01</v>
      </c>
      <c r="J33" s="255">
        <f t="shared" si="14"/>
        <v>-10.94</v>
      </c>
      <c r="K33" s="112">
        <f t="shared" si="14"/>
        <v>9.9540000000000006</v>
      </c>
      <c r="L33" s="297">
        <v>5</v>
      </c>
      <c r="M33" s="236">
        <v>6</v>
      </c>
      <c r="N33" s="297">
        <v>0.31</v>
      </c>
      <c r="O33" s="269">
        <v>0.625</v>
      </c>
      <c r="P33" s="43">
        <f t="shared" si="15"/>
        <v>0.62</v>
      </c>
      <c r="Q33" s="195">
        <f t="shared" si="16"/>
        <v>6.6875</v>
      </c>
      <c r="R33" s="197">
        <f t="shared" si="58"/>
        <v>7.1875</v>
      </c>
      <c r="S33" s="253">
        <f t="shared" si="18"/>
        <v>-34.300874283991561</v>
      </c>
      <c r="T33" s="99">
        <f t="shared" si="19"/>
        <v>29.038316970546987</v>
      </c>
      <c r="U33" s="130">
        <v>2</v>
      </c>
      <c r="V33" s="71">
        <v>1.5</v>
      </c>
      <c r="W33" s="23">
        <f t="shared" si="20"/>
        <v>2</v>
      </c>
      <c r="X33" s="244">
        <f t="shared" si="21"/>
        <v>24</v>
      </c>
      <c r="Y33" s="28">
        <f t="shared" si="22"/>
        <v>18</v>
      </c>
      <c r="Z33" s="18">
        <v>130</v>
      </c>
      <c r="AA33" s="88">
        <f t="shared" si="23"/>
        <v>35.817067077850069</v>
      </c>
      <c r="AB33" s="65">
        <f t="shared" si="24"/>
        <v>43.380966025982168</v>
      </c>
      <c r="AC33" s="24">
        <f t="shared" si="25"/>
        <v>48</v>
      </c>
      <c r="AE33" s="2">
        <f t="shared" si="26"/>
        <v>12</v>
      </c>
      <c r="AF33" s="56">
        <f t="shared" si="0"/>
        <v>9.5</v>
      </c>
      <c r="AG33" s="169" t="str">
        <f t="shared" si="27"/>
        <v>#5 @ 6</v>
      </c>
      <c r="AH33" s="56">
        <v>8</v>
      </c>
      <c r="AI33" s="55">
        <f t="shared" si="28"/>
        <v>1800</v>
      </c>
      <c r="AJ33" s="47">
        <f t="shared" si="29"/>
        <v>48000</v>
      </c>
      <c r="AK33" s="42">
        <f t="shared" si="30"/>
        <v>0.23076923076923078</v>
      </c>
      <c r="AL33" s="19">
        <f t="shared" si="31"/>
        <v>0.92307692307692313</v>
      </c>
      <c r="AM33" s="255">
        <f t="shared" si="1"/>
        <v>-10.94</v>
      </c>
      <c r="AN33" s="109">
        <f t="shared" si="1"/>
        <v>9.9540000000000006</v>
      </c>
      <c r="AO33" s="256">
        <f t="shared" si="32"/>
        <v>1.9739617422234732</v>
      </c>
      <c r="AP33" s="255">
        <f t="shared" si="33"/>
        <v>0.82666666666666666</v>
      </c>
      <c r="AQ33" s="160">
        <f t="shared" si="34"/>
        <v>-5.5283333333333333</v>
      </c>
      <c r="AR33" s="112">
        <f t="shared" si="35"/>
        <v>0.82666666666666666</v>
      </c>
      <c r="AS33" s="112">
        <f t="shared" si="36"/>
        <v>-5.9416666666666664</v>
      </c>
      <c r="AT33" s="103">
        <f t="shared" si="37"/>
        <v>2.059015976758408</v>
      </c>
      <c r="AU33" s="255">
        <f t="shared" si="38"/>
        <v>-21.772903613739071</v>
      </c>
      <c r="AV33" s="109">
        <f t="shared" si="39"/>
        <v>18.373332660614611</v>
      </c>
      <c r="AW33" s="80">
        <f t="shared" si="40"/>
        <v>-1.8383422491608206</v>
      </c>
      <c r="AX33" s="106">
        <f t="shared" si="41"/>
        <v>1.4872260073102566</v>
      </c>
      <c r="AY33" s="255">
        <f t="shared" si="42"/>
        <v>-35.117586473772683</v>
      </c>
      <c r="AZ33" s="109">
        <f t="shared" si="43"/>
        <v>29.634407517120355</v>
      </c>
      <c r="BA33" s="155"/>
      <c r="BB33" s="56">
        <f t="shared" si="2"/>
        <v>12</v>
      </c>
      <c r="BC33" s="119">
        <f t="shared" si="2"/>
        <v>9.5</v>
      </c>
      <c r="BD33" s="169" t="str">
        <f t="shared" si="44"/>
        <v>#5 @ 6</v>
      </c>
      <c r="BE33" s="88">
        <f t="shared" si="45"/>
        <v>0.8722387549492242</v>
      </c>
      <c r="BF33" s="129">
        <f t="shared" si="46"/>
        <v>1.9770745112182419E-2</v>
      </c>
      <c r="BG33" s="191">
        <f t="shared" si="47"/>
        <v>2.625</v>
      </c>
      <c r="BH33" s="27">
        <f t="shared" si="48"/>
        <v>35.117586473772683</v>
      </c>
      <c r="BI33" s="56">
        <f t="shared" si="3"/>
        <v>9.5</v>
      </c>
      <c r="BJ33" s="88">
        <f t="shared" si="49"/>
        <v>1.5454545454545454</v>
      </c>
      <c r="BK33" s="69">
        <f t="shared" si="50"/>
        <v>6</v>
      </c>
      <c r="BM33" s="88">
        <f t="shared" si="51"/>
        <v>0.54471723805786987</v>
      </c>
      <c r="BN33" s="129">
        <f t="shared" si="52"/>
        <v>1.2346924062645051E-2</v>
      </c>
      <c r="BO33" s="43">
        <f t="shared" si="53"/>
        <v>1.8125</v>
      </c>
      <c r="BP33" s="27">
        <f t="shared" si="54"/>
        <v>29.634407517120355</v>
      </c>
      <c r="BQ33" s="88">
        <f t="shared" si="55"/>
        <v>1.3368176538908245</v>
      </c>
      <c r="BR33" s="130">
        <f t="shared" si="56"/>
        <v>6</v>
      </c>
      <c r="BT33" s="1"/>
      <c r="BU33" s="1"/>
      <c r="BV33" s="156"/>
      <c r="BW33" s="156"/>
      <c r="BX33" s="156"/>
      <c r="BY33" s="156"/>
      <c r="BZ33" s="156"/>
    </row>
    <row r="34" spans="1:78" x14ac:dyDescent="0.2">
      <c r="A34" s="2">
        <v>12.25</v>
      </c>
      <c r="B34" s="221">
        <v>9.5</v>
      </c>
      <c r="C34" s="43">
        <f t="shared" si="9"/>
        <v>0.11874999999999999</v>
      </c>
      <c r="D34" s="253">
        <f t="shared" si="10"/>
        <v>-1.7819921875</v>
      </c>
      <c r="E34" s="99">
        <f t="shared" si="11"/>
        <v>1.42559375</v>
      </c>
      <c r="F34" s="253">
        <f t="shared" si="12"/>
        <v>-0.75031250000000016</v>
      </c>
      <c r="G34" s="108">
        <f t="shared" si="13"/>
        <v>0.60025000000000006</v>
      </c>
      <c r="H34" s="253">
        <v>-8.7799999999999994</v>
      </c>
      <c r="I34" s="99">
        <v>8.15</v>
      </c>
      <c r="J34" s="253">
        <f t="shared" si="14"/>
        <v>-11.312304687499999</v>
      </c>
      <c r="K34" s="111">
        <f t="shared" si="14"/>
        <v>10.17584375</v>
      </c>
      <c r="L34" s="297">
        <v>5</v>
      </c>
      <c r="M34" s="236">
        <v>6</v>
      </c>
      <c r="N34" s="297">
        <v>0.31</v>
      </c>
      <c r="O34" s="269">
        <v>0.625</v>
      </c>
      <c r="P34" s="43">
        <f t="shared" si="15"/>
        <v>0.62</v>
      </c>
      <c r="Q34" s="260">
        <f t="shared" si="16"/>
        <v>6.6875</v>
      </c>
      <c r="R34" s="306">
        <f t="shared" si="58"/>
        <v>7.1875</v>
      </c>
      <c r="S34" s="253">
        <f t="shared" si="18"/>
        <v>-35.468184730177867</v>
      </c>
      <c r="T34" s="99">
        <f t="shared" si="19"/>
        <v>29.685490883590465</v>
      </c>
      <c r="U34" s="131">
        <v>2</v>
      </c>
      <c r="V34" s="69">
        <v>1.5</v>
      </c>
      <c r="W34" s="23">
        <f t="shared" si="20"/>
        <v>2</v>
      </c>
      <c r="X34" s="201">
        <f t="shared" si="21"/>
        <v>24</v>
      </c>
      <c r="Y34" s="24">
        <f t="shared" si="22"/>
        <v>18</v>
      </c>
      <c r="Z34" s="3">
        <v>130</v>
      </c>
      <c r="AA34" s="87">
        <f t="shared" si="23"/>
        <v>35.817067077850069</v>
      </c>
      <c r="AB34" s="63">
        <f t="shared" si="24"/>
        <v>43.380966025982168</v>
      </c>
      <c r="AC34" s="24">
        <f t="shared" si="25"/>
        <v>48</v>
      </c>
      <c r="AE34" s="2">
        <f t="shared" si="26"/>
        <v>12.25</v>
      </c>
      <c r="AF34" s="55">
        <f t="shared" si="0"/>
        <v>9.5</v>
      </c>
      <c r="AG34" s="169" t="str">
        <f t="shared" si="27"/>
        <v>#5 @ 6</v>
      </c>
      <c r="AH34" s="55">
        <v>8</v>
      </c>
      <c r="AI34" s="55">
        <f t="shared" si="28"/>
        <v>1800</v>
      </c>
      <c r="AJ34" s="47">
        <f t="shared" si="29"/>
        <v>48000</v>
      </c>
      <c r="AK34" s="43">
        <f t="shared" si="30"/>
        <v>0.23076923076923078</v>
      </c>
      <c r="AL34" s="4">
        <f t="shared" si="31"/>
        <v>0.92307692307692313</v>
      </c>
      <c r="AM34" s="253">
        <f t="shared" si="1"/>
        <v>-11.312304687499999</v>
      </c>
      <c r="AN34" s="108">
        <f t="shared" si="1"/>
        <v>10.17584375</v>
      </c>
      <c r="AO34" s="195">
        <f t="shared" si="32"/>
        <v>1.9739617422234732</v>
      </c>
      <c r="AP34" s="253">
        <f t="shared" si="33"/>
        <v>0.82666666666666666</v>
      </c>
      <c r="AQ34" s="157">
        <f t="shared" si="34"/>
        <v>-5.5283333333333333</v>
      </c>
      <c r="AR34" s="111">
        <f t="shared" si="35"/>
        <v>0.82666666666666666</v>
      </c>
      <c r="AS34" s="111">
        <f t="shared" si="36"/>
        <v>-5.9416666666666664</v>
      </c>
      <c r="AT34" s="102">
        <f t="shared" si="37"/>
        <v>2.059015976758408</v>
      </c>
      <c r="AU34" s="253">
        <f t="shared" si="38"/>
        <v>-22.513868337311347</v>
      </c>
      <c r="AV34" s="108">
        <f t="shared" si="39"/>
        <v>18.78281719119812</v>
      </c>
      <c r="AW34" s="79">
        <f t="shared" si="40"/>
        <v>-1.9009038064361279</v>
      </c>
      <c r="AX34" s="105">
        <f t="shared" si="41"/>
        <v>1.5203716567536198</v>
      </c>
      <c r="AY34" s="253">
        <f t="shared" si="42"/>
        <v>-36.312690866631193</v>
      </c>
      <c r="AZ34" s="108">
        <f t="shared" si="43"/>
        <v>30.294866437416339</v>
      </c>
      <c r="BA34" s="155"/>
      <c r="BB34" s="55">
        <f t="shared" si="2"/>
        <v>12.25</v>
      </c>
      <c r="BC34" s="162">
        <f t="shared" si="2"/>
        <v>9.5</v>
      </c>
      <c r="BD34" s="169" t="str">
        <f t="shared" si="44"/>
        <v>#5 @ 6</v>
      </c>
      <c r="BE34" s="87">
        <f t="shared" si="45"/>
        <v>0.90192235431730072</v>
      </c>
      <c r="BF34" s="129">
        <f t="shared" si="46"/>
        <v>2.0443573364525482E-2</v>
      </c>
      <c r="BG34" s="191">
        <f t="shared" si="47"/>
        <v>2.625</v>
      </c>
      <c r="BH34" s="22">
        <f t="shared" si="48"/>
        <v>36.312690866631193</v>
      </c>
      <c r="BI34" s="55">
        <f t="shared" si="3"/>
        <v>9.5</v>
      </c>
      <c r="BJ34" s="87">
        <f t="shared" si="49"/>
        <v>1.5454545454545454</v>
      </c>
      <c r="BK34" s="69">
        <f t="shared" si="50"/>
        <v>6</v>
      </c>
      <c r="BM34" s="87">
        <f t="shared" si="51"/>
        <v>0.55685729379228832</v>
      </c>
      <c r="BN34" s="129">
        <f t="shared" si="52"/>
        <v>1.2622098659291869E-2</v>
      </c>
      <c r="BO34" s="43">
        <f t="shared" si="53"/>
        <v>1.8125</v>
      </c>
      <c r="BP34" s="22">
        <f t="shared" si="54"/>
        <v>30.294866437416339</v>
      </c>
      <c r="BQ34" s="87">
        <f t="shared" si="55"/>
        <v>1.3368176538908245</v>
      </c>
      <c r="BR34" s="131">
        <f t="shared" si="56"/>
        <v>6</v>
      </c>
      <c r="BT34" s="1"/>
      <c r="BU34" s="1"/>
      <c r="BV34" s="156"/>
      <c r="BW34" s="156"/>
      <c r="BX34" s="156"/>
      <c r="BY34" s="156"/>
      <c r="BZ34" s="156"/>
    </row>
    <row r="35" spans="1:78" x14ac:dyDescent="0.2">
      <c r="A35" s="2">
        <v>12.5</v>
      </c>
      <c r="B35" s="221">
        <v>9.75</v>
      </c>
      <c r="C35" s="43">
        <f t="shared" si="9"/>
        <v>0.121875</v>
      </c>
      <c r="D35" s="253">
        <f t="shared" si="10"/>
        <v>-1.904296875</v>
      </c>
      <c r="E35" s="99">
        <f t="shared" si="11"/>
        <v>1.5234375</v>
      </c>
      <c r="F35" s="253">
        <f t="shared" si="12"/>
        <v>-0.78125000000000011</v>
      </c>
      <c r="G35" s="108">
        <f t="shared" si="13"/>
        <v>0.625</v>
      </c>
      <c r="H35" s="253">
        <v>-9.0399999999999991</v>
      </c>
      <c r="I35" s="99">
        <v>8.2799999999999994</v>
      </c>
      <c r="J35" s="253">
        <f t="shared" si="14"/>
        <v>-11.725546874999999</v>
      </c>
      <c r="K35" s="111">
        <f t="shared" si="14"/>
        <v>10.428437499999999</v>
      </c>
      <c r="L35" s="297">
        <v>5</v>
      </c>
      <c r="M35" s="236">
        <v>6</v>
      </c>
      <c r="N35" s="297">
        <v>0.31</v>
      </c>
      <c r="O35" s="269">
        <v>0.625</v>
      </c>
      <c r="P35" s="43">
        <f t="shared" si="15"/>
        <v>0.62</v>
      </c>
      <c r="Q35" s="260">
        <f t="shared" si="16"/>
        <v>6.9375</v>
      </c>
      <c r="R35" s="306">
        <f t="shared" si="58"/>
        <v>7.4375</v>
      </c>
      <c r="S35" s="253">
        <f t="shared" si="18"/>
        <v>-35.439025719267654</v>
      </c>
      <c r="T35" s="99">
        <f t="shared" si="19"/>
        <v>29.399769585253452</v>
      </c>
      <c r="U35" s="131">
        <v>2</v>
      </c>
      <c r="V35" s="69">
        <v>1.5</v>
      </c>
      <c r="W35" s="23">
        <f t="shared" si="20"/>
        <v>2</v>
      </c>
      <c r="X35" s="201">
        <f t="shared" si="21"/>
        <v>24</v>
      </c>
      <c r="Y35" s="24">
        <f t="shared" si="22"/>
        <v>18</v>
      </c>
      <c r="Z35" s="3">
        <v>130</v>
      </c>
      <c r="AA35" s="87">
        <f t="shared" si="23"/>
        <v>35.817067077850069</v>
      </c>
      <c r="AB35" s="63">
        <f t="shared" si="24"/>
        <v>43.380966025982168</v>
      </c>
      <c r="AC35" s="24">
        <f t="shared" si="25"/>
        <v>48</v>
      </c>
      <c r="AE35" s="2">
        <f t="shared" si="26"/>
        <v>12.5</v>
      </c>
      <c r="AF35" s="55">
        <f t="shared" si="0"/>
        <v>9.75</v>
      </c>
      <c r="AG35" s="169" t="str">
        <f t="shared" si="27"/>
        <v>#5 @ 6</v>
      </c>
      <c r="AH35" s="55">
        <v>8</v>
      </c>
      <c r="AI35" s="55">
        <f t="shared" si="28"/>
        <v>1800</v>
      </c>
      <c r="AJ35" s="47">
        <f t="shared" si="29"/>
        <v>48000</v>
      </c>
      <c r="AK35" s="43">
        <f t="shared" si="30"/>
        <v>0.23076923076923078</v>
      </c>
      <c r="AL35" s="4">
        <f t="shared" si="31"/>
        <v>0.92307692307692313</v>
      </c>
      <c r="AM35" s="253">
        <f t="shared" si="1"/>
        <v>-11.725546874999999</v>
      </c>
      <c r="AN35" s="108">
        <f t="shared" si="1"/>
        <v>10.428437499999999</v>
      </c>
      <c r="AO35" s="195">
        <f t="shared" si="32"/>
        <v>2.0168609890294782</v>
      </c>
      <c r="AP35" s="253">
        <f t="shared" si="33"/>
        <v>0.82666666666666666</v>
      </c>
      <c r="AQ35" s="157">
        <f t="shared" si="34"/>
        <v>-5.7349999999999994</v>
      </c>
      <c r="AR35" s="111">
        <f t="shared" si="35"/>
        <v>0.82666666666666666</v>
      </c>
      <c r="AS35" s="111">
        <f t="shared" si="36"/>
        <v>-6.1483333333333334</v>
      </c>
      <c r="AT35" s="102">
        <f t="shared" si="37"/>
        <v>2.1004641481233133</v>
      </c>
      <c r="AU35" s="253">
        <f t="shared" si="38"/>
        <v>-22.458384482358902</v>
      </c>
      <c r="AV35" s="108">
        <f t="shared" si="39"/>
        <v>18.57426697395957</v>
      </c>
      <c r="AW35" s="79">
        <f t="shared" si="40"/>
        <v>-1.855886003424722</v>
      </c>
      <c r="AX35" s="105">
        <f t="shared" si="41"/>
        <v>1.4738224240068549</v>
      </c>
      <c r="AY35" s="253">
        <f t="shared" si="42"/>
        <v>-36.223200777998223</v>
      </c>
      <c r="AZ35" s="108">
        <f t="shared" si="43"/>
        <v>29.958495119289619</v>
      </c>
      <c r="BA35" s="155"/>
      <c r="BB35" s="55">
        <f t="shared" si="2"/>
        <v>12.5</v>
      </c>
      <c r="BC35" s="162">
        <f t="shared" si="2"/>
        <v>9.75</v>
      </c>
      <c r="BD35" s="169" t="str">
        <f t="shared" si="44"/>
        <v>#5 @ 6</v>
      </c>
      <c r="BE35" s="87">
        <f t="shared" si="45"/>
        <v>0.88855783863322702</v>
      </c>
      <c r="BF35" s="129">
        <f t="shared" si="46"/>
        <v>2.0140644342353149E-2</v>
      </c>
      <c r="BG35" s="191">
        <f t="shared" si="47"/>
        <v>2.625</v>
      </c>
      <c r="BH35" s="22">
        <f t="shared" si="48"/>
        <v>36.223200777998223</v>
      </c>
      <c r="BI35" s="55">
        <f t="shared" si="3"/>
        <v>9.75</v>
      </c>
      <c r="BJ35" s="87">
        <f t="shared" si="49"/>
        <v>1.5263157894736841</v>
      </c>
      <c r="BK35" s="69">
        <f t="shared" si="50"/>
        <v>6</v>
      </c>
      <c r="BM35" s="87">
        <f t="shared" si="51"/>
        <v>0.54630444769694464</v>
      </c>
      <c r="BN35" s="129">
        <f t="shared" si="52"/>
        <v>1.238290081446408E-2</v>
      </c>
      <c r="BO35" s="43">
        <f t="shared" si="53"/>
        <v>1.8125</v>
      </c>
      <c r="BP35" s="22">
        <f t="shared" si="54"/>
        <v>29.958495119289619</v>
      </c>
      <c r="BQ35" s="87">
        <f t="shared" si="55"/>
        <v>1.3262092238470191</v>
      </c>
      <c r="BR35" s="131">
        <f t="shared" si="56"/>
        <v>6</v>
      </c>
      <c r="BT35" s="1"/>
      <c r="BU35" s="1"/>
      <c r="BV35" s="156"/>
      <c r="BW35" s="156"/>
      <c r="BX35" s="156"/>
      <c r="BY35" s="156"/>
      <c r="BZ35" s="156"/>
    </row>
    <row r="36" spans="1:78" x14ac:dyDescent="0.2">
      <c r="A36" s="8">
        <v>12.75</v>
      </c>
      <c r="B36" s="222">
        <v>9.75</v>
      </c>
      <c r="C36" s="43">
        <f t="shared" si="9"/>
        <v>0.121875</v>
      </c>
      <c r="D36" s="61">
        <f t="shared" si="10"/>
        <v>-1.98123046875</v>
      </c>
      <c r="E36" s="101">
        <f t="shared" si="11"/>
        <v>1.5849843749999999</v>
      </c>
      <c r="F36" s="61">
        <f t="shared" si="12"/>
        <v>-0.81281250000000016</v>
      </c>
      <c r="G36" s="110">
        <f t="shared" si="13"/>
        <v>0.65024999999999999</v>
      </c>
      <c r="H36" s="61">
        <v>-9.3000000000000007</v>
      </c>
      <c r="I36" s="101">
        <v>8.41</v>
      </c>
      <c r="J36" s="61">
        <f t="shared" si="14"/>
        <v>-12.094042968750001</v>
      </c>
      <c r="K36" s="113">
        <f t="shared" si="14"/>
        <v>10.645234375000001</v>
      </c>
      <c r="L36" s="238">
        <v>5</v>
      </c>
      <c r="M36" s="238">
        <v>5.5</v>
      </c>
      <c r="N36" s="298">
        <v>0.31</v>
      </c>
      <c r="O36" s="286">
        <v>0.625</v>
      </c>
      <c r="P36" s="44">
        <f t="shared" si="15"/>
        <v>0.67636363636363628</v>
      </c>
      <c r="Q36" s="262">
        <f t="shared" si="16"/>
        <v>6.9375</v>
      </c>
      <c r="R36" s="307">
        <f t="shared" si="58"/>
        <v>7.4375</v>
      </c>
      <c r="S36" s="61">
        <f t="shared" si="18"/>
        <v>-33.506696590743971</v>
      </c>
      <c r="T36" s="110">
        <f t="shared" si="19"/>
        <v>27.510048172494805</v>
      </c>
      <c r="U36" s="132">
        <v>2</v>
      </c>
      <c r="V36" s="73">
        <v>1.5</v>
      </c>
      <c r="W36" s="132">
        <f t="shared" si="20"/>
        <v>2.1818181818181817</v>
      </c>
      <c r="X36" s="245">
        <f t="shared" si="21"/>
        <v>22</v>
      </c>
      <c r="Y36" s="26">
        <f t="shared" si="22"/>
        <v>16.5</v>
      </c>
      <c r="Z36" s="9">
        <v>130</v>
      </c>
      <c r="AA36" s="89">
        <f t="shared" si="23"/>
        <v>36.870040192552679</v>
      </c>
      <c r="AB36" s="64">
        <f t="shared" si="24"/>
        <v>44.656307494224144</v>
      </c>
      <c r="AC36" s="245">
        <f t="shared" si="25"/>
        <v>48</v>
      </c>
      <c r="AE36" s="57">
        <f t="shared" si="26"/>
        <v>12.75</v>
      </c>
      <c r="AF36" s="57">
        <f t="shared" si="0"/>
        <v>9.75</v>
      </c>
      <c r="AG36" s="175" t="str">
        <f t="shared" si="27"/>
        <v>#5 @ 5.5</v>
      </c>
      <c r="AH36" s="57">
        <v>8</v>
      </c>
      <c r="AI36" s="57">
        <f t="shared" si="28"/>
        <v>1800</v>
      </c>
      <c r="AJ36" s="49">
        <f t="shared" si="29"/>
        <v>48000</v>
      </c>
      <c r="AK36" s="44">
        <f t="shared" si="30"/>
        <v>0.23076923076923078</v>
      </c>
      <c r="AL36" s="10">
        <f t="shared" si="31"/>
        <v>0.92307692307692313</v>
      </c>
      <c r="AM36" s="61">
        <f t="shared" si="1"/>
        <v>-12.094042968750001</v>
      </c>
      <c r="AN36" s="110">
        <f t="shared" si="1"/>
        <v>10.645234375000001</v>
      </c>
      <c r="AO36" s="257">
        <f t="shared" si="32"/>
        <v>2.0906814828513838</v>
      </c>
      <c r="AP36" s="61">
        <f t="shared" si="33"/>
        <v>0.90181818181818174</v>
      </c>
      <c r="AQ36" s="158">
        <f t="shared" si="34"/>
        <v>-6.256363636363635</v>
      </c>
      <c r="AR36" s="113">
        <f t="shared" si="35"/>
        <v>0.90181818181818174</v>
      </c>
      <c r="AS36" s="113">
        <f t="shared" si="36"/>
        <v>-6.7072727272727262</v>
      </c>
      <c r="AT36" s="104">
        <f t="shared" si="37"/>
        <v>2.1778913457040026</v>
      </c>
      <c r="AU36" s="61">
        <f t="shared" si="38"/>
        <v>-23.255515829095348</v>
      </c>
      <c r="AV36" s="110">
        <f t="shared" si="39"/>
        <v>19.033319399442757</v>
      </c>
      <c r="AW36" s="81">
        <f t="shared" si="40"/>
        <v>-1.8539023455466959</v>
      </c>
      <c r="AX36" s="107">
        <f t="shared" si="41"/>
        <v>1.4565556294461088</v>
      </c>
      <c r="AY36" s="61">
        <f t="shared" si="42"/>
        <v>-34.383155123662476</v>
      </c>
      <c r="AZ36" s="110">
        <f t="shared" si="43"/>
        <v>28.14066040240192</v>
      </c>
      <c r="BA36" s="155"/>
      <c r="BB36" s="57">
        <f t="shared" si="2"/>
        <v>12.75</v>
      </c>
      <c r="BC36" s="120">
        <f t="shared" si="2"/>
        <v>9.75</v>
      </c>
      <c r="BD36" s="175" t="str">
        <f t="shared" si="44"/>
        <v>#5 @ 5.5</v>
      </c>
      <c r="BE36" s="89">
        <f t="shared" si="45"/>
        <v>0.80593598569938163</v>
      </c>
      <c r="BF36" s="235">
        <f t="shared" si="46"/>
        <v>1.8267882342519318E-2</v>
      </c>
      <c r="BG36" s="234">
        <f t="shared" si="47"/>
        <v>2.625</v>
      </c>
      <c r="BH36" s="25">
        <f t="shared" si="48"/>
        <v>34.383155123662476</v>
      </c>
      <c r="BI36" s="57">
        <f t="shared" si="3"/>
        <v>9.75</v>
      </c>
      <c r="BJ36" s="89">
        <f t="shared" si="49"/>
        <v>1.5263157894736841</v>
      </c>
      <c r="BK36" s="132">
        <f t="shared" si="50"/>
        <v>5.5</v>
      </c>
      <c r="BM36" s="89">
        <f t="shared" si="51"/>
        <v>0.48649811563022782</v>
      </c>
      <c r="BN36" s="235">
        <f t="shared" si="52"/>
        <v>1.1027290620951832E-2</v>
      </c>
      <c r="BO36" s="44">
        <f t="shared" si="53"/>
        <v>1.8125</v>
      </c>
      <c r="BP36" s="25">
        <f t="shared" si="54"/>
        <v>28.14066040240192</v>
      </c>
      <c r="BQ36" s="89">
        <f t="shared" si="55"/>
        <v>1.3262092238470191</v>
      </c>
      <c r="BR36" s="132">
        <f t="shared" si="56"/>
        <v>5.5</v>
      </c>
      <c r="BT36" s="1"/>
      <c r="BU36" s="1"/>
      <c r="BV36" s="156"/>
      <c r="BW36" s="156"/>
      <c r="BX36" s="156"/>
      <c r="BY36" s="156"/>
      <c r="BZ36" s="156"/>
    </row>
    <row r="37" spans="1:78" x14ac:dyDescent="0.2">
      <c r="A37" s="2">
        <v>13</v>
      </c>
      <c r="B37" s="221">
        <v>10</v>
      </c>
      <c r="C37" s="42">
        <f t="shared" si="9"/>
        <v>0.125</v>
      </c>
      <c r="D37" s="253">
        <f t="shared" si="10"/>
        <v>-2.1125000000000003</v>
      </c>
      <c r="E37" s="99">
        <f t="shared" si="11"/>
        <v>1.69</v>
      </c>
      <c r="F37" s="253">
        <f t="shared" si="12"/>
        <v>-0.8450000000000002</v>
      </c>
      <c r="G37" s="108">
        <f t="shared" si="13"/>
        <v>0.67600000000000005</v>
      </c>
      <c r="H37" s="253">
        <v>-9.5500000000000007</v>
      </c>
      <c r="I37" s="99">
        <v>8.5399999999999991</v>
      </c>
      <c r="J37" s="253">
        <f t="shared" si="14"/>
        <v>-12.5075</v>
      </c>
      <c r="K37" s="111">
        <f t="shared" si="14"/>
        <v>10.905999999999999</v>
      </c>
      <c r="L37" s="297">
        <v>5</v>
      </c>
      <c r="M37" s="236">
        <v>5.5</v>
      </c>
      <c r="N37" s="297">
        <v>0.31</v>
      </c>
      <c r="O37" s="269">
        <v>0.625</v>
      </c>
      <c r="P37" s="43">
        <f t="shared" si="15"/>
        <v>0.67636363636363628</v>
      </c>
      <c r="Q37" s="260">
        <f t="shared" si="16"/>
        <v>7.1875</v>
      </c>
      <c r="R37" s="306">
        <f t="shared" si="58"/>
        <v>7.6875</v>
      </c>
      <c r="S37" s="253">
        <f t="shared" si="18"/>
        <v>-33.446891070593736</v>
      </c>
      <c r="T37" s="99">
        <f t="shared" si="19"/>
        <v>27.267383512544797</v>
      </c>
      <c r="U37" s="131">
        <v>2</v>
      </c>
      <c r="V37" s="69">
        <v>1.5</v>
      </c>
      <c r="W37" s="23">
        <f t="shared" si="20"/>
        <v>2.1818181818181817</v>
      </c>
      <c r="X37" s="201">
        <f t="shared" si="21"/>
        <v>22</v>
      </c>
      <c r="Y37" s="24">
        <f t="shared" si="22"/>
        <v>16.5</v>
      </c>
      <c r="Z37" s="3">
        <v>130</v>
      </c>
      <c r="AA37" s="87">
        <f t="shared" si="23"/>
        <v>36.870040192552679</v>
      </c>
      <c r="AB37" s="63">
        <f t="shared" si="24"/>
        <v>44.656307494224144</v>
      </c>
      <c r="AC37" s="24">
        <f t="shared" si="25"/>
        <v>48</v>
      </c>
      <c r="AE37" s="2">
        <f t="shared" si="26"/>
        <v>13</v>
      </c>
      <c r="AF37" s="55">
        <f t="shared" si="0"/>
        <v>10</v>
      </c>
      <c r="AG37" s="169" t="str">
        <f t="shared" si="27"/>
        <v>#5 @ 5.5</v>
      </c>
      <c r="AH37" s="55">
        <v>8</v>
      </c>
      <c r="AI37" s="55">
        <f t="shared" si="28"/>
        <v>1800</v>
      </c>
      <c r="AJ37" s="47">
        <f t="shared" si="29"/>
        <v>48000</v>
      </c>
      <c r="AK37" s="43">
        <f t="shared" si="30"/>
        <v>0.23076923076923078</v>
      </c>
      <c r="AL37" s="155">
        <f t="shared" si="31"/>
        <v>0.92307692307692313</v>
      </c>
      <c r="AM37" s="253">
        <f t="shared" si="1"/>
        <v>-12.5075</v>
      </c>
      <c r="AN37" s="108">
        <f t="shared" si="1"/>
        <v>10.905999999999999</v>
      </c>
      <c r="AO37" s="195">
        <f t="shared" si="32"/>
        <v>2.1346541340155376</v>
      </c>
      <c r="AP37" s="253">
        <f t="shared" si="33"/>
        <v>0.90181818181818174</v>
      </c>
      <c r="AQ37" s="157">
        <f t="shared" si="34"/>
        <v>-6.4818181818181806</v>
      </c>
      <c r="AR37" s="111">
        <f t="shared" si="35"/>
        <v>0.90181818181818174</v>
      </c>
      <c r="AS37" s="111">
        <f t="shared" si="36"/>
        <v>-6.9327272727272726</v>
      </c>
      <c r="AT37" s="102">
        <f t="shared" si="37"/>
        <v>2.2204288287468512</v>
      </c>
      <c r="AU37" s="253">
        <f t="shared" si="38"/>
        <v>-23.176527295203737</v>
      </c>
      <c r="AV37" s="108">
        <f t="shared" si="39"/>
        <v>18.837667176836224</v>
      </c>
      <c r="AW37" s="82">
        <f t="shared" si="40"/>
        <v>-1.8095458592790035</v>
      </c>
      <c r="AX37" s="118">
        <f t="shared" si="41"/>
        <v>1.4139661472109784</v>
      </c>
      <c r="AY37" s="253">
        <f t="shared" si="42"/>
        <v>-34.266371000973265</v>
      </c>
      <c r="AZ37" s="108">
        <f t="shared" si="43"/>
        <v>27.851389643171832</v>
      </c>
      <c r="BA37" s="155"/>
      <c r="BB37" s="2">
        <f t="shared" si="2"/>
        <v>13</v>
      </c>
      <c r="BC37" s="162">
        <f t="shared" si="2"/>
        <v>10</v>
      </c>
      <c r="BD37" s="169" t="str">
        <f t="shared" si="44"/>
        <v>#5 @ 5.5</v>
      </c>
      <c r="BE37" s="87">
        <f t="shared" si="45"/>
        <v>0.79380993838211078</v>
      </c>
      <c r="BF37" s="129">
        <f t="shared" si="46"/>
        <v>1.7993025269994512E-2</v>
      </c>
      <c r="BG37" s="191">
        <f t="shared" si="47"/>
        <v>2.625</v>
      </c>
      <c r="BH37" s="22">
        <f t="shared" si="48"/>
        <v>34.266371000973265</v>
      </c>
      <c r="BI37" s="55">
        <f t="shared" si="3"/>
        <v>10</v>
      </c>
      <c r="BJ37" s="87">
        <f t="shared" si="49"/>
        <v>1.5084745762711864</v>
      </c>
      <c r="BK37" s="69">
        <f t="shared" si="50"/>
        <v>5.5</v>
      </c>
      <c r="BM37" s="87">
        <f t="shared" si="51"/>
        <v>0.47788086011246167</v>
      </c>
      <c r="BN37" s="129">
        <f t="shared" si="52"/>
        <v>1.0831966162549132E-2</v>
      </c>
      <c r="BO37" s="43">
        <f t="shared" si="53"/>
        <v>1.8125</v>
      </c>
      <c r="BP37" s="22">
        <f t="shared" si="54"/>
        <v>27.851389643171832</v>
      </c>
      <c r="BQ37" s="87">
        <f t="shared" si="55"/>
        <v>1.3162486368593238</v>
      </c>
      <c r="BR37" s="131">
        <f t="shared" si="56"/>
        <v>5.5</v>
      </c>
      <c r="BT37" s="1"/>
      <c r="BU37" s="1"/>
      <c r="BV37" s="156"/>
      <c r="BW37" s="156"/>
      <c r="BX37" s="156"/>
      <c r="BY37" s="156"/>
      <c r="BZ37" s="156"/>
    </row>
    <row r="38" spans="1:78" x14ac:dyDescent="0.2">
      <c r="A38" s="2">
        <v>13.25</v>
      </c>
      <c r="B38" s="221">
        <v>10</v>
      </c>
      <c r="C38" s="43">
        <f t="shared" si="9"/>
        <v>0.125</v>
      </c>
      <c r="D38" s="253">
        <f t="shared" si="10"/>
        <v>-2.1945312500000003</v>
      </c>
      <c r="E38" s="99">
        <f t="shared" si="11"/>
        <v>1.755625</v>
      </c>
      <c r="F38" s="253">
        <f t="shared" si="12"/>
        <v>-0.87781250000000022</v>
      </c>
      <c r="G38" s="108">
        <f t="shared" si="13"/>
        <v>0.70225000000000004</v>
      </c>
      <c r="H38" s="253">
        <v>-9.8000000000000007</v>
      </c>
      <c r="I38" s="99">
        <v>8.66</v>
      </c>
      <c r="J38" s="253">
        <f t="shared" si="14"/>
        <v>-12.872343750000001</v>
      </c>
      <c r="K38" s="111">
        <f t="shared" si="14"/>
        <v>11.117875</v>
      </c>
      <c r="L38" s="297">
        <v>5</v>
      </c>
      <c r="M38" s="236">
        <v>5.5</v>
      </c>
      <c r="N38" s="297">
        <v>0.31</v>
      </c>
      <c r="O38" s="269">
        <v>0.625</v>
      </c>
      <c r="P38" s="43">
        <f t="shared" si="15"/>
        <v>0.67636363636363628</v>
      </c>
      <c r="Q38" s="260">
        <f t="shared" si="16"/>
        <v>7.1875</v>
      </c>
      <c r="R38" s="306">
        <f t="shared" si="58"/>
        <v>7.6875</v>
      </c>
      <c r="S38" s="253">
        <f t="shared" si="18"/>
        <v>-34.422536816269286</v>
      </c>
      <c r="T38" s="99">
        <f t="shared" si="19"/>
        <v>27.797117317947372</v>
      </c>
      <c r="U38" s="131">
        <v>2</v>
      </c>
      <c r="V38" s="69">
        <v>1.5</v>
      </c>
      <c r="W38" s="23">
        <f t="shared" si="20"/>
        <v>2.1818181818181817</v>
      </c>
      <c r="X38" s="201">
        <f t="shared" si="21"/>
        <v>22</v>
      </c>
      <c r="Y38" s="24">
        <f t="shared" si="22"/>
        <v>16.5</v>
      </c>
      <c r="Z38" s="3">
        <v>130</v>
      </c>
      <c r="AA38" s="87">
        <f t="shared" si="23"/>
        <v>36.870040192552679</v>
      </c>
      <c r="AB38" s="63">
        <f t="shared" si="24"/>
        <v>44.656307494224144</v>
      </c>
      <c r="AC38" s="24">
        <f t="shared" si="25"/>
        <v>48</v>
      </c>
      <c r="AE38" s="2">
        <f t="shared" si="26"/>
        <v>13.25</v>
      </c>
      <c r="AF38" s="55">
        <f t="shared" si="0"/>
        <v>10</v>
      </c>
      <c r="AG38" s="169" t="str">
        <f t="shared" si="27"/>
        <v>#5 @ 5.5</v>
      </c>
      <c r="AH38" s="55">
        <v>8</v>
      </c>
      <c r="AI38" s="55">
        <f t="shared" si="28"/>
        <v>1800</v>
      </c>
      <c r="AJ38" s="47">
        <f t="shared" si="29"/>
        <v>48000</v>
      </c>
      <c r="AK38" s="43">
        <f t="shared" si="30"/>
        <v>0.23076923076923078</v>
      </c>
      <c r="AL38" s="155">
        <f t="shared" si="31"/>
        <v>0.92307692307692313</v>
      </c>
      <c r="AM38" s="253">
        <f t="shared" si="1"/>
        <v>-12.872343750000001</v>
      </c>
      <c r="AN38" s="108">
        <f t="shared" si="1"/>
        <v>11.117875</v>
      </c>
      <c r="AO38" s="195">
        <f t="shared" si="32"/>
        <v>2.1346541340155376</v>
      </c>
      <c r="AP38" s="253">
        <f t="shared" si="33"/>
        <v>0.90181818181818174</v>
      </c>
      <c r="AQ38" s="157">
        <f t="shared" si="34"/>
        <v>-6.4818181818181806</v>
      </c>
      <c r="AR38" s="111">
        <f t="shared" si="35"/>
        <v>0.90181818181818174</v>
      </c>
      <c r="AS38" s="111">
        <f t="shared" si="36"/>
        <v>-6.9327272727272726</v>
      </c>
      <c r="AT38" s="102">
        <f t="shared" si="37"/>
        <v>2.2204288287468512</v>
      </c>
      <c r="AU38" s="253">
        <f t="shared" si="38"/>
        <v>-23.852586550079575</v>
      </c>
      <c r="AV38" s="108">
        <f t="shared" si="39"/>
        <v>19.203633684546862</v>
      </c>
      <c r="AW38" s="82">
        <f t="shared" si="40"/>
        <v>-1.8623303083772507</v>
      </c>
      <c r="AX38" s="118">
        <f t="shared" si="41"/>
        <v>1.4414358040457784</v>
      </c>
      <c r="AY38" s="253">
        <f t="shared" si="42"/>
        <v>-35.265920974580013</v>
      </c>
      <c r="AZ38" s="108">
        <f t="shared" si="43"/>
        <v>28.392469157260141</v>
      </c>
      <c r="BA38" s="155"/>
      <c r="BB38" s="2">
        <f t="shared" si="2"/>
        <v>13.25</v>
      </c>
      <c r="BC38" s="162">
        <f t="shared" si="2"/>
        <v>10</v>
      </c>
      <c r="BD38" s="169" t="str">
        <f t="shared" si="44"/>
        <v>#5 @ 5.5</v>
      </c>
      <c r="BE38" s="87">
        <f t="shared" si="45"/>
        <v>0.81696537269804903</v>
      </c>
      <c r="BF38" s="129">
        <f t="shared" si="46"/>
        <v>1.8517881781155779E-2</v>
      </c>
      <c r="BG38" s="191">
        <f t="shared" si="47"/>
        <v>2.625</v>
      </c>
      <c r="BH38" s="22">
        <f t="shared" si="48"/>
        <v>35.265920974580013</v>
      </c>
      <c r="BI38" s="55">
        <f t="shared" si="3"/>
        <v>10</v>
      </c>
      <c r="BJ38" s="87">
        <f t="shared" si="49"/>
        <v>1.5084745762711864</v>
      </c>
      <c r="BK38" s="69">
        <f t="shared" si="50"/>
        <v>5.5</v>
      </c>
      <c r="BM38" s="87">
        <f t="shared" si="51"/>
        <v>0.48716483290141543</v>
      </c>
      <c r="BN38" s="129">
        <f t="shared" si="52"/>
        <v>1.104240287909875E-2</v>
      </c>
      <c r="BO38" s="43">
        <f t="shared" si="53"/>
        <v>1.8125</v>
      </c>
      <c r="BP38" s="22">
        <f t="shared" si="54"/>
        <v>28.392469157260141</v>
      </c>
      <c r="BQ38" s="87">
        <f t="shared" si="55"/>
        <v>1.3162486368593238</v>
      </c>
      <c r="BR38" s="131">
        <f t="shared" si="56"/>
        <v>5.5</v>
      </c>
      <c r="BT38" s="1"/>
      <c r="BU38" s="1"/>
      <c r="BV38" s="156"/>
      <c r="BW38" s="156"/>
      <c r="BX38" s="156"/>
      <c r="BY38" s="156"/>
      <c r="BZ38" s="156"/>
    </row>
    <row r="39" spans="1:78" x14ac:dyDescent="0.2">
      <c r="A39" s="2">
        <v>13.5</v>
      </c>
      <c r="B39" s="221">
        <v>10.25</v>
      </c>
      <c r="C39" s="43">
        <f t="shared" si="9"/>
        <v>0.12812499999999999</v>
      </c>
      <c r="D39" s="253">
        <f t="shared" si="10"/>
        <v>-2.3350781249999999</v>
      </c>
      <c r="E39" s="99">
        <f t="shared" si="11"/>
        <v>1.8680624999999997</v>
      </c>
      <c r="F39" s="253">
        <f t="shared" si="12"/>
        <v>-0.91125000000000023</v>
      </c>
      <c r="G39" s="108">
        <f t="shared" si="13"/>
        <v>0.72899999999999998</v>
      </c>
      <c r="H39" s="253">
        <v>-10.029999999999999</v>
      </c>
      <c r="I39" s="99">
        <v>8.7799999999999994</v>
      </c>
      <c r="J39" s="253">
        <f t="shared" si="14"/>
        <v>-13.276328124999999</v>
      </c>
      <c r="K39" s="111">
        <f t="shared" si="14"/>
        <v>11.377062499999999</v>
      </c>
      <c r="L39" s="297">
        <v>5</v>
      </c>
      <c r="M39" s="236">
        <v>5.5</v>
      </c>
      <c r="N39" s="297">
        <v>0.31</v>
      </c>
      <c r="O39" s="269">
        <v>0.625</v>
      </c>
      <c r="P39" s="43">
        <f t="shared" si="15"/>
        <v>0.67636363636363628</v>
      </c>
      <c r="Q39" s="260">
        <f t="shared" si="16"/>
        <v>7.4375</v>
      </c>
      <c r="R39" s="306">
        <f t="shared" si="58"/>
        <v>7.9375</v>
      </c>
      <c r="S39" s="253">
        <f t="shared" si="18"/>
        <v>-34.309477218306675</v>
      </c>
      <c r="T39" s="99">
        <f t="shared" si="19"/>
        <v>27.54923270679874</v>
      </c>
      <c r="U39" s="131">
        <v>2</v>
      </c>
      <c r="V39" s="69">
        <v>1.5</v>
      </c>
      <c r="W39" s="23">
        <f t="shared" si="20"/>
        <v>2.1818181818181817</v>
      </c>
      <c r="X39" s="201">
        <f t="shared" si="21"/>
        <v>22</v>
      </c>
      <c r="Y39" s="24">
        <f t="shared" si="22"/>
        <v>16.5</v>
      </c>
      <c r="Z39" s="3">
        <v>130</v>
      </c>
      <c r="AA39" s="87">
        <f t="shared" si="23"/>
        <v>36.870040192552679</v>
      </c>
      <c r="AB39" s="63">
        <f t="shared" si="24"/>
        <v>44.656307494224144</v>
      </c>
      <c r="AC39" s="24">
        <f t="shared" si="25"/>
        <v>48</v>
      </c>
      <c r="AE39" s="2">
        <f t="shared" si="26"/>
        <v>13.5</v>
      </c>
      <c r="AF39" s="55">
        <f t="shared" si="0"/>
        <v>10.25</v>
      </c>
      <c r="AG39" s="169" t="str">
        <f t="shared" si="27"/>
        <v>#5 @ 5.5</v>
      </c>
      <c r="AH39" s="55">
        <v>8</v>
      </c>
      <c r="AI39" s="55">
        <f t="shared" si="28"/>
        <v>1800</v>
      </c>
      <c r="AJ39" s="47">
        <f t="shared" si="29"/>
        <v>48000</v>
      </c>
      <c r="AK39" s="43">
        <f t="shared" si="30"/>
        <v>0.23076923076923078</v>
      </c>
      <c r="AL39" s="155">
        <f t="shared" si="31"/>
        <v>0.92307692307692313</v>
      </c>
      <c r="AM39" s="253">
        <f t="shared" si="1"/>
        <v>-13.276328124999999</v>
      </c>
      <c r="AN39" s="108">
        <f t="shared" si="1"/>
        <v>11.377062499999999</v>
      </c>
      <c r="AO39" s="195">
        <f t="shared" si="32"/>
        <v>2.1778913457040026</v>
      </c>
      <c r="AP39" s="253">
        <f t="shared" si="33"/>
        <v>0.90181818181818174</v>
      </c>
      <c r="AQ39" s="157">
        <f t="shared" si="34"/>
        <v>-6.7072727272727262</v>
      </c>
      <c r="AR39" s="111">
        <f t="shared" si="35"/>
        <v>0.90181818181818174</v>
      </c>
      <c r="AS39" s="111">
        <f t="shared" si="36"/>
        <v>-7.1581818181818173</v>
      </c>
      <c r="AT39" s="102">
        <f t="shared" si="37"/>
        <v>2.2622994942251742</v>
      </c>
      <c r="AU39" s="253">
        <f t="shared" si="38"/>
        <v>-23.737626129526149</v>
      </c>
      <c r="AV39" s="108">
        <f t="shared" si="39"/>
        <v>19.005588829219754</v>
      </c>
      <c r="AW39" s="82">
        <f t="shared" si="40"/>
        <v>-1.8165603299685404</v>
      </c>
      <c r="AX39" s="118">
        <f t="shared" si="41"/>
        <v>1.4001674607137629</v>
      </c>
      <c r="AY39" s="253">
        <f t="shared" si="42"/>
        <v>-35.095952610858546</v>
      </c>
      <c r="AZ39" s="108">
        <f t="shared" si="43"/>
        <v>28.099660903416304</v>
      </c>
      <c r="BA39" s="155"/>
      <c r="BB39" s="2">
        <f t="shared" si="2"/>
        <v>13.5</v>
      </c>
      <c r="BC39" s="162">
        <f t="shared" si="2"/>
        <v>10.25</v>
      </c>
      <c r="BD39" s="169" t="str">
        <f t="shared" si="44"/>
        <v>#5 @ 5.5</v>
      </c>
      <c r="BE39" s="87">
        <f t="shared" si="45"/>
        <v>0.80404252087991512</v>
      </c>
      <c r="BF39" s="129">
        <f t="shared" si="46"/>
        <v>1.822496380661141E-2</v>
      </c>
      <c r="BG39" s="191">
        <f t="shared" si="47"/>
        <v>2.625</v>
      </c>
      <c r="BH39" s="22">
        <f t="shared" si="48"/>
        <v>35.095952610858546</v>
      </c>
      <c r="BI39" s="55">
        <f t="shared" si="3"/>
        <v>10.25</v>
      </c>
      <c r="BJ39" s="87">
        <f t="shared" si="49"/>
        <v>1.4918032786885247</v>
      </c>
      <c r="BK39" s="69">
        <f t="shared" si="50"/>
        <v>5.5</v>
      </c>
      <c r="BM39" s="87">
        <f t="shared" si="51"/>
        <v>0.4787084143513789</v>
      </c>
      <c r="BN39" s="129">
        <f t="shared" si="52"/>
        <v>1.0850724058631257E-2</v>
      </c>
      <c r="BO39" s="43">
        <f t="shared" si="53"/>
        <v>1.8125</v>
      </c>
      <c r="BP39" s="22">
        <f t="shared" si="54"/>
        <v>28.099660903416304</v>
      </c>
      <c r="BQ39" s="87">
        <f t="shared" si="55"/>
        <v>1.306878306878307</v>
      </c>
      <c r="BR39" s="131">
        <f t="shared" si="56"/>
        <v>5.5</v>
      </c>
      <c r="BT39" s="1"/>
      <c r="BU39" s="1"/>
      <c r="BV39" s="156"/>
      <c r="BW39" s="156"/>
      <c r="BX39" s="156"/>
      <c r="BY39" s="156"/>
      <c r="BZ39" s="156"/>
    </row>
    <row r="40" spans="1:78" x14ac:dyDescent="0.2">
      <c r="A40" s="8">
        <v>13.75</v>
      </c>
      <c r="B40" s="222">
        <v>10.25</v>
      </c>
      <c r="C40" s="44">
        <f t="shared" si="9"/>
        <v>0.12812499999999999</v>
      </c>
      <c r="D40" s="61">
        <f t="shared" si="10"/>
        <v>-2.42236328125</v>
      </c>
      <c r="E40" s="101">
        <f t="shared" si="11"/>
        <v>1.9378906249999996</v>
      </c>
      <c r="F40" s="61">
        <f t="shared" si="12"/>
        <v>-0.94531250000000022</v>
      </c>
      <c r="G40" s="110">
        <f t="shared" si="13"/>
        <v>0.75624999999999998</v>
      </c>
      <c r="H40" s="61">
        <v>-10.27</v>
      </c>
      <c r="I40" s="101">
        <v>8.9</v>
      </c>
      <c r="J40" s="61">
        <f t="shared" si="14"/>
        <v>-13.63767578125</v>
      </c>
      <c r="K40" s="113">
        <f t="shared" si="14"/>
        <v>11.594140625</v>
      </c>
      <c r="L40" s="238">
        <v>5</v>
      </c>
      <c r="M40" s="238">
        <v>5.5</v>
      </c>
      <c r="N40" s="298">
        <v>0.31</v>
      </c>
      <c r="O40" s="286">
        <v>0.625</v>
      </c>
      <c r="P40" s="44">
        <f t="shared" si="15"/>
        <v>0.67636363636363628</v>
      </c>
      <c r="Q40" s="262">
        <f t="shared" si="16"/>
        <v>7.4375</v>
      </c>
      <c r="R40" s="307">
        <f t="shared" si="58"/>
        <v>7.9375</v>
      </c>
      <c r="S40" s="61">
        <f t="shared" si="18"/>
        <v>-35.243293335479351</v>
      </c>
      <c r="T40" s="110">
        <f t="shared" si="19"/>
        <v>28.074881201845734</v>
      </c>
      <c r="U40" s="132">
        <v>2</v>
      </c>
      <c r="V40" s="73">
        <v>1.5</v>
      </c>
      <c r="W40" s="132">
        <f t="shared" si="20"/>
        <v>2.1818181818181817</v>
      </c>
      <c r="X40" s="245">
        <f t="shared" si="21"/>
        <v>22</v>
      </c>
      <c r="Y40" s="26">
        <f t="shared" si="22"/>
        <v>16.5</v>
      </c>
      <c r="Z40" s="9">
        <v>130</v>
      </c>
      <c r="AA40" s="89">
        <f t="shared" si="23"/>
        <v>36.870040192552679</v>
      </c>
      <c r="AB40" s="64">
        <f t="shared" si="24"/>
        <v>44.656307494224144</v>
      </c>
      <c r="AC40" s="245">
        <f t="shared" si="25"/>
        <v>48</v>
      </c>
      <c r="AE40" s="57">
        <f t="shared" si="26"/>
        <v>13.75</v>
      </c>
      <c r="AF40" s="55">
        <f t="shared" si="0"/>
        <v>10.25</v>
      </c>
      <c r="AG40" s="175" t="str">
        <f t="shared" si="27"/>
        <v>#5 @ 5.5</v>
      </c>
      <c r="AH40" s="55">
        <v>8</v>
      </c>
      <c r="AI40" s="57">
        <f t="shared" si="28"/>
        <v>1800</v>
      </c>
      <c r="AJ40" s="49">
        <f t="shared" si="29"/>
        <v>48000</v>
      </c>
      <c r="AK40" s="43">
        <f t="shared" si="30"/>
        <v>0.23076923076923078</v>
      </c>
      <c r="AL40" s="155">
        <f t="shared" si="31"/>
        <v>0.92307692307692313</v>
      </c>
      <c r="AM40" s="253">
        <f t="shared" si="1"/>
        <v>-13.63767578125</v>
      </c>
      <c r="AN40" s="108">
        <f t="shared" si="1"/>
        <v>11.594140625</v>
      </c>
      <c r="AO40" s="195">
        <f t="shared" si="32"/>
        <v>2.1778913457040026</v>
      </c>
      <c r="AP40" s="253">
        <f t="shared" si="33"/>
        <v>0.90181818181818174</v>
      </c>
      <c r="AQ40" s="157">
        <f t="shared" si="34"/>
        <v>-6.7072727272727262</v>
      </c>
      <c r="AR40" s="111">
        <f t="shared" si="35"/>
        <v>0.90181818181818174</v>
      </c>
      <c r="AS40" s="111">
        <f t="shared" si="36"/>
        <v>-7.1581818181818173</v>
      </c>
      <c r="AT40" s="102">
        <f t="shared" si="37"/>
        <v>2.2622994942251742</v>
      </c>
      <c r="AU40" s="253">
        <f t="shared" si="38"/>
        <v>-24.383703530301677</v>
      </c>
      <c r="AV40" s="108">
        <f t="shared" si="39"/>
        <v>19.3682217661108</v>
      </c>
      <c r="AW40" s="82">
        <f t="shared" si="40"/>
        <v>-1.8660024506731958</v>
      </c>
      <c r="AX40" s="118">
        <f t="shared" si="41"/>
        <v>1.4268831201432295</v>
      </c>
      <c r="AY40" s="253">
        <f t="shared" si="42"/>
        <v>-36.051174574370755</v>
      </c>
      <c r="AZ40" s="108">
        <f t="shared" si="43"/>
        <v>28.635811750970269</v>
      </c>
      <c r="BA40" s="155"/>
      <c r="BB40" s="2">
        <f t="shared" si="2"/>
        <v>13.75</v>
      </c>
      <c r="BC40" s="162">
        <f t="shared" si="2"/>
        <v>10.25</v>
      </c>
      <c r="BD40" s="175" t="str">
        <f t="shared" si="44"/>
        <v>#5 @ 5.5</v>
      </c>
      <c r="BE40" s="87">
        <f t="shared" si="45"/>
        <v>0.82592649947021524</v>
      </c>
      <c r="BF40" s="235">
        <f t="shared" si="46"/>
        <v>1.8721000654658215E-2</v>
      </c>
      <c r="BG40" s="234">
        <f t="shared" si="47"/>
        <v>2.625</v>
      </c>
      <c r="BH40" s="22">
        <f t="shared" si="48"/>
        <v>36.051174574370755</v>
      </c>
      <c r="BI40" s="55">
        <f t="shared" si="3"/>
        <v>10.25</v>
      </c>
      <c r="BJ40" s="87">
        <f t="shared" si="49"/>
        <v>1.4918032786885247</v>
      </c>
      <c r="BK40" s="132">
        <f t="shared" si="50"/>
        <v>5.5</v>
      </c>
      <c r="BM40" s="87">
        <f t="shared" si="51"/>
        <v>0.48784232963127833</v>
      </c>
      <c r="BN40" s="235">
        <f t="shared" si="52"/>
        <v>1.1057759471642309E-2</v>
      </c>
      <c r="BO40" s="44">
        <f t="shared" si="53"/>
        <v>1.8125</v>
      </c>
      <c r="BP40" s="22">
        <f t="shared" si="54"/>
        <v>28.635811750970269</v>
      </c>
      <c r="BQ40" s="87">
        <f t="shared" si="55"/>
        <v>1.306878306878307</v>
      </c>
      <c r="BR40" s="131">
        <f t="shared" si="56"/>
        <v>5.5</v>
      </c>
      <c r="BT40" s="1"/>
      <c r="BU40" s="1"/>
      <c r="BV40" s="156"/>
      <c r="BW40" s="156"/>
      <c r="BX40" s="156"/>
      <c r="BY40" s="156"/>
      <c r="BZ40" s="156"/>
    </row>
    <row r="41" spans="1:78" x14ac:dyDescent="0.2">
      <c r="A41" s="2">
        <v>14</v>
      </c>
      <c r="B41" s="221">
        <v>10.5</v>
      </c>
      <c r="C41" s="43">
        <f t="shared" si="9"/>
        <v>0.13125000000000001</v>
      </c>
      <c r="D41" s="253">
        <f t="shared" si="10"/>
        <v>-2.5725000000000002</v>
      </c>
      <c r="E41" s="99">
        <f t="shared" si="11"/>
        <v>2.0580000000000003</v>
      </c>
      <c r="F41" s="253">
        <f t="shared" si="12"/>
        <v>-0.9800000000000002</v>
      </c>
      <c r="G41" s="108">
        <f t="shared" si="13"/>
        <v>0.78400000000000003</v>
      </c>
      <c r="H41" s="253">
        <v>-10.5</v>
      </c>
      <c r="I41" s="99">
        <v>9.02</v>
      </c>
      <c r="J41" s="253">
        <f t="shared" si="14"/>
        <v>-14.0525</v>
      </c>
      <c r="K41" s="111">
        <f t="shared" si="14"/>
        <v>11.862</v>
      </c>
      <c r="L41" s="297">
        <v>5</v>
      </c>
      <c r="M41" s="236">
        <v>5.5</v>
      </c>
      <c r="N41" s="297">
        <v>0.31</v>
      </c>
      <c r="O41" s="269">
        <v>0.625</v>
      </c>
      <c r="P41" s="43">
        <f t="shared" si="15"/>
        <v>0.67636363636363628</v>
      </c>
      <c r="Q41" s="260">
        <f t="shared" si="16"/>
        <v>7.6875</v>
      </c>
      <c r="R41" s="306">
        <f t="shared" si="58"/>
        <v>8.1875</v>
      </c>
      <c r="S41" s="253">
        <f t="shared" si="18"/>
        <v>-35.134321181921493</v>
      </c>
      <c r="T41" s="99">
        <f t="shared" si="19"/>
        <v>27.84644176311253</v>
      </c>
      <c r="U41" s="131">
        <v>2</v>
      </c>
      <c r="V41" s="69">
        <v>1.5</v>
      </c>
      <c r="W41" s="23">
        <f t="shared" si="20"/>
        <v>2.1818181818181817</v>
      </c>
      <c r="X41" s="201">
        <f t="shared" si="21"/>
        <v>22</v>
      </c>
      <c r="Y41" s="24">
        <f t="shared" si="22"/>
        <v>16.5</v>
      </c>
      <c r="Z41" s="3">
        <v>130</v>
      </c>
      <c r="AA41" s="87">
        <f t="shared" si="23"/>
        <v>36.870040192552679</v>
      </c>
      <c r="AB41" s="63">
        <f t="shared" si="24"/>
        <v>44.656307494224144</v>
      </c>
      <c r="AC41" s="24">
        <f t="shared" si="25"/>
        <v>48</v>
      </c>
      <c r="AE41" s="2">
        <f t="shared" si="26"/>
        <v>14</v>
      </c>
      <c r="AF41" s="56">
        <f t="shared" si="0"/>
        <v>10.5</v>
      </c>
      <c r="AG41" s="169" t="str">
        <f t="shared" si="27"/>
        <v>#5 @ 5.5</v>
      </c>
      <c r="AH41" s="56">
        <v>8</v>
      </c>
      <c r="AI41" s="55">
        <f t="shared" si="28"/>
        <v>1800</v>
      </c>
      <c r="AJ41" s="47">
        <f t="shared" si="29"/>
        <v>48000</v>
      </c>
      <c r="AK41" s="42">
        <f t="shared" si="30"/>
        <v>0.23076923076923078</v>
      </c>
      <c r="AL41" s="19">
        <f t="shared" si="31"/>
        <v>0.92307692307692313</v>
      </c>
      <c r="AM41" s="255">
        <f t="shared" si="1"/>
        <v>-14.0525</v>
      </c>
      <c r="AN41" s="109">
        <f t="shared" si="1"/>
        <v>11.862</v>
      </c>
      <c r="AO41" s="256">
        <f t="shared" si="32"/>
        <v>2.2204288287468512</v>
      </c>
      <c r="AP41" s="255">
        <f t="shared" si="33"/>
        <v>0.90181818181818174</v>
      </c>
      <c r="AQ41" s="160">
        <f t="shared" si="34"/>
        <v>-6.9327272727272726</v>
      </c>
      <c r="AR41" s="112">
        <f t="shared" si="35"/>
        <v>0.90181818181818174</v>
      </c>
      <c r="AS41" s="112">
        <f t="shared" si="36"/>
        <v>-7.3836363636363629</v>
      </c>
      <c r="AT41" s="103">
        <f t="shared" si="37"/>
        <v>2.3035337514640859</v>
      </c>
      <c r="AU41" s="255">
        <f t="shared" si="38"/>
        <v>-24.27253970314424</v>
      </c>
      <c r="AV41" s="109">
        <f t="shared" si="39"/>
        <v>19.184718429054993</v>
      </c>
      <c r="AW41" s="80">
        <f t="shared" si="40"/>
        <v>-1.8219108090667775</v>
      </c>
      <c r="AX41" s="106">
        <f t="shared" si="41"/>
        <v>1.3880643465618507</v>
      </c>
      <c r="AY41" s="255">
        <f t="shared" si="42"/>
        <v>-35.886819453573459</v>
      </c>
      <c r="AZ41" s="109">
        <f t="shared" si="43"/>
        <v>28.364503053710344</v>
      </c>
      <c r="BA41" s="155"/>
      <c r="BB41" s="56">
        <f t="shared" si="2"/>
        <v>14</v>
      </c>
      <c r="BC41" s="119">
        <f t="shared" si="2"/>
        <v>10.5</v>
      </c>
      <c r="BD41" s="169" t="str">
        <f t="shared" si="44"/>
        <v>#5 @ 5.5</v>
      </c>
      <c r="BE41" s="88">
        <f t="shared" si="45"/>
        <v>0.81355663829274527</v>
      </c>
      <c r="BF41" s="129">
        <f t="shared" si="46"/>
        <v>1.8440617134635563E-2</v>
      </c>
      <c r="BG41" s="191">
        <f t="shared" si="47"/>
        <v>2.625</v>
      </c>
      <c r="BH41" s="27">
        <f t="shared" si="48"/>
        <v>35.886819453573459</v>
      </c>
      <c r="BI41" s="56">
        <f t="shared" si="3"/>
        <v>10.5</v>
      </c>
      <c r="BJ41" s="88">
        <f t="shared" si="49"/>
        <v>1.4761904761904763</v>
      </c>
      <c r="BK41" s="69">
        <f t="shared" si="50"/>
        <v>5.5</v>
      </c>
      <c r="BM41" s="88">
        <f t="shared" si="51"/>
        <v>0.47995500239484662</v>
      </c>
      <c r="BN41" s="129">
        <f t="shared" si="52"/>
        <v>1.0878980054283191E-2</v>
      </c>
      <c r="BO41" s="43">
        <f t="shared" si="53"/>
        <v>1.8125</v>
      </c>
      <c r="BP41" s="27">
        <f t="shared" si="54"/>
        <v>28.364503053710344</v>
      </c>
      <c r="BQ41" s="88">
        <f t="shared" si="55"/>
        <v>1.2980472764645428</v>
      </c>
      <c r="BR41" s="130">
        <f t="shared" si="56"/>
        <v>5.5</v>
      </c>
      <c r="BT41" s="1"/>
      <c r="BU41" s="1"/>
      <c r="BV41" s="156"/>
      <c r="BW41" s="156"/>
      <c r="BX41" s="156"/>
      <c r="BY41" s="156"/>
      <c r="BZ41" s="156"/>
    </row>
    <row r="42" spans="1:78" x14ac:dyDescent="0.2">
      <c r="A42" s="2">
        <v>14.25</v>
      </c>
      <c r="B42" s="221">
        <v>10.5</v>
      </c>
      <c r="C42" s="43">
        <f t="shared" si="9"/>
        <v>0.13125000000000001</v>
      </c>
      <c r="D42" s="253">
        <f t="shared" si="10"/>
        <v>-2.6651953125000003</v>
      </c>
      <c r="E42" s="99">
        <f t="shared" si="11"/>
        <v>2.13215625</v>
      </c>
      <c r="F42" s="253">
        <f t="shared" si="12"/>
        <v>-1.0153125000000003</v>
      </c>
      <c r="G42" s="108">
        <f t="shared" si="13"/>
        <v>0.81225000000000003</v>
      </c>
      <c r="H42" s="253">
        <v>-10.72</v>
      </c>
      <c r="I42" s="99">
        <v>9.14</v>
      </c>
      <c r="J42" s="253">
        <f t="shared" si="14"/>
        <v>-14.400507812500001</v>
      </c>
      <c r="K42" s="111">
        <f t="shared" si="14"/>
        <v>12.084406250000001</v>
      </c>
      <c r="L42" s="297">
        <v>5</v>
      </c>
      <c r="M42" s="236">
        <v>5.5</v>
      </c>
      <c r="N42" s="297">
        <v>0.31</v>
      </c>
      <c r="O42" s="269">
        <v>0.625</v>
      </c>
      <c r="P42" s="43">
        <f t="shared" si="15"/>
        <v>0.67636363636363628</v>
      </c>
      <c r="Q42" s="260">
        <f t="shared" si="16"/>
        <v>7.6875</v>
      </c>
      <c r="R42" s="306">
        <f t="shared" si="58"/>
        <v>8.1875</v>
      </c>
      <c r="S42" s="253">
        <f t="shared" si="18"/>
        <v>-36.004416770478187</v>
      </c>
      <c r="T42" s="99">
        <f t="shared" si="19"/>
        <v>28.368547874086843</v>
      </c>
      <c r="U42" s="131">
        <v>2</v>
      </c>
      <c r="V42" s="69">
        <v>1.5</v>
      </c>
      <c r="W42" s="23">
        <f t="shared" si="20"/>
        <v>2.1818181818181817</v>
      </c>
      <c r="X42" s="201">
        <f>12*2*U42/W42</f>
        <v>22</v>
      </c>
      <c r="Y42" s="24">
        <f>12*2*V42/W42</f>
        <v>16.5</v>
      </c>
      <c r="Z42" s="3">
        <v>130</v>
      </c>
      <c r="AA42" s="87">
        <f>Z42/(U42*X42)^0.333</f>
        <v>36.870040192552679</v>
      </c>
      <c r="AB42" s="63">
        <f>Z42/(V42*Y42)^0.333</f>
        <v>44.656307494224144</v>
      </c>
      <c r="AC42" s="24">
        <f t="shared" si="25"/>
        <v>48</v>
      </c>
      <c r="AE42" s="2">
        <f t="shared" si="26"/>
        <v>14.25</v>
      </c>
      <c r="AF42" s="55">
        <f t="shared" si="0"/>
        <v>10.5</v>
      </c>
      <c r="AG42" s="169" t="str">
        <f t="shared" si="27"/>
        <v>#5 @ 5.5</v>
      </c>
      <c r="AH42" s="55">
        <v>8</v>
      </c>
      <c r="AI42" s="55">
        <f t="shared" si="28"/>
        <v>1800</v>
      </c>
      <c r="AJ42" s="47">
        <f t="shared" si="29"/>
        <v>48000</v>
      </c>
      <c r="AK42" s="43">
        <f t="shared" si="30"/>
        <v>0.23076923076923078</v>
      </c>
      <c r="AL42" s="4">
        <f t="shared" si="31"/>
        <v>0.92307692307692313</v>
      </c>
      <c r="AM42" s="253">
        <f t="shared" si="1"/>
        <v>-14.400507812500001</v>
      </c>
      <c r="AN42" s="108">
        <f t="shared" si="1"/>
        <v>12.084406250000001</v>
      </c>
      <c r="AO42" s="195">
        <f t="shared" si="32"/>
        <v>2.2204288287468512</v>
      </c>
      <c r="AP42" s="253">
        <f t="shared" si="33"/>
        <v>0.90181818181818174</v>
      </c>
      <c r="AQ42" s="157">
        <f t="shared" si="34"/>
        <v>-6.9327272727272726</v>
      </c>
      <c r="AR42" s="111">
        <f t="shared" si="35"/>
        <v>0.90181818181818174</v>
      </c>
      <c r="AS42" s="111">
        <f t="shared" si="36"/>
        <v>-7.3836363636363629</v>
      </c>
      <c r="AT42" s="102">
        <f t="shared" si="37"/>
        <v>2.3035337514640859</v>
      </c>
      <c r="AU42" s="253">
        <f t="shared" si="38"/>
        <v>-24.873645089795058</v>
      </c>
      <c r="AV42" s="108">
        <f t="shared" si="39"/>
        <v>19.544421791313635</v>
      </c>
      <c r="AW42" s="79">
        <f t="shared" si="40"/>
        <v>-1.8670301255751167</v>
      </c>
      <c r="AX42" s="105">
        <f t="shared" si="41"/>
        <v>1.4140898216990554</v>
      </c>
      <c r="AY42" s="253">
        <f t="shared" si="42"/>
        <v>-36.775550535987314</v>
      </c>
      <c r="AZ42" s="108">
        <f t="shared" si="43"/>
        <v>28.8963225409207</v>
      </c>
      <c r="BA42" s="155"/>
      <c r="BB42" s="55">
        <f t="shared" si="2"/>
        <v>14.25</v>
      </c>
      <c r="BC42" s="162">
        <f t="shared" si="2"/>
        <v>10.5</v>
      </c>
      <c r="BD42" s="169" t="str">
        <f t="shared" si="44"/>
        <v>#5 @ 5.5</v>
      </c>
      <c r="BE42" s="87">
        <f t="shared" si="45"/>
        <v>0.83370423238896418</v>
      </c>
      <c r="BF42" s="129">
        <f t="shared" si="46"/>
        <v>1.8897295934149856E-2</v>
      </c>
      <c r="BG42" s="191">
        <f t="shared" si="47"/>
        <v>2.625</v>
      </c>
      <c r="BH42" s="22">
        <f t="shared" si="48"/>
        <v>36.775550535987314</v>
      </c>
      <c r="BI42" s="55">
        <f t="shared" si="3"/>
        <v>10.5</v>
      </c>
      <c r="BJ42" s="87">
        <f t="shared" si="49"/>
        <v>1.4761904761904763</v>
      </c>
      <c r="BK42" s="69">
        <f t="shared" si="50"/>
        <v>5.5</v>
      </c>
      <c r="BM42" s="87">
        <f t="shared" si="51"/>
        <v>0.48895390580501175</v>
      </c>
      <c r="BN42" s="129">
        <f t="shared" si="52"/>
        <v>1.1082955198246933E-2</v>
      </c>
      <c r="BO42" s="43">
        <f t="shared" si="53"/>
        <v>1.8125</v>
      </c>
      <c r="BP42" s="22">
        <f t="shared" si="54"/>
        <v>28.8963225409207</v>
      </c>
      <c r="BQ42" s="87">
        <f t="shared" si="55"/>
        <v>1.2980472764645428</v>
      </c>
      <c r="BR42" s="131">
        <f t="shared" si="56"/>
        <v>5.5</v>
      </c>
      <c r="BT42" s="1"/>
      <c r="BU42" s="1"/>
      <c r="BV42" s="156"/>
      <c r="BW42" s="156"/>
      <c r="BX42" s="156"/>
      <c r="BY42" s="156"/>
      <c r="BZ42" s="156"/>
    </row>
    <row r="43" spans="1:78" x14ac:dyDescent="0.2">
      <c r="A43" s="2">
        <v>14.5</v>
      </c>
      <c r="B43" s="221">
        <v>10.75</v>
      </c>
      <c r="C43" s="43">
        <f t="shared" si="9"/>
        <v>0.13437499999999999</v>
      </c>
      <c r="D43" s="253">
        <f t="shared" si="10"/>
        <v>-2.825234375</v>
      </c>
      <c r="E43" s="99">
        <f t="shared" si="11"/>
        <v>2.2601874999999998</v>
      </c>
      <c r="F43" s="253">
        <f t="shared" si="12"/>
        <v>-1.0512500000000002</v>
      </c>
      <c r="G43" s="108">
        <f t="shared" si="13"/>
        <v>0.84099999999999997</v>
      </c>
      <c r="H43" s="253">
        <v>-10.94</v>
      </c>
      <c r="I43" s="99">
        <v>9.25</v>
      </c>
      <c r="J43" s="253">
        <f t="shared" si="14"/>
        <v>-14.816484375</v>
      </c>
      <c r="K43" s="111">
        <f t="shared" si="14"/>
        <v>12.3511875</v>
      </c>
      <c r="L43" s="297">
        <v>5</v>
      </c>
      <c r="M43" s="236">
        <v>5.5</v>
      </c>
      <c r="N43" s="297">
        <v>0.31</v>
      </c>
      <c r="O43" s="269">
        <v>0.625</v>
      </c>
      <c r="P43" s="43">
        <f t="shared" si="15"/>
        <v>0.67636363636363628</v>
      </c>
      <c r="Q43" s="260">
        <f t="shared" si="16"/>
        <v>7.9375</v>
      </c>
      <c r="R43" s="306">
        <f t="shared" si="58"/>
        <v>8.4375</v>
      </c>
      <c r="S43" s="253">
        <f t="shared" si="18"/>
        <v>-35.877694786639573</v>
      </c>
      <c r="T43" s="99">
        <f t="shared" si="19"/>
        <v>28.135719832735958</v>
      </c>
      <c r="U43" s="131">
        <v>2</v>
      </c>
      <c r="V43" s="69">
        <v>1.5</v>
      </c>
      <c r="W43" s="23">
        <f t="shared" si="20"/>
        <v>2.1818181818181817</v>
      </c>
      <c r="X43" s="201">
        <f>12*2*U43/W43</f>
        <v>22</v>
      </c>
      <c r="Y43" s="24">
        <f>12*2*V43/W43</f>
        <v>16.5</v>
      </c>
      <c r="Z43" s="3">
        <v>130</v>
      </c>
      <c r="AA43" s="87">
        <f>Z43/(U43*X43)^0.333</f>
        <v>36.870040192552679</v>
      </c>
      <c r="AB43" s="63">
        <f>Z43/(V43*Y43)^0.333</f>
        <v>44.656307494224144</v>
      </c>
      <c r="AC43" s="24">
        <f t="shared" si="25"/>
        <v>48</v>
      </c>
      <c r="AE43" s="2">
        <f t="shared" si="26"/>
        <v>14.5</v>
      </c>
      <c r="AF43" s="55">
        <f t="shared" si="0"/>
        <v>10.75</v>
      </c>
      <c r="AG43" s="169" t="str">
        <f t="shared" si="27"/>
        <v>#5 @ 5.5</v>
      </c>
      <c r="AH43" s="55">
        <v>8</v>
      </c>
      <c r="AI43" s="55">
        <f t="shared" si="28"/>
        <v>1800</v>
      </c>
      <c r="AJ43" s="47">
        <f t="shared" si="29"/>
        <v>48000</v>
      </c>
      <c r="AK43" s="43">
        <f t="shared" si="30"/>
        <v>0.23076923076923078</v>
      </c>
      <c r="AL43" s="4">
        <f t="shared" si="31"/>
        <v>0.92307692307692313</v>
      </c>
      <c r="AM43" s="253">
        <f t="shared" si="1"/>
        <v>-14.816484375</v>
      </c>
      <c r="AN43" s="108">
        <f t="shared" si="1"/>
        <v>12.3511875</v>
      </c>
      <c r="AO43" s="195">
        <f t="shared" si="32"/>
        <v>2.2622994942251742</v>
      </c>
      <c r="AP43" s="253">
        <f t="shared" si="33"/>
        <v>0.90181818181818174</v>
      </c>
      <c r="AQ43" s="157">
        <f t="shared" si="34"/>
        <v>-7.1581818181818173</v>
      </c>
      <c r="AR43" s="111">
        <f t="shared" si="35"/>
        <v>0.90181818181818174</v>
      </c>
      <c r="AS43" s="111">
        <f t="shared" si="36"/>
        <v>-7.6090909090909085</v>
      </c>
      <c r="AT43" s="102">
        <f t="shared" si="37"/>
        <v>2.3441597664458351</v>
      </c>
      <c r="AU43" s="253">
        <f t="shared" si="38"/>
        <v>-24.751205324380443</v>
      </c>
      <c r="AV43" s="108">
        <f t="shared" si="39"/>
        <v>19.358941285205574</v>
      </c>
      <c r="AW43" s="79">
        <f t="shared" si="40"/>
        <v>-1.8234548069019485</v>
      </c>
      <c r="AX43" s="105">
        <f t="shared" si="41"/>
        <v>1.3763951844855968</v>
      </c>
      <c r="AY43" s="253">
        <f t="shared" si="42"/>
        <v>-36.594524001100119</v>
      </c>
      <c r="AZ43" s="108">
        <f t="shared" si="43"/>
        <v>28.62209060984695</v>
      </c>
      <c r="BA43" s="155"/>
      <c r="BB43" s="55">
        <f t="shared" si="2"/>
        <v>14.5</v>
      </c>
      <c r="BC43" s="162">
        <f t="shared" si="2"/>
        <v>10.75</v>
      </c>
      <c r="BD43" s="169" t="str">
        <f t="shared" si="44"/>
        <v>#5 @ 5.5</v>
      </c>
      <c r="BE43" s="87">
        <f t="shared" si="45"/>
        <v>0.82136610189282411</v>
      </c>
      <c r="BF43" s="129">
        <f t="shared" si="46"/>
        <v>1.8617631642904014E-2</v>
      </c>
      <c r="BG43" s="191">
        <f t="shared" si="47"/>
        <v>2.625</v>
      </c>
      <c r="BH43" s="22">
        <f t="shared" si="48"/>
        <v>36.594524001100119</v>
      </c>
      <c r="BI43" s="55">
        <f t="shared" si="3"/>
        <v>10.75</v>
      </c>
      <c r="BJ43" s="87">
        <f t="shared" si="49"/>
        <v>1.4615384615384617</v>
      </c>
      <c r="BK43" s="69">
        <f t="shared" si="50"/>
        <v>5.5</v>
      </c>
      <c r="BM43" s="87">
        <f t="shared" si="51"/>
        <v>0.4812030264991804</v>
      </c>
      <c r="BN43" s="129">
        <f t="shared" si="52"/>
        <v>1.090726860064809E-2</v>
      </c>
      <c r="BO43" s="43">
        <f t="shared" si="53"/>
        <v>1.8125</v>
      </c>
      <c r="BP43" s="22">
        <f t="shared" si="54"/>
        <v>28.62209060984695</v>
      </c>
      <c r="BQ43" s="87">
        <f t="shared" si="55"/>
        <v>1.2897102897102897</v>
      </c>
      <c r="BR43" s="131">
        <f t="shared" si="56"/>
        <v>5.5</v>
      </c>
      <c r="BT43" s="1"/>
      <c r="BU43" s="1"/>
      <c r="BV43" s="156"/>
      <c r="BW43" s="156"/>
      <c r="BX43" s="156"/>
      <c r="BY43" s="156"/>
      <c r="BZ43" s="156"/>
    </row>
    <row r="44" spans="1:78" x14ac:dyDescent="0.2">
      <c r="A44" s="2">
        <v>14.75</v>
      </c>
      <c r="B44" s="221">
        <v>10.75</v>
      </c>
      <c r="C44" s="43">
        <f t="shared" si="9"/>
        <v>0.13437499999999999</v>
      </c>
      <c r="D44" s="253">
        <f t="shared" si="10"/>
        <v>-2.9234960937499999</v>
      </c>
      <c r="E44" s="99">
        <f t="shared" si="11"/>
        <v>2.3387968749999999</v>
      </c>
      <c r="F44" s="253">
        <f t="shared" si="12"/>
        <v>-1.0878125000000003</v>
      </c>
      <c r="G44" s="108">
        <f t="shared" si="13"/>
        <v>0.87024999999999997</v>
      </c>
      <c r="H44" s="253">
        <v>-11.16</v>
      </c>
      <c r="I44" s="99">
        <v>9.36</v>
      </c>
      <c r="J44" s="253">
        <f t="shared" si="14"/>
        <v>-15.17130859375</v>
      </c>
      <c r="K44" s="111">
        <f t="shared" si="14"/>
        <v>12.569046875</v>
      </c>
      <c r="L44" s="297">
        <v>5</v>
      </c>
      <c r="M44" s="236">
        <v>5.5</v>
      </c>
      <c r="N44" s="297">
        <v>0.31</v>
      </c>
      <c r="O44" s="269">
        <v>0.625</v>
      </c>
      <c r="P44" s="43">
        <f t="shared" si="15"/>
        <v>0.67636363636363628</v>
      </c>
      <c r="Q44" s="260">
        <f t="shared" si="16"/>
        <v>7.9375</v>
      </c>
      <c r="R44" s="306">
        <f t="shared" si="58"/>
        <v>8.4375</v>
      </c>
      <c r="S44" s="253">
        <f t="shared" si="18"/>
        <v>-36.736891523262216</v>
      </c>
      <c r="T44" s="99">
        <f t="shared" si="19"/>
        <v>28.631998456790122</v>
      </c>
      <c r="U44" s="131">
        <v>2</v>
      </c>
      <c r="V44" s="69">
        <v>1.5</v>
      </c>
      <c r="W44" s="23">
        <f t="shared" si="20"/>
        <v>2.1818181818181817</v>
      </c>
      <c r="X44" s="201">
        <f>12*2*U44/W44</f>
        <v>22</v>
      </c>
      <c r="Y44" s="24">
        <f>12*2*V44/W44</f>
        <v>16.5</v>
      </c>
      <c r="Z44" s="3">
        <v>130</v>
      </c>
      <c r="AA44" s="87">
        <f>Z44/(U44*X44)^0.333</f>
        <v>36.870040192552679</v>
      </c>
      <c r="AB44" s="63">
        <f>Z44/(V44*Y44)^0.333</f>
        <v>44.656307494224144</v>
      </c>
      <c r="AC44" s="24">
        <f t="shared" si="25"/>
        <v>48</v>
      </c>
      <c r="AE44" s="2">
        <f t="shared" si="26"/>
        <v>14.75</v>
      </c>
      <c r="AF44" s="55">
        <f t="shared" si="0"/>
        <v>10.75</v>
      </c>
      <c r="AG44" s="169" t="str">
        <f t="shared" si="27"/>
        <v>#5 @ 5.5</v>
      </c>
      <c r="AH44" s="55">
        <v>8</v>
      </c>
      <c r="AI44" s="55">
        <f t="shared" si="28"/>
        <v>1800</v>
      </c>
      <c r="AJ44" s="47">
        <f t="shared" si="29"/>
        <v>48000</v>
      </c>
      <c r="AK44" s="43">
        <f t="shared" si="30"/>
        <v>0.23076923076923078</v>
      </c>
      <c r="AL44" s="4">
        <f t="shared" si="31"/>
        <v>0.92307692307692313</v>
      </c>
      <c r="AM44" s="253">
        <f t="shared" si="1"/>
        <v>-15.17130859375</v>
      </c>
      <c r="AN44" s="108">
        <f t="shared" si="1"/>
        <v>12.569046875</v>
      </c>
      <c r="AO44" s="195">
        <f t="shared" si="32"/>
        <v>2.2622994942251742</v>
      </c>
      <c r="AP44" s="253">
        <f t="shared" si="33"/>
        <v>0.90181818181818174</v>
      </c>
      <c r="AQ44" s="157">
        <f t="shared" si="34"/>
        <v>-7.1581818181818173</v>
      </c>
      <c r="AR44" s="111">
        <f t="shared" si="35"/>
        <v>0.90181818181818174</v>
      </c>
      <c r="AS44" s="111">
        <f t="shared" si="36"/>
        <v>-7.6090909090909085</v>
      </c>
      <c r="AT44" s="102">
        <f t="shared" si="37"/>
        <v>2.3441597664458351</v>
      </c>
      <c r="AU44" s="253">
        <f t="shared" si="38"/>
        <v>-25.343945604062622</v>
      </c>
      <c r="AV44" s="108">
        <f t="shared" si="39"/>
        <v>19.700408601530956</v>
      </c>
      <c r="AW44" s="79">
        <f t="shared" si="40"/>
        <v>-1.8671227858171502</v>
      </c>
      <c r="AX44" s="105">
        <f t="shared" si="41"/>
        <v>1.4006730601671897</v>
      </c>
      <c r="AY44" s="253">
        <f t="shared" si="42"/>
        <v>-37.470887317834524</v>
      </c>
      <c r="AZ44" s="108">
        <f t="shared" si="43"/>
        <v>29.126948201188245</v>
      </c>
      <c r="BA44" s="155"/>
      <c r="BB44" s="55">
        <f t="shared" si="2"/>
        <v>14.75</v>
      </c>
      <c r="BC44" s="162">
        <f t="shared" si="2"/>
        <v>10.75</v>
      </c>
      <c r="BD44" s="169" t="str">
        <f t="shared" si="44"/>
        <v>#5 @ 5.5</v>
      </c>
      <c r="BE44" s="87">
        <f t="shared" si="45"/>
        <v>0.84103612468875866</v>
      </c>
      <c r="BF44" s="129">
        <f t="shared" si="46"/>
        <v>1.9063485492945197E-2</v>
      </c>
      <c r="BG44" s="191">
        <f t="shared" si="47"/>
        <v>2.625</v>
      </c>
      <c r="BH44" s="22">
        <f t="shared" si="48"/>
        <v>37.470887317834524</v>
      </c>
      <c r="BI44" s="55">
        <f t="shared" si="3"/>
        <v>10.75</v>
      </c>
      <c r="BJ44" s="87">
        <f t="shared" si="49"/>
        <v>1.4615384615384617</v>
      </c>
      <c r="BK44" s="69">
        <f t="shared" si="50"/>
        <v>5.5</v>
      </c>
      <c r="BM44" s="87">
        <f t="shared" si="51"/>
        <v>0.48969084118106604</v>
      </c>
      <c r="BN44" s="129">
        <f t="shared" si="52"/>
        <v>1.1099659066770831E-2</v>
      </c>
      <c r="BO44" s="43">
        <f t="shared" si="53"/>
        <v>1.8125</v>
      </c>
      <c r="BP44" s="22">
        <f t="shared" si="54"/>
        <v>29.126948201188245</v>
      </c>
      <c r="BQ44" s="87">
        <f t="shared" si="55"/>
        <v>1.2897102897102897</v>
      </c>
      <c r="BR44" s="131">
        <f t="shared" si="56"/>
        <v>5.5</v>
      </c>
      <c r="BT44" s="1"/>
      <c r="BU44" s="1"/>
      <c r="BV44" s="156"/>
      <c r="BW44" s="156"/>
      <c r="BX44" s="156"/>
      <c r="BY44" s="156"/>
      <c r="BZ44" s="156"/>
    </row>
    <row r="45" spans="1:78" x14ac:dyDescent="0.2">
      <c r="A45" s="8">
        <v>15</v>
      </c>
      <c r="B45" s="222">
        <v>11</v>
      </c>
      <c r="C45" s="44">
        <f t="shared" si="9"/>
        <v>0.13749999999999998</v>
      </c>
      <c r="D45" s="61">
        <f t="shared" si="10"/>
        <v>-3.0937499999999996</v>
      </c>
      <c r="E45" s="101">
        <f t="shared" si="11"/>
        <v>2.4749999999999996</v>
      </c>
      <c r="F45" s="61">
        <f t="shared" si="12"/>
        <v>-1.1250000000000002</v>
      </c>
      <c r="G45" s="110">
        <f t="shared" si="13"/>
        <v>0.9</v>
      </c>
      <c r="H45" s="61">
        <v>-11.37</v>
      </c>
      <c r="I45" s="101">
        <v>9.4700000000000006</v>
      </c>
      <c r="J45" s="61">
        <f t="shared" si="14"/>
        <v>-15.588749999999999</v>
      </c>
      <c r="K45" s="113">
        <f t="shared" si="14"/>
        <v>12.845000000000001</v>
      </c>
      <c r="L45" s="238">
        <v>5</v>
      </c>
      <c r="M45" s="238">
        <v>5.5</v>
      </c>
      <c r="N45" s="298">
        <v>0.31</v>
      </c>
      <c r="O45" s="286">
        <v>0.625</v>
      </c>
      <c r="P45" s="44">
        <f t="shared" si="15"/>
        <v>0.67636363636363628</v>
      </c>
      <c r="Q45" s="262">
        <f t="shared" si="16"/>
        <v>8.1875</v>
      </c>
      <c r="R45" s="307">
        <f t="shared" si="58"/>
        <v>8.6875</v>
      </c>
      <c r="S45" s="61">
        <f t="shared" si="18"/>
        <v>-36.59511204136912</v>
      </c>
      <c r="T45" s="110">
        <f t="shared" si="19"/>
        <v>28.418581264021043</v>
      </c>
      <c r="U45" s="132">
        <v>2</v>
      </c>
      <c r="V45" s="73">
        <v>1.5</v>
      </c>
      <c r="W45" s="132">
        <f t="shared" si="20"/>
        <v>2.1818181818181817</v>
      </c>
      <c r="X45" s="245">
        <f>12*2*U45/W45</f>
        <v>22</v>
      </c>
      <c r="Y45" s="26">
        <f>12*2*V45/W45</f>
        <v>16.5</v>
      </c>
      <c r="Z45" s="9">
        <v>130</v>
      </c>
      <c r="AA45" s="89">
        <f>Z45/(U45*X45)^0.333</f>
        <v>36.870040192552679</v>
      </c>
      <c r="AB45" s="64">
        <f>Z45/(V45*Y45)^0.333</f>
        <v>44.656307494224144</v>
      </c>
      <c r="AC45" s="245">
        <f t="shared" si="25"/>
        <v>48</v>
      </c>
      <c r="AE45" s="57">
        <f t="shared" si="26"/>
        <v>15</v>
      </c>
      <c r="AF45" s="57">
        <f t="shared" si="0"/>
        <v>11</v>
      </c>
      <c r="AG45" s="175" t="str">
        <f t="shared" si="27"/>
        <v>#5 @ 5.5</v>
      </c>
      <c r="AH45" s="57">
        <v>8</v>
      </c>
      <c r="AI45" s="57">
        <f t="shared" si="28"/>
        <v>1800</v>
      </c>
      <c r="AJ45" s="49">
        <f t="shared" si="29"/>
        <v>48000</v>
      </c>
      <c r="AK45" s="44">
        <f t="shared" si="30"/>
        <v>0.23076923076923078</v>
      </c>
      <c r="AL45" s="10">
        <f t="shared" si="31"/>
        <v>0.92307692307692313</v>
      </c>
      <c r="AM45" s="61">
        <f t="shared" si="1"/>
        <v>-15.588749999999999</v>
      </c>
      <c r="AN45" s="110">
        <f t="shared" si="1"/>
        <v>12.845000000000001</v>
      </c>
      <c r="AO45" s="257">
        <f t="shared" si="32"/>
        <v>2.3035337514640859</v>
      </c>
      <c r="AP45" s="61">
        <f t="shared" si="33"/>
        <v>0.90181818181818174</v>
      </c>
      <c r="AQ45" s="158">
        <f t="shared" si="34"/>
        <v>-7.3836363636363629</v>
      </c>
      <c r="AR45" s="113">
        <f t="shared" si="35"/>
        <v>0.90181818181818174</v>
      </c>
      <c r="AS45" s="113">
        <f t="shared" si="36"/>
        <v>-7.8345454545454531</v>
      </c>
      <c r="AT45" s="104">
        <f t="shared" si="37"/>
        <v>2.3842036868847516</v>
      </c>
      <c r="AU45" s="61">
        <f t="shared" si="38"/>
        <v>-25.212087288056903</v>
      </c>
      <c r="AV45" s="110">
        <f t="shared" si="39"/>
        <v>19.529276679583941</v>
      </c>
      <c r="AW45" s="81">
        <f t="shared" si="40"/>
        <v>-1.8241601823019769</v>
      </c>
      <c r="AX45" s="107">
        <f t="shared" si="41"/>
        <v>1.3651851410607514</v>
      </c>
      <c r="AY45" s="61">
        <f t="shared" si="42"/>
        <v>-37.275935506535752</v>
      </c>
      <c r="AZ45" s="110">
        <f t="shared" si="43"/>
        <v>28.87393057465367</v>
      </c>
      <c r="BA45" s="155"/>
      <c r="BB45" s="57">
        <f t="shared" si="2"/>
        <v>15</v>
      </c>
      <c r="BC45" s="120">
        <f t="shared" si="2"/>
        <v>11</v>
      </c>
      <c r="BD45" s="175" t="str">
        <f t="shared" si="44"/>
        <v>#5 @ 5.5</v>
      </c>
      <c r="BE45" s="89">
        <f t="shared" si="45"/>
        <v>0.82877359806908646</v>
      </c>
      <c r="BF45" s="235">
        <f t="shared" si="46"/>
        <v>1.8785534889565962E-2</v>
      </c>
      <c r="BG45" s="234">
        <f t="shared" si="47"/>
        <v>2.625</v>
      </c>
      <c r="BH45" s="25">
        <f t="shared" si="48"/>
        <v>37.275935506535752</v>
      </c>
      <c r="BI45" s="57">
        <f t="shared" si="3"/>
        <v>11</v>
      </c>
      <c r="BJ45" s="89">
        <f t="shared" si="49"/>
        <v>1.4477611940298507</v>
      </c>
      <c r="BK45" s="132">
        <f t="shared" si="50"/>
        <v>5.5</v>
      </c>
      <c r="BM45" s="89">
        <f t="shared" si="51"/>
        <v>0.48246983084160727</v>
      </c>
      <c r="BN45" s="235">
        <f t="shared" si="52"/>
        <v>1.0935982832409765E-2</v>
      </c>
      <c r="BO45" s="44">
        <f t="shared" si="53"/>
        <v>1.8125</v>
      </c>
      <c r="BP45" s="25">
        <f t="shared" si="54"/>
        <v>28.87393057465367</v>
      </c>
      <c r="BQ45" s="89">
        <f t="shared" si="55"/>
        <v>1.281827016520894</v>
      </c>
      <c r="BR45" s="132">
        <f t="shared" si="56"/>
        <v>5.5</v>
      </c>
      <c r="BT45" s="1"/>
      <c r="BU45" s="1"/>
      <c r="BV45" s="156"/>
      <c r="BW45" s="156"/>
      <c r="BX45" s="156"/>
      <c r="BY45" s="156"/>
      <c r="BZ45" s="156"/>
    </row>
    <row r="46" spans="1:78" x14ac:dyDescent="0.2">
      <c r="M46" s="200"/>
      <c r="S46" s="144">
        <f>MIN(S5:S45)</f>
        <v>-37.746567878170282</v>
      </c>
      <c r="T46" s="153">
        <f>MAX(T5:T45)</f>
        <v>37.791473958333327</v>
      </c>
      <c r="AA46" s="144">
        <f>MAX(AA5:AA45)</f>
        <v>36.870040192552679</v>
      </c>
      <c r="AB46" s="153">
        <f>MAX(AB5:AB45)</f>
        <v>44.656307494224144</v>
      </c>
      <c r="AW46" s="153">
        <f>MIN(AW5:AW45)</f>
        <v>-1.9009038064361279</v>
      </c>
      <c r="AX46" s="153">
        <f>MAX(AX5:AX45)</f>
        <v>1.729203189148864</v>
      </c>
      <c r="AY46" s="153">
        <f>MAX(AY5:AY45)</f>
        <v>-25.139561641115488</v>
      </c>
      <c r="AZ46" s="153">
        <f>MAX(AZ5:AZ45)</f>
        <v>38.223830640517221</v>
      </c>
      <c r="BF46" s="153">
        <f>MAX(BF5:BF45)</f>
        <v>2.0778657302795749E-2</v>
      </c>
      <c r="BH46" s="153">
        <f>MAX(BH5:BH45)</f>
        <v>38.310079311563712</v>
      </c>
      <c r="BN46" s="153">
        <f>MAX(BN5:BN45)</f>
        <v>1.9650825363684173E-2</v>
      </c>
      <c r="BP46" s="153">
        <f>MAX(BP5:BP45)</f>
        <v>38.223830640517221</v>
      </c>
    </row>
    <row r="47" spans="1:78" x14ac:dyDescent="0.2">
      <c r="R47" s="140" t="s">
        <v>113</v>
      </c>
      <c r="S47" s="140" t="s">
        <v>113</v>
      </c>
      <c r="T47" s="140" t="s">
        <v>113</v>
      </c>
      <c r="AA47" s="133" t="s">
        <v>88</v>
      </c>
      <c r="AO47" s="154" t="s">
        <v>89</v>
      </c>
      <c r="AX47" s="141" t="s">
        <v>150</v>
      </c>
    </row>
    <row r="48" spans="1:78" x14ac:dyDescent="0.2">
      <c r="AA48" s="154" t="s">
        <v>87</v>
      </c>
      <c r="AO48" s="154" t="s">
        <v>90</v>
      </c>
    </row>
    <row r="49" spans="41:51" x14ac:dyDescent="0.2">
      <c r="AO49" s="154" t="s">
        <v>91</v>
      </c>
      <c r="AX49" s="144"/>
      <c r="AY49" s="144"/>
    </row>
    <row r="50" spans="41:51" x14ac:dyDescent="0.2">
      <c r="AX50" s="144"/>
      <c r="AY50" s="144"/>
    </row>
    <row r="51" spans="41:51" x14ac:dyDescent="0.2">
      <c r="AX51" s="144"/>
      <c r="AY51" s="144"/>
    </row>
    <row r="52" spans="41:51" x14ac:dyDescent="0.2">
      <c r="AX52" s="144"/>
      <c r="AY52" s="144"/>
    </row>
    <row r="53" spans="41:51" x14ac:dyDescent="0.2">
      <c r="AX53" s="144"/>
      <c r="AY53" s="144"/>
    </row>
    <row r="54" spans="41:51" x14ac:dyDescent="0.2">
      <c r="AX54" s="144"/>
      <c r="AY54" s="144"/>
    </row>
    <row r="55" spans="41:51" x14ac:dyDescent="0.2">
      <c r="AX55" s="144"/>
      <c r="AY55" s="144"/>
    </row>
    <row r="56" spans="41:51" x14ac:dyDescent="0.2">
      <c r="AX56" s="144"/>
      <c r="AY56" s="144"/>
    </row>
    <row r="57" spans="41:51" x14ac:dyDescent="0.2">
      <c r="AX57" s="144"/>
      <c r="AY57" s="144"/>
    </row>
    <row r="58" spans="41:51" x14ac:dyDescent="0.2">
      <c r="AX58" s="144"/>
      <c r="AY58" s="144"/>
    </row>
    <row r="59" spans="41:51" x14ac:dyDescent="0.2">
      <c r="AX59" s="144"/>
      <c r="AY59" s="144"/>
    </row>
    <row r="60" spans="41:51" x14ac:dyDescent="0.2">
      <c r="AX60" s="144"/>
      <c r="AY60" s="144"/>
    </row>
    <row r="61" spans="41:51" x14ac:dyDescent="0.2">
      <c r="AX61" s="144"/>
      <c r="AY61" s="144"/>
    </row>
    <row r="62" spans="41:51" x14ac:dyDescent="0.2">
      <c r="AX62" s="144"/>
      <c r="AY62" s="144"/>
    </row>
    <row r="63" spans="41:51" x14ac:dyDescent="0.2">
      <c r="AX63" s="144"/>
      <c r="AY63" s="144"/>
    </row>
    <row r="64" spans="41:51" x14ac:dyDescent="0.2">
      <c r="AX64" s="144"/>
      <c r="AY64" s="144"/>
    </row>
    <row r="65" spans="50:51" x14ac:dyDescent="0.2">
      <c r="AX65" s="144"/>
      <c r="AY65" s="144"/>
    </row>
    <row r="66" spans="50:51" x14ac:dyDescent="0.2">
      <c r="AX66" s="144"/>
      <c r="AY66" s="144"/>
    </row>
    <row r="67" spans="50:51" x14ac:dyDescent="0.2">
      <c r="AX67" s="144"/>
      <c r="AY67" s="144"/>
    </row>
    <row r="68" spans="50:51" x14ac:dyDescent="0.2">
      <c r="AX68" s="144"/>
      <c r="AY68" s="144"/>
    </row>
    <row r="69" spans="50:51" x14ac:dyDescent="0.2">
      <c r="AX69" s="144"/>
      <c r="AY69" s="144"/>
    </row>
    <row r="70" spans="50:51" x14ac:dyDescent="0.2">
      <c r="AX70" s="144"/>
      <c r="AY70" s="144"/>
    </row>
    <row r="71" spans="50:51" x14ac:dyDescent="0.2">
      <c r="AX71" s="144"/>
      <c r="AY71" s="144"/>
    </row>
    <row r="72" spans="50:51" x14ac:dyDescent="0.2">
      <c r="AX72" s="144"/>
      <c r="AY72" s="144"/>
    </row>
    <row r="73" spans="50:51" x14ac:dyDescent="0.2">
      <c r="AX73" s="144"/>
      <c r="AY73" s="144"/>
    </row>
    <row r="74" spans="50:51" x14ac:dyDescent="0.2">
      <c r="AX74" s="144"/>
      <c r="AY74" s="144"/>
    </row>
    <row r="75" spans="50:51" x14ac:dyDescent="0.2">
      <c r="AX75" s="144"/>
      <c r="AY75" s="144"/>
    </row>
    <row r="76" spans="50:51" x14ac:dyDescent="0.2">
      <c r="AX76" s="144"/>
      <c r="AY76" s="144"/>
    </row>
    <row r="77" spans="50:51" x14ac:dyDescent="0.2">
      <c r="AX77" s="144"/>
      <c r="AY77" s="144"/>
    </row>
    <row r="78" spans="50:51" x14ac:dyDescent="0.2">
      <c r="AX78" s="144"/>
      <c r="AY78" s="144"/>
    </row>
    <row r="79" spans="50:51" x14ac:dyDescent="0.2">
      <c r="AX79" s="144"/>
      <c r="AY79" s="144"/>
    </row>
    <row r="80" spans="50:51" x14ac:dyDescent="0.2">
      <c r="AX80" s="144"/>
      <c r="AY80" s="144"/>
    </row>
    <row r="81" spans="50:51" x14ac:dyDescent="0.2">
      <c r="AX81" s="144"/>
      <c r="AY81" s="144"/>
    </row>
    <row r="82" spans="50:51" x14ac:dyDescent="0.2">
      <c r="AX82" s="144"/>
      <c r="AY82" s="144"/>
    </row>
    <row r="83" spans="50:51" x14ac:dyDescent="0.2">
      <c r="AX83" s="144"/>
      <c r="AY83" s="144"/>
    </row>
    <row r="84" spans="50:51" x14ac:dyDescent="0.2">
      <c r="AX84" s="144"/>
      <c r="AY84" s="144"/>
    </row>
    <row r="85" spans="50:51" x14ac:dyDescent="0.2">
      <c r="AX85" s="144"/>
      <c r="AY85" s="144"/>
    </row>
    <row r="86" spans="50:51" x14ac:dyDescent="0.2">
      <c r="AX86" s="144"/>
      <c r="AY86" s="144"/>
    </row>
    <row r="87" spans="50:51" x14ac:dyDescent="0.2">
      <c r="AX87" s="144"/>
      <c r="AY87" s="144"/>
    </row>
    <row r="88" spans="50:51" x14ac:dyDescent="0.2">
      <c r="AX88" s="144"/>
      <c r="AY88" s="144"/>
    </row>
    <row r="89" spans="50:51" x14ac:dyDescent="0.2">
      <c r="AX89" s="144"/>
      <c r="AY89" s="144"/>
    </row>
  </sheetData>
  <mergeCells count="1">
    <mergeCell ref="BT3:BZ3"/>
  </mergeCells>
  <pageMargins left="1.25" right="0.75" top="0.75" bottom="0.75" header="0.5" footer="0.5"/>
  <pageSetup scale="8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4"/>
  <sheetViews>
    <sheetView workbookViewId="0">
      <selection activeCell="W17" sqref="W17"/>
    </sheetView>
  </sheetViews>
  <sheetFormatPr defaultRowHeight="12.75" x14ac:dyDescent="0.2"/>
  <sheetData>
    <row r="1" spans="1:23" x14ac:dyDescent="0.2">
      <c r="A1" s="142" t="s">
        <v>114</v>
      </c>
      <c r="C1" s="1"/>
      <c r="D1" s="1"/>
      <c r="E1" s="1"/>
      <c r="F1" s="1"/>
      <c r="G1" s="1"/>
      <c r="H1" s="1"/>
      <c r="I1" s="1"/>
      <c r="J1" s="1"/>
    </row>
    <row r="2" spans="1:23" x14ac:dyDescent="0.2">
      <c r="B2" s="56"/>
      <c r="C2" s="56"/>
      <c r="D2" s="207" t="s">
        <v>115</v>
      </c>
      <c r="E2" s="208"/>
      <c r="F2" s="208"/>
      <c r="G2" s="208"/>
      <c r="H2" s="208"/>
      <c r="I2" s="208"/>
      <c r="J2" s="209"/>
    </row>
    <row r="3" spans="1:23" x14ac:dyDescent="0.2">
      <c r="B3" s="55" t="s">
        <v>116</v>
      </c>
      <c r="C3" s="55" t="s">
        <v>117</v>
      </c>
      <c r="D3" s="207" t="s">
        <v>118</v>
      </c>
      <c r="E3" s="208"/>
      <c r="F3" s="208"/>
      <c r="G3" s="208"/>
      <c r="H3" s="208"/>
      <c r="I3" s="208"/>
      <c r="J3" s="209"/>
    </row>
    <row r="4" spans="1:23" x14ac:dyDescent="0.2">
      <c r="B4" s="57"/>
      <c r="C4" s="57"/>
      <c r="D4" s="143">
        <v>0</v>
      </c>
      <c r="E4" s="143">
        <v>0.25</v>
      </c>
      <c r="F4" s="143">
        <v>0.5</v>
      </c>
      <c r="G4" s="143">
        <v>0.75</v>
      </c>
      <c r="H4" s="143">
        <v>1</v>
      </c>
      <c r="I4" s="143">
        <v>1.5</v>
      </c>
      <c r="J4" s="143">
        <v>2</v>
      </c>
      <c r="L4">
        <f>8/12</f>
        <v>0.66666666666666663</v>
      </c>
    </row>
    <row r="5" spans="1:23" x14ac:dyDescent="0.2">
      <c r="B5" s="143">
        <v>4</v>
      </c>
      <c r="C5" s="143">
        <v>4.68</v>
      </c>
      <c r="D5" s="143">
        <v>2.68</v>
      </c>
      <c r="E5" s="143">
        <v>2.0699999999999998</v>
      </c>
      <c r="F5" s="143">
        <v>1.74</v>
      </c>
      <c r="G5" s="143">
        <v>1.6</v>
      </c>
      <c r="H5" s="143">
        <v>1.5</v>
      </c>
      <c r="I5" s="143">
        <v>1.34</v>
      </c>
      <c r="J5" s="143">
        <v>1.25</v>
      </c>
      <c r="L5" s="147">
        <f>F5-((F5-G5)/0.25)*($L$4-$F$4)</f>
        <v>1.6466666666666667</v>
      </c>
      <c r="N5" s="144">
        <f>-L5</f>
        <v>-1.6466666666666667</v>
      </c>
    </row>
    <row r="6" spans="1:23" x14ac:dyDescent="0.2">
      <c r="B6" s="143">
        <f t="shared" ref="B6:B49" si="0">B5+0.25</f>
        <v>4.25</v>
      </c>
      <c r="C6" s="143">
        <v>4.66</v>
      </c>
      <c r="D6" s="143">
        <v>2.73</v>
      </c>
      <c r="E6" s="143">
        <v>2.25</v>
      </c>
      <c r="F6" s="143">
        <v>1.95</v>
      </c>
      <c r="G6" s="143">
        <v>1.74</v>
      </c>
      <c r="H6" s="143">
        <v>1.57</v>
      </c>
      <c r="I6" s="143">
        <v>1.33</v>
      </c>
      <c r="J6" s="143">
        <v>1.2</v>
      </c>
      <c r="L6" s="147">
        <f t="shared" ref="L6:L49" si="1">F6-((F6-G6)/0.25)*($L$4-$F$4)</f>
        <v>1.81</v>
      </c>
      <c r="N6" s="144">
        <f t="shared" ref="N6:N49" si="2">-L6</f>
        <v>-1.81</v>
      </c>
    </row>
    <row r="7" spans="1:23" x14ac:dyDescent="0.2">
      <c r="B7" s="143">
        <f t="shared" si="0"/>
        <v>4.5</v>
      </c>
      <c r="C7" s="143">
        <v>4.63</v>
      </c>
      <c r="D7" s="143">
        <v>3</v>
      </c>
      <c r="E7" s="143">
        <v>2.58</v>
      </c>
      <c r="F7" s="143">
        <v>2.19</v>
      </c>
      <c r="G7" s="143">
        <v>1.9</v>
      </c>
      <c r="H7" s="143">
        <v>1.65</v>
      </c>
      <c r="I7" s="143">
        <v>1.32</v>
      </c>
      <c r="J7" s="143">
        <v>1.18</v>
      </c>
      <c r="L7" s="147">
        <f t="shared" si="1"/>
        <v>1.9966666666666666</v>
      </c>
      <c r="N7" s="144">
        <f t="shared" si="2"/>
        <v>-1.9966666666666666</v>
      </c>
      <c r="Q7">
        <v>-2</v>
      </c>
      <c r="R7" s="144">
        <f>L7+Q7</f>
        <v>-3.3333333333334103E-3</v>
      </c>
      <c r="T7">
        <v>4.63</v>
      </c>
      <c r="U7" s="144">
        <f>C7-T7</f>
        <v>0</v>
      </c>
    </row>
    <row r="8" spans="1:23" x14ac:dyDescent="0.2">
      <c r="B8" s="143">
        <f t="shared" si="0"/>
        <v>4.75</v>
      </c>
      <c r="C8" s="143">
        <v>4.6399999999999997</v>
      </c>
      <c r="D8" s="143">
        <v>3.38</v>
      </c>
      <c r="E8" s="143">
        <v>2.9</v>
      </c>
      <c r="F8" s="143">
        <v>2.4300000000000002</v>
      </c>
      <c r="G8" s="143">
        <v>2.0699999999999998</v>
      </c>
      <c r="H8" s="143">
        <v>1.74</v>
      </c>
      <c r="I8" s="143">
        <v>1.29</v>
      </c>
      <c r="J8" s="143">
        <v>1.2</v>
      </c>
      <c r="L8" s="147">
        <f t="shared" si="1"/>
        <v>2.19</v>
      </c>
      <c r="M8" s="276"/>
      <c r="N8" s="144">
        <f t="shared" si="2"/>
        <v>-2.19</v>
      </c>
      <c r="Q8">
        <v>-2.19</v>
      </c>
      <c r="R8" s="144">
        <f t="shared" ref="R8:R37" si="3">L8+Q8</f>
        <v>0</v>
      </c>
      <c r="T8">
        <v>4.6399999999999997</v>
      </c>
      <c r="U8" s="144">
        <f t="shared" ref="U8:U37" si="4">C8-T8</f>
        <v>0</v>
      </c>
    </row>
    <row r="9" spans="1:23" x14ac:dyDescent="0.2">
      <c r="B9" s="143">
        <f t="shared" si="0"/>
        <v>5</v>
      </c>
      <c r="C9" s="143">
        <v>4.6500000000000004</v>
      </c>
      <c r="D9" s="143">
        <v>3.74</v>
      </c>
      <c r="E9" s="143">
        <v>3.2</v>
      </c>
      <c r="F9" s="143">
        <v>2.66</v>
      </c>
      <c r="G9" s="143">
        <v>2.2400000000000002</v>
      </c>
      <c r="H9" s="143">
        <v>1.83</v>
      </c>
      <c r="I9" s="143">
        <v>1.26</v>
      </c>
      <c r="J9" s="143">
        <v>1.1200000000000001</v>
      </c>
      <c r="L9" s="147">
        <f t="shared" si="1"/>
        <v>2.3800000000000003</v>
      </c>
      <c r="M9" s="277"/>
      <c r="N9" s="144">
        <f t="shared" si="2"/>
        <v>-2.3800000000000003</v>
      </c>
      <c r="O9" s="144"/>
      <c r="Q9">
        <v>-2.38</v>
      </c>
      <c r="R9" s="144">
        <f t="shared" si="3"/>
        <v>0</v>
      </c>
      <c r="T9">
        <v>4.6500000000000004</v>
      </c>
      <c r="U9" s="144">
        <f t="shared" si="4"/>
        <v>0</v>
      </c>
      <c r="W9" s="144">
        <f>-(E9+F9)/2</f>
        <v>-2.93</v>
      </c>
    </row>
    <row r="10" spans="1:23" x14ac:dyDescent="0.2">
      <c r="B10" s="143">
        <f t="shared" si="0"/>
        <v>5.25</v>
      </c>
      <c r="C10" s="143">
        <v>4.67</v>
      </c>
      <c r="D10" s="143">
        <v>4.0599999999999996</v>
      </c>
      <c r="E10" s="143">
        <v>3.47</v>
      </c>
      <c r="F10" s="143">
        <v>2.89</v>
      </c>
      <c r="G10" s="143">
        <v>2.41</v>
      </c>
      <c r="H10" s="143">
        <v>1.95</v>
      </c>
      <c r="I10" s="143">
        <v>1.28</v>
      </c>
      <c r="J10" s="143">
        <v>0.98</v>
      </c>
      <c r="L10" s="147">
        <f t="shared" si="1"/>
        <v>2.5700000000000003</v>
      </c>
      <c r="M10" s="277"/>
      <c r="N10" s="144">
        <f t="shared" si="2"/>
        <v>-2.5700000000000003</v>
      </c>
      <c r="O10" s="144"/>
      <c r="Q10">
        <v>-2.57</v>
      </c>
      <c r="R10" s="144">
        <f t="shared" si="3"/>
        <v>0</v>
      </c>
      <c r="T10">
        <v>4.67</v>
      </c>
      <c r="U10" s="144">
        <f t="shared" si="4"/>
        <v>0</v>
      </c>
      <c r="W10" s="144">
        <f t="shared" ref="W10:W49" si="5">-(E10+F10)/2</f>
        <v>-3.18</v>
      </c>
    </row>
    <row r="11" spans="1:23" x14ac:dyDescent="0.2">
      <c r="B11" s="143">
        <f t="shared" si="0"/>
        <v>5.5</v>
      </c>
      <c r="C11" s="143">
        <v>4.71</v>
      </c>
      <c r="D11" s="143">
        <v>4.3600000000000003</v>
      </c>
      <c r="E11" s="143">
        <v>3.73</v>
      </c>
      <c r="F11" s="143">
        <v>3.11</v>
      </c>
      <c r="G11" s="143">
        <v>2.58</v>
      </c>
      <c r="H11" s="143">
        <v>2.0699999999999998</v>
      </c>
      <c r="I11" s="143">
        <v>1.3</v>
      </c>
      <c r="J11" s="143">
        <v>0.99</v>
      </c>
      <c r="L11" s="147">
        <f t="shared" si="1"/>
        <v>2.7566666666666668</v>
      </c>
      <c r="M11" s="277"/>
      <c r="N11" s="144">
        <f t="shared" si="2"/>
        <v>-2.7566666666666668</v>
      </c>
      <c r="O11" s="144"/>
      <c r="Q11">
        <v>-2.76</v>
      </c>
      <c r="R11" s="144">
        <f t="shared" si="3"/>
        <v>-3.3333333333329662E-3</v>
      </c>
      <c r="T11">
        <v>4.71</v>
      </c>
      <c r="U11" s="144">
        <f t="shared" si="4"/>
        <v>0</v>
      </c>
      <c r="W11" s="144">
        <f t="shared" si="5"/>
        <v>-3.42</v>
      </c>
    </row>
    <row r="12" spans="1:23" x14ac:dyDescent="0.2">
      <c r="B12" s="143">
        <f t="shared" si="0"/>
        <v>5.75</v>
      </c>
      <c r="C12" s="143">
        <v>4.7699999999999996</v>
      </c>
      <c r="D12" s="143">
        <v>4.63</v>
      </c>
      <c r="E12" s="143">
        <v>3.97</v>
      </c>
      <c r="F12" s="143">
        <v>3.31</v>
      </c>
      <c r="G12" s="143">
        <v>2.73</v>
      </c>
      <c r="H12" s="143">
        <v>2.19</v>
      </c>
      <c r="I12" s="143">
        <v>1.32</v>
      </c>
      <c r="J12" s="143">
        <v>1.02</v>
      </c>
      <c r="L12" s="147">
        <f t="shared" si="1"/>
        <v>2.9233333333333333</v>
      </c>
      <c r="M12" s="277"/>
      <c r="N12" s="144">
        <f t="shared" si="2"/>
        <v>-2.9233333333333333</v>
      </c>
      <c r="O12" s="144"/>
      <c r="Q12">
        <v>-2.92</v>
      </c>
      <c r="R12" s="144">
        <f t="shared" si="3"/>
        <v>3.3333333333334103E-3</v>
      </c>
      <c r="T12">
        <v>4.7699999999999996</v>
      </c>
      <c r="U12" s="144">
        <f t="shared" si="4"/>
        <v>0</v>
      </c>
      <c r="W12" s="144">
        <f t="shared" si="5"/>
        <v>-3.64</v>
      </c>
    </row>
    <row r="13" spans="1:23" x14ac:dyDescent="0.2">
      <c r="B13" s="143">
        <f t="shared" si="0"/>
        <v>6</v>
      </c>
      <c r="C13" s="143">
        <v>4.83</v>
      </c>
      <c r="D13" s="143">
        <v>4.88</v>
      </c>
      <c r="E13" s="143">
        <v>4.1900000000000004</v>
      </c>
      <c r="F13" s="143">
        <v>3.5</v>
      </c>
      <c r="G13" s="143">
        <v>2.88</v>
      </c>
      <c r="H13" s="143">
        <v>2.31</v>
      </c>
      <c r="I13" s="143">
        <v>1.39</v>
      </c>
      <c r="J13" s="143">
        <v>1.07</v>
      </c>
      <c r="L13" s="147">
        <f t="shared" si="1"/>
        <v>3.0866666666666669</v>
      </c>
      <c r="M13" s="277"/>
      <c r="N13" s="144">
        <f t="shared" si="2"/>
        <v>-3.0866666666666669</v>
      </c>
      <c r="O13" s="144"/>
      <c r="Q13">
        <v>-3.09</v>
      </c>
      <c r="R13" s="144">
        <f t="shared" si="3"/>
        <v>-3.3333333333329662E-3</v>
      </c>
      <c r="T13">
        <v>4.83</v>
      </c>
      <c r="U13" s="144">
        <f t="shared" si="4"/>
        <v>0</v>
      </c>
      <c r="W13" s="144">
        <f t="shared" si="5"/>
        <v>-3.8450000000000002</v>
      </c>
    </row>
    <row r="14" spans="1:23" x14ac:dyDescent="0.2">
      <c r="B14" s="143">
        <f t="shared" si="0"/>
        <v>6.25</v>
      </c>
      <c r="C14" s="143">
        <v>4.91</v>
      </c>
      <c r="D14" s="143">
        <v>5.0999999999999996</v>
      </c>
      <c r="E14" s="143">
        <v>4.3899999999999997</v>
      </c>
      <c r="F14" s="143">
        <v>3.68</v>
      </c>
      <c r="G14" s="143">
        <v>3.02</v>
      </c>
      <c r="H14" s="143">
        <v>2.42</v>
      </c>
      <c r="I14" s="143">
        <v>1.45</v>
      </c>
      <c r="J14" s="143">
        <v>1.1299999999999999</v>
      </c>
      <c r="L14" s="147">
        <f t="shared" si="1"/>
        <v>3.24</v>
      </c>
      <c r="M14" s="277"/>
      <c r="N14" s="144">
        <f t="shared" si="2"/>
        <v>-3.24</v>
      </c>
      <c r="O14" s="144"/>
      <c r="Q14">
        <v>-3.24</v>
      </c>
      <c r="R14" s="144">
        <f t="shared" si="3"/>
        <v>0</v>
      </c>
      <c r="T14">
        <v>4.91</v>
      </c>
      <c r="U14" s="144">
        <f t="shared" si="4"/>
        <v>0</v>
      </c>
      <c r="W14" s="144">
        <f t="shared" si="5"/>
        <v>-4.0350000000000001</v>
      </c>
    </row>
    <row r="15" spans="1:23" x14ac:dyDescent="0.2">
      <c r="B15" s="143">
        <f t="shared" si="0"/>
        <v>6.5</v>
      </c>
      <c r="C15" s="143">
        <v>5</v>
      </c>
      <c r="D15" s="143">
        <v>5.31</v>
      </c>
      <c r="E15" s="143">
        <v>4.57</v>
      </c>
      <c r="F15" s="143">
        <v>3.84</v>
      </c>
      <c r="G15" s="143">
        <v>3.15</v>
      </c>
      <c r="H15" s="143">
        <v>2.5299999999999998</v>
      </c>
      <c r="I15" s="143">
        <v>1.5</v>
      </c>
      <c r="J15" s="143">
        <v>1.2</v>
      </c>
      <c r="L15" s="147">
        <f t="shared" si="1"/>
        <v>3.38</v>
      </c>
      <c r="M15" s="277"/>
      <c r="N15" s="144">
        <f t="shared" si="2"/>
        <v>-3.38</v>
      </c>
      <c r="O15" s="144"/>
      <c r="Q15">
        <v>-3.38</v>
      </c>
      <c r="R15" s="144">
        <f t="shared" si="3"/>
        <v>0</v>
      </c>
      <c r="T15">
        <v>5</v>
      </c>
      <c r="U15" s="144">
        <f t="shared" si="4"/>
        <v>0</v>
      </c>
      <c r="W15" s="144">
        <f t="shared" si="5"/>
        <v>-4.2050000000000001</v>
      </c>
    </row>
    <row r="16" spans="1:23" x14ac:dyDescent="0.2">
      <c r="B16" s="143">
        <f t="shared" si="0"/>
        <v>6.75</v>
      </c>
      <c r="C16" s="143">
        <v>5.0999999999999996</v>
      </c>
      <c r="D16" s="143">
        <v>5.5</v>
      </c>
      <c r="E16" s="143">
        <v>4.74</v>
      </c>
      <c r="F16" s="143">
        <v>3.99</v>
      </c>
      <c r="G16" s="143">
        <v>3.27</v>
      </c>
      <c r="H16" s="143">
        <v>2.64</v>
      </c>
      <c r="I16" s="143">
        <v>1.58</v>
      </c>
      <c r="J16" s="143">
        <v>1.28</v>
      </c>
      <c r="L16" s="147">
        <f t="shared" si="1"/>
        <v>3.5100000000000002</v>
      </c>
      <c r="M16" s="277"/>
      <c r="N16" s="144">
        <f t="shared" si="2"/>
        <v>-3.5100000000000002</v>
      </c>
      <c r="O16" s="144"/>
      <c r="Q16">
        <v>-3.51</v>
      </c>
      <c r="R16" s="144">
        <f t="shared" si="3"/>
        <v>0</v>
      </c>
      <c r="T16">
        <v>5.0999999999999996</v>
      </c>
      <c r="U16" s="144">
        <f t="shared" si="4"/>
        <v>0</v>
      </c>
      <c r="W16" s="144">
        <f t="shared" si="5"/>
        <v>-4.3650000000000002</v>
      </c>
    </row>
    <row r="17" spans="2:23" x14ac:dyDescent="0.2">
      <c r="B17" s="143">
        <f t="shared" si="0"/>
        <v>7</v>
      </c>
      <c r="C17" s="143">
        <v>5.21</v>
      </c>
      <c r="D17" s="143">
        <v>5.98</v>
      </c>
      <c r="E17" s="143">
        <v>5.17</v>
      </c>
      <c r="F17" s="143">
        <v>4.3600000000000003</v>
      </c>
      <c r="G17" s="143">
        <v>3.56</v>
      </c>
      <c r="H17" s="143">
        <v>2.84</v>
      </c>
      <c r="I17" s="143">
        <v>1.63</v>
      </c>
      <c r="J17" s="143">
        <v>1.37</v>
      </c>
      <c r="L17" s="147">
        <f t="shared" si="1"/>
        <v>3.8266666666666671</v>
      </c>
      <c r="M17" s="277"/>
      <c r="N17" s="144">
        <f t="shared" si="2"/>
        <v>-3.8266666666666671</v>
      </c>
      <c r="O17" s="144"/>
      <c r="Q17">
        <v>-3.83</v>
      </c>
      <c r="R17" s="144">
        <f t="shared" si="3"/>
        <v>-3.3333333333329662E-3</v>
      </c>
      <c r="T17">
        <v>5.21</v>
      </c>
      <c r="U17" s="144">
        <f t="shared" si="4"/>
        <v>0</v>
      </c>
      <c r="W17" s="144">
        <f t="shared" si="5"/>
        <v>-4.7650000000000006</v>
      </c>
    </row>
    <row r="18" spans="2:23" x14ac:dyDescent="0.2">
      <c r="B18" s="143">
        <f t="shared" si="0"/>
        <v>7.25</v>
      </c>
      <c r="C18" s="143">
        <v>5.32</v>
      </c>
      <c r="D18" s="143">
        <v>6.13</v>
      </c>
      <c r="E18" s="143">
        <v>5.31</v>
      </c>
      <c r="F18" s="143">
        <v>4.49</v>
      </c>
      <c r="G18" s="143">
        <v>3.68</v>
      </c>
      <c r="H18" s="143">
        <v>2.96</v>
      </c>
      <c r="I18" s="143">
        <v>1.65</v>
      </c>
      <c r="J18" s="143">
        <v>1.51</v>
      </c>
      <c r="L18" s="147">
        <f t="shared" si="1"/>
        <v>3.95</v>
      </c>
      <c r="M18" s="277"/>
      <c r="N18" s="144">
        <f t="shared" si="2"/>
        <v>-3.95</v>
      </c>
      <c r="O18" s="144"/>
      <c r="Q18">
        <v>-3.95</v>
      </c>
      <c r="R18" s="144">
        <f t="shared" si="3"/>
        <v>0</v>
      </c>
      <c r="T18">
        <v>5.32</v>
      </c>
      <c r="U18" s="144">
        <f t="shared" si="4"/>
        <v>0</v>
      </c>
      <c r="W18" s="144">
        <f t="shared" si="5"/>
        <v>-4.9000000000000004</v>
      </c>
    </row>
    <row r="19" spans="2:23" x14ac:dyDescent="0.2">
      <c r="B19" s="143">
        <f t="shared" si="0"/>
        <v>7.5</v>
      </c>
      <c r="C19" s="143">
        <v>5.44</v>
      </c>
      <c r="D19" s="143">
        <v>6.26</v>
      </c>
      <c r="E19" s="143">
        <v>5.43</v>
      </c>
      <c r="F19" s="143">
        <v>4.6100000000000003</v>
      </c>
      <c r="G19" s="143">
        <v>3.78</v>
      </c>
      <c r="H19" s="143">
        <v>3.15</v>
      </c>
      <c r="I19" s="143">
        <v>1.88</v>
      </c>
      <c r="J19" s="143">
        <v>1.72</v>
      </c>
      <c r="L19" s="147">
        <f t="shared" si="1"/>
        <v>4.0566666666666666</v>
      </c>
      <c r="M19" s="277"/>
      <c r="N19" s="144">
        <f t="shared" si="2"/>
        <v>-4.0566666666666666</v>
      </c>
      <c r="O19" s="144"/>
      <c r="Q19">
        <v>-4.0599999999999996</v>
      </c>
      <c r="R19" s="144">
        <f t="shared" si="3"/>
        <v>-3.3333333333329662E-3</v>
      </c>
      <c r="T19">
        <v>5.44</v>
      </c>
      <c r="U19" s="144">
        <f t="shared" si="4"/>
        <v>0</v>
      </c>
      <c r="W19" s="144">
        <f t="shared" si="5"/>
        <v>-5.0199999999999996</v>
      </c>
    </row>
    <row r="20" spans="2:23" x14ac:dyDescent="0.2">
      <c r="B20" s="143">
        <f t="shared" si="0"/>
        <v>7.75</v>
      </c>
      <c r="C20" s="143">
        <v>5.56</v>
      </c>
      <c r="D20" s="143">
        <v>6.38</v>
      </c>
      <c r="E20" s="143">
        <v>5.54</v>
      </c>
      <c r="F20" s="143">
        <v>4.71</v>
      </c>
      <c r="G20" s="143">
        <v>3.88</v>
      </c>
      <c r="H20" s="143">
        <v>3.3</v>
      </c>
      <c r="I20" s="143">
        <v>2.21</v>
      </c>
      <c r="J20" s="143">
        <v>1.94</v>
      </c>
      <c r="L20" s="147">
        <f t="shared" si="1"/>
        <v>4.1566666666666663</v>
      </c>
      <c r="M20" s="277"/>
      <c r="N20" s="144">
        <f t="shared" si="2"/>
        <v>-4.1566666666666663</v>
      </c>
      <c r="O20" s="144"/>
      <c r="Q20">
        <v>-4.16</v>
      </c>
      <c r="R20" s="144">
        <f t="shared" si="3"/>
        <v>-3.3333333333338544E-3</v>
      </c>
      <c r="T20">
        <v>5.56</v>
      </c>
      <c r="U20" s="144">
        <f t="shared" si="4"/>
        <v>0</v>
      </c>
      <c r="W20" s="144">
        <f t="shared" si="5"/>
        <v>-5.125</v>
      </c>
    </row>
    <row r="21" spans="2:23" x14ac:dyDescent="0.2">
      <c r="B21" s="143">
        <f t="shared" si="0"/>
        <v>8</v>
      </c>
      <c r="C21" s="143">
        <v>5.69</v>
      </c>
      <c r="D21" s="143">
        <v>6.48</v>
      </c>
      <c r="E21" s="143">
        <v>5.65</v>
      </c>
      <c r="F21" s="143">
        <v>4.8099999999999996</v>
      </c>
      <c r="G21" s="143">
        <v>3.98</v>
      </c>
      <c r="H21" s="143">
        <v>3.43</v>
      </c>
      <c r="I21" s="143">
        <v>2.4900000000000002</v>
      </c>
      <c r="J21" s="143">
        <v>2.16</v>
      </c>
      <c r="L21" s="147">
        <f t="shared" si="1"/>
        <v>4.2566666666666668</v>
      </c>
      <c r="M21" s="277"/>
      <c r="N21" s="144">
        <f t="shared" si="2"/>
        <v>-4.2566666666666668</v>
      </c>
      <c r="O21" s="144"/>
      <c r="Q21">
        <v>-4.26</v>
      </c>
      <c r="R21" s="144">
        <f t="shared" si="3"/>
        <v>-3.3333333333329662E-3</v>
      </c>
      <c r="T21">
        <v>5.69</v>
      </c>
      <c r="U21" s="144">
        <f t="shared" si="4"/>
        <v>0</v>
      </c>
      <c r="W21" s="144">
        <f t="shared" si="5"/>
        <v>-5.23</v>
      </c>
    </row>
    <row r="22" spans="2:23" x14ac:dyDescent="0.2">
      <c r="B22" s="143">
        <f t="shared" si="0"/>
        <v>8.25</v>
      </c>
      <c r="C22" s="143">
        <v>5.83</v>
      </c>
      <c r="D22" s="143">
        <v>6.58</v>
      </c>
      <c r="E22" s="143">
        <v>5.74</v>
      </c>
      <c r="F22" s="143">
        <v>4.9000000000000004</v>
      </c>
      <c r="G22" s="143">
        <v>4.0599999999999996</v>
      </c>
      <c r="H22" s="143">
        <v>3.53</v>
      </c>
      <c r="I22" s="143">
        <v>2.74</v>
      </c>
      <c r="J22" s="143">
        <v>2.37</v>
      </c>
      <c r="L22" s="147">
        <f t="shared" si="1"/>
        <v>4.34</v>
      </c>
      <c r="M22" s="277"/>
      <c r="N22" s="144">
        <f t="shared" si="2"/>
        <v>-4.34</v>
      </c>
      <c r="O22" s="144"/>
      <c r="Q22">
        <v>-4.34</v>
      </c>
      <c r="R22" s="144">
        <f t="shared" si="3"/>
        <v>0</v>
      </c>
      <c r="T22">
        <v>5.83</v>
      </c>
      <c r="U22" s="144">
        <f t="shared" si="4"/>
        <v>0</v>
      </c>
      <c r="W22" s="144">
        <f t="shared" si="5"/>
        <v>-5.32</v>
      </c>
    </row>
    <row r="23" spans="2:23" x14ac:dyDescent="0.2">
      <c r="B23" s="143">
        <f t="shared" si="0"/>
        <v>8.5</v>
      </c>
      <c r="C23" s="143">
        <v>5.99</v>
      </c>
      <c r="D23" s="143">
        <v>6.66</v>
      </c>
      <c r="E23" s="143">
        <v>5.82</v>
      </c>
      <c r="F23" s="143">
        <v>4.9800000000000004</v>
      </c>
      <c r="G23" s="143">
        <v>4.1399999999999997</v>
      </c>
      <c r="H23" s="143">
        <v>3.61</v>
      </c>
      <c r="I23" s="143">
        <v>2.96</v>
      </c>
      <c r="J23" s="143">
        <v>2.58</v>
      </c>
      <c r="L23" s="147">
        <f t="shared" si="1"/>
        <v>4.42</v>
      </c>
      <c r="M23" s="277"/>
      <c r="N23" s="144">
        <f t="shared" si="2"/>
        <v>-4.42</v>
      </c>
      <c r="O23" s="144"/>
      <c r="Q23">
        <v>-4.42</v>
      </c>
      <c r="R23" s="144">
        <f t="shared" si="3"/>
        <v>0</v>
      </c>
      <c r="T23">
        <v>5.99</v>
      </c>
      <c r="U23" s="144">
        <f t="shared" si="4"/>
        <v>0</v>
      </c>
      <c r="W23" s="144">
        <f t="shared" si="5"/>
        <v>-5.4</v>
      </c>
    </row>
    <row r="24" spans="2:23" x14ac:dyDescent="0.2">
      <c r="B24" s="143">
        <f t="shared" si="0"/>
        <v>8.75</v>
      </c>
      <c r="C24" s="143">
        <v>6.14</v>
      </c>
      <c r="D24" s="143">
        <v>6.74</v>
      </c>
      <c r="E24" s="143">
        <v>5.9</v>
      </c>
      <c r="F24" s="143">
        <v>5.0599999999999996</v>
      </c>
      <c r="G24" s="143">
        <v>4.22</v>
      </c>
      <c r="H24" s="143">
        <v>3.67</v>
      </c>
      <c r="I24" s="143">
        <v>3.15</v>
      </c>
      <c r="J24" s="143">
        <v>2.79</v>
      </c>
      <c r="L24" s="147">
        <f t="shared" si="1"/>
        <v>4.5</v>
      </c>
      <c r="M24" s="277"/>
      <c r="N24" s="144">
        <f t="shared" si="2"/>
        <v>-4.5</v>
      </c>
      <c r="O24" s="144"/>
      <c r="Q24">
        <v>-4.5</v>
      </c>
      <c r="R24" s="144">
        <f t="shared" si="3"/>
        <v>0</v>
      </c>
      <c r="T24">
        <v>6.14</v>
      </c>
      <c r="U24" s="144">
        <f t="shared" si="4"/>
        <v>0</v>
      </c>
      <c r="W24" s="144">
        <f t="shared" si="5"/>
        <v>-5.48</v>
      </c>
    </row>
    <row r="25" spans="2:23" x14ac:dyDescent="0.2">
      <c r="B25" s="143">
        <f t="shared" si="0"/>
        <v>9</v>
      </c>
      <c r="C25" s="143">
        <v>6.29</v>
      </c>
      <c r="D25" s="143">
        <v>6.81</v>
      </c>
      <c r="E25" s="143">
        <v>5.97</v>
      </c>
      <c r="F25" s="143">
        <v>5.13</v>
      </c>
      <c r="G25" s="143">
        <v>4.28</v>
      </c>
      <c r="H25" s="143">
        <v>3.71</v>
      </c>
      <c r="I25" s="143">
        <v>3.31</v>
      </c>
      <c r="J25" s="143">
        <v>3</v>
      </c>
      <c r="L25" s="147">
        <f t="shared" si="1"/>
        <v>4.5633333333333335</v>
      </c>
      <c r="M25" s="277"/>
      <c r="N25" s="144">
        <f t="shared" si="2"/>
        <v>-4.5633333333333335</v>
      </c>
      <c r="O25" s="144"/>
      <c r="Q25">
        <v>-4.5599999999999996</v>
      </c>
      <c r="R25" s="144">
        <f t="shared" si="3"/>
        <v>3.3333333333338544E-3</v>
      </c>
      <c r="T25">
        <v>6.29</v>
      </c>
      <c r="U25" s="144">
        <f t="shared" si="4"/>
        <v>0</v>
      </c>
      <c r="W25" s="144">
        <f t="shared" si="5"/>
        <v>-5.55</v>
      </c>
    </row>
    <row r="26" spans="2:23" x14ac:dyDescent="0.2">
      <c r="B26" s="143">
        <f t="shared" si="0"/>
        <v>9.25</v>
      </c>
      <c r="C26" s="143">
        <v>6.44</v>
      </c>
      <c r="D26" s="143">
        <v>6.87</v>
      </c>
      <c r="E26" s="143">
        <v>6.03</v>
      </c>
      <c r="F26" s="143">
        <v>5.19</v>
      </c>
      <c r="G26" s="143">
        <v>4.4000000000000004</v>
      </c>
      <c r="H26" s="143">
        <v>3.82</v>
      </c>
      <c r="I26" s="143">
        <v>3.47</v>
      </c>
      <c r="J26" s="143">
        <v>3.2</v>
      </c>
      <c r="L26" s="147">
        <f t="shared" si="1"/>
        <v>4.663333333333334</v>
      </c>
      <c r="M26" s="277"/>
      <c r="N26" s="144">
        <f t="shared" si="2"/>
        <v>-4.663333333333334</v>
      </c>
      <c r="O26" s="144"/>
      <c r="Q26">
        <v>-4.66</v>
      </c>
      <c r="R26" s="144">
        <f t="shared" si="3"/>
        <v>3.3333333333338544E-3</v>
      </c>
      <c r="T26">
        <v>6.44</v>
      </c>
      <c r="U26" s="144">
        <f t="shared" si="4"/>
        <v>0</v>
      </c>
      <c r="W26" s="144">
        <f t="shared" si="5"/>
        <v>-5.61</v>
      </c>
    </row>
    <row r="27" spans="2:23" x14ac:dyDescent="0.2">
      <c r="B27" s="143">
        <f t="shared" si="0"/>
        <v>9.5</v>
      </c>
      <c r="C27" s="143">
        <v>6.59</v>
      </c>
      <c r="D27" s="143">
        <v>7.15</v>
      </c>
      <c r="E27" s="143">
        <v>6.31</v>
      </c>
      <c r="F27" s="143">
        <v>5.46</v>
      </c>
      <c r="G27" s="143">
        <v>4.66</v>
      </c>
      <c r="H27" s="143">
        <v>4.04</v>
      </c>
      <c r="I27" s="143">
        <v>3.68</v>
      </c>
      <c r="J27" s="143">
        <v>3.39</v>
      </c>
      <c r="L27" s="147">
        <f t="shared" si="1"/>
        <v>4.9266666666666667</v>
      </c>
      <c r="M27" s="277"/>
      <c r="N27" s="144">
        <f t="shared" si="2"/>
        <v>-4.9266666666666667</v>
      </c>
      <c r="O27" s="144"/>
      <c r="Q27">
        <v>-4.93</v>
      </c>
      <c r="R27" s="144">
        <f t="shared" si="3"/>
        <v>-3.3333333333329662E-3</v>
      </c>
      <c r="T27">
        <v>6.59</v>
      </c>
      <c r="U27" s="144">
        <f t="shared" si="4"/>
        <v>0</v>
      </c>
      <c r="W27" s="144">
        <f t="shared" si="5"/>
        <v>-5.8849999999999998</v>
      </c>
    </row>
    <row r="28" spans="2:23" x14ac:dyDescent="0.2">
      <c r="B28" s="143">
        <f t="shared" si="0"/>
        <v>9.75</v>
      </c>
      <c r="C28" s="143">
        <v>6.74</v>
      </c>
      <c r="D28" s="143">
        <v>7.51</v>
      </c>
      <c r="E28" s="143">
        <v>6.65</v>
      </c>
      <c r="F28" s="143">
        <v>5.8</v>
      </c>
      <c r="G28" s="143">
        <v>4.9400000000000004</v>
      </c>
      <c r="H28" s="143">
        <v>4.21</v>
      </c>
      <c r="I28" s="143">
        <v>3.89</v>
      </c>
      <c r="J28" s="143">
        <v>3.58</v>
      </c>
      <c r="L28" s="147">
        <f t="shared" si="1"/>
        <v>5.2266666666666666</v>
      </c>
      <c r="M28" s="277"/>
      <c r="N28" s="144">
        <f t="shared" si="2"/>
        <v>-5.2266666666666666</v>
      </c>
      <c r="O28" s="144"/>
      <c r="Q28">
        <v>-5.23</v>
      </c>
      <c r="R28" s="144">
        <f t="shared" si="3"/>
        <v>-3.3333333333338544E-3</v>
      </c>
      <c r="T28">
        <v>6.74</v>
      </c>
      <c r="U28" s="144">
        <f t="shared" si="4"/>
        <v>0</v>
      </c>
      <c r="W28" s="144">
        <f t="shared" si="5"/>
        <v>-6.2249999999999996</v>
      </c>
    </row>
    <row r="29" spans="2:23" x14ac:dyDescent="0.2">
      <c r="B29" s="143">
        <f t="shared" si="0"/>
        <v>10</v>
      </c>
      <c r="C29" s="143">
        <v>6.89</v>
      </c>
      <c r="D29" s="143">
        <v>7.85</v>
      </c>
      <c r="E29" s="143">
        <v>6.99</v>
      </c>
      <c r="F29" s="143">
        <v>6.13</v>
      </c>
      <c r="G29" s="143">
        <v>5.26</v>
      </c>
      <c r="H29" s="143">
        <v>4.41</v>
      </c>
      <c r="I29" s="143">
        <v>4.09</v>
      </c>
      <c r="J29" s="143">
        <v>3.77</v>
      </c>
      <c r="L29" s="147">
        <f t="shared" si="1"/>
        <v>5.55</v>
      </c>
      <c r="M29" s="277"/>
      <c r="N29" s="144">
        <f t="shared" si="2"/>
        <v>-5.55</v>
      </c>
      <c r="O29" s="144"/>
      <c r="Q29">
        <v>-5.55</v>
      </c>
      <c r="R29" s="144">
        <f t="shared" si="3"/>
        <v>0</v>
      </c>
      <c r="T29">
        <v>6.89</v>
      </c>
      <c r="U29" s="144">
        <f t="shared" si="4"/>
        <v>0</v>
      </c>
      <c r="W29" s="144">
        <f t="shared" si="5"/>
        <v>-6.5600000000000005</v>
      </c>
    </row>
    <row r="30" spans="2:23" x14ac:dyDescent="0.2">
      <c r="B30" s="143">
        <f t="shared" si="0"/>
        <v>10.25</v>
      </c>
      <c r="C30" s="143">
        <v>7.03</v>
      </c>
      <c r="D30" s="143">
        <v>8.19</v>
      </c>
      <c r="E30" s="143">
        <v>7.32</v>
      </c>
      <c r="F30" s="143">
        <v>6.45</v>
      </c>
      <c r="G30" s="143">
        <v>5.58</v>
      </c>
      <c r="H30" s="143">
        <v>4.71</v>
      </c>
      <c r="I30" s="143">
        <v>4.29</v>
      </c>
      <c r="J30" s="143">
        <v>3.96</v>
      </c>
      <c r="L30" s="147">
        <f t="shared" si="1"/>
        <v>5.87</v>
      </c>
      <c r="M30" s="277"/>
      <c r="N30" s="144">
        <f t="shared" si="2"/>
        <v>-5.87</v>
      </c>
      <c r="O30" s="144"/>
      <c r="Q30">
        <v>-5.87</v>
      </c>
      <c r="R30" s="144">
        <f t="shared" si="3"/>
        <v>0</v>
      </c>
      <c r="T30">
        <v>7.03</v>
      </c>
      <c r="U30" s="144">
        <f t="shared" si="4"/>
        <v>0</v>
      </c>
      <c r="W30" s="144">
        <f t="shared" si="5"/>
        <v>-6.8849999999999998</v>
      </c>
    </row>
    <row r="31" spans="2:23" x14ac:dyDescent="0.2">
      <c r="B31" s="143">
        <f t="shared" si="0"/>
        <v>10.5</v>
      </c>
      <c r="C31" s="143">
        <v>7.17</v>
      </c>
      <c r="D31" s="143">
        <v>8.52</v>
      </c>
      <c r="E31" s="143">
        <v>7.64</v>
      </c>
      <c r="F31" s="143">
        <v>6.77</v>
      </c>
      <c r="G31" s="143">
        <v>5.89</v>
      </c>
      <c r="H31" s="143">
        <v>5.0199999999999996</v>
      </c>
      <c r="I31" s="143">
        <v>4.4800000000000004</v>
      </c>
      <c r="J31" s="143">
        <v>4.1500000000000004</v>
      </c>
      <c r="L31" s="147">
        <f t="shared" si="1"/>
        <v>6.1833333333333336</v>
      </c>
      <c r="M31" s="277"/>
      <c r="N31" s="144">
        <f t="shared" si="2"/>
        <v>-6.1833333333333336</v>
      </c>
      <c r="O31" s="144"/>
      <c r="Q31">
        <v>-6.18</v>
      </c>
      <c r="R31" s="144">
        <f t="shared" si="3"/>
        <v>3.3333333333338544E-3</v>
      </c>
      <c r="T31">
        <v>7.17</v>
      </c>
      <c r="U31" s="144">
        <f t="shared" si="4"/>
        <v>0</v>
      </c>
      <c r="W31" s="144">
        <f t="shared" si="5"/>
        <v>-7.2050000000000001</v>
      </c>
    </row>
    <row r="32" spans="2:23" x14ac:dyDescent="0.2">
      <c r="B32" s="143">
        <f t="shared" si="0"/>
        <v>10.75</v>
      </c>
      <c r="C32" s="143">
        <v>7.32</v>
      </c>
      <c r="D32" s="143">
        <v>8.83</v>
      </c>
      <c r="E32" s="143">
        <v>7.95</v>
      </c>
      <c r="F32" s="143">
        <v>7.08</v>
      </c>
      <c r="G32" s="143">
        <v>6.2</v>
      </c>
      <c r="H32" s="143">
        <v>5.32</v>
      </c>
      <c r="I32" s="143">
        <v>4.68</v>
      </c>
      <c r="J32" s="143">
        <v>4.34</v>
      </c>
      <c r="L32" s="147">
        <f t="shared" si="1"/>
        <v>6.4933333333333341</v>
      </c>
      <c r="M32" s="277"/>
      <c r="N32" s="144">
        <f t="shared" si="2"/>
        <v>-6.4933333333333341</v>
      </c>
      <c r="O32" s="144"/>
      <c r="Q32">
        <v>-6.49</v>
      </c>
      <c r="R32" s="144">
        <f t="shared" si="3"/>
        <v>3.3333333333338544E-3</v>
      </c>
      <c r="T32">
        <v>7.32</v>
      </c>
      <c r="U32" s="144">
        <f t="shared" si="4"/>
        <v>0</v>
      </c>
      <c r="W32" s="144">
        <f t="shared" si="5"/>
        <v>-7.5150000000000006</v>
      </c>
    </row>
    <row r="33" spans="2:23" x14ac:dyDescent="0.2">
      <c r="B33" s="143">
        <f t="shared" si="0"/>
        <v>11</v>
      </c>
      <c r="C33" s="143">
        <v>7.46</v>
      </c>
      <c r="D33" s="143">
        <v>9.14</v>
      </c>
      <c r="E33" s="143">
        <v>8.26</v>
      </c>
      <c r="F33" s="143">
        <v>7.38</v>
      </c>
      <c r="G33" s="143">
        <v>6.5</v>
      </c>
      <c r="H33" s="143">
        <v>5.62</v>
      </c>
      <c r="I33" s="143">
        <v>4.8600000000000003</v>
      </c>
      <c r="J33" s="143">
        <v>4.5199999999999996</v>
      </c>
      <c r="L33" s="147">
        <f t="shared" si="1"/>
        <v>6.793333333333333</v>
      </c>
      <c r="M33" s="277"/>
      <c r="N33" s="144">
        <f t="shared" si="2"/>
        <v>-6.793333333333333</v>
      </c>
      <c r="O33" s="144"/>
      <c r="Q33">
        <v>-6.79</v>
      </c>
      <c r="R33" s="144">
        <f t="shared" si="3"/>
        <v>3.3333333333329662E-3</v>
      </c>
      <c r="T33">
        <v>7.46</v>
      </c>
      <c r="U33" s="144">
        <f t="shared" si="4"/>
        <v>0</v>
      </c>
      <c r="W33" s="144">
        <f t="shared" si="5"/>
        <v>-7.82</v>
      </c>
    </row>
    <row r="34" spans="2:23" x14ac:dyDescent="0.2">
      <c r="B34" s="143">
        <f t="shared" si="0"/>
        <v>11.25</v>
      </c>
      <c r="C34" s="143">
        <v>7.6</v>
      </c>
      <c r="D34" s="143">
        <v>9.44</v>
      </c>
      <c r="E34" s="143">
        <v>8.5500000000000007</v>
      </c>
      <c r="F34" s="143">
        <v>7.67</v>
      </c>
      <c r="G34" s="143">
        <v>6.79</v>
      </c>
      <c r="H34" s="143">
        <v>5.91</v>
      </c>
      <c r="I34" s="143">
        <v>5.04</v>
      </c>
      <c r="J34" s="143">
        <v>4.7</v>
      </c>
      <c r="L34" s="147">
        <f t="shared" si="1"/>
        <v>7.0833333333333339</v>
      </c>
      <c r="M34" s="277"/>
      <c r="N34" s="144">
        <f t="shared" si="2"/>
        <v>-7.0833333333333339</v>
      </c>
      <c r="O34" s="144"/>
      <c r="Q34">
        <v>-7.08</v>
      </c>
      <c r="R34" s="144">
        <f t="shared" si="3"/>
        <v>3.3333333333338544E-3</v>
      </c>
      <c r="T34">
        <v>7.6</v>
      </c>
      <c r="U34" s="144">
        <f t="shared" si="4"/>
        <v>0</v>
      </c>
      <c r="W34" s="144">
        <f t="shared" si="5"/>
        <v>-8.11</v>
      </c>
    </row>
    <row r="35" spans="2:23" x14ac:dyDescent="0.2">
      <c r="B35" s="143">
        <f t="shared" si="0"/>
        <v>11.5</v>
      </c>
      <c r="C35" s="143">
        <v>7.74</v>
      </c>
      <c r="D35" s="143">
        <v>9.7200000000000006</v>
      </c>
      <c r="E35" s="143">
        <v>8.84</v>
      </c>
      <c r="F35" s="143">
        <v>7.96</v>
      </c>
      <c r="G35" s="143">
        <v>7.07</v>
      </c>
      <c r="H35" s="143">
        <v>6.19</v>
      </c>
      <c r="I35" s="143">
        <v>5.22</v>
      </c>
      <c r="J35" s="143">
        <v>4.87</v>
      </c>
      <c r="L35" s="147">
        <f t="shared" si="1"/>
        <v>7.3666666666666671</v>
      </c>
      <c r="M35" s="277"/>
      <c r="N35" s="144">
        <f t="shared" si="2"/>
        <v>-7.3666666666666671</v>
      </c>
      <c r="O35" s="144"/>
      <c r="Q35">
        <v>-7.37</v>
      </c>
      <c r="R35" s="144">
        <f t="shared" si="3"/>
        <v>-3.3333333333329662E-3</v>
      </c>
      <c r="T35">
        <v>7.74</v>
      </c>
      <c r="U35" s="144">
        <f t="shared" si="4"/>
        <v>0</v>
      </c>
      <c r="W35" s="144">
        <f t="shared" si="5"/>
        <v>-8.4</v>
      </c>
    </row>
    <row r="36" spans="2:23" x14ac:dyDescent="0.2">
      <c r="B36" s="143">
        <f t="shared" si="0"/>
        <v>11.75</v>
      </c>
      <c r="C36" s="143">
        <v>7.88</v>
      </c>
      <c r="D36" s="143">
        <v>10.01</v>
      </c>
      <c r="E36" s="143">
        <v>9.1199999999999992</v>
      </c>
      <c r="F36" s="143">
        <v>8.24</v>
      </c>
      <c r="G36" s="143">
        <v>7.36</v>
      </c>
      <c r="H36" s="143">
        <v>6.47</v>
      </c>
      <c r="I36" s="143">
        <v>5.4</v>
      </c>
      <c r="J36" s="143">
        <v>5.05</v>
      </c>
      <c r="L36" s="147">
        <f t="shared" si="1"/>
        <v>7.6533333333333342</v>
      </c>
      <c r="M36" s="277"/>
      <c r="N36" s="144">
        <f t="shared" si="2"/>
        <v>-7.6533333333333342</v>
      </c>
      <c r="O36" s="144"/>
      <c r="Q36">
        <v>-7.65</v>
      </c>
      <c r="R36" s="144">
        <f t="shared" si="3"/>
        <v>3.3333333333338544E-3</v>
      </c>
      <c r="T36">
        <v>7.88</v>
      </c>
      <c r="U36" s="144">
        <f t="shared" si="4"/>
        <v>0</v>
      </c>
      <c r="W36" s="144">
        <f t="shared" si="5"/>
        <v>-8.68</v>
      </c>
    </row>
    <row r="37" spans="2:23" x14ac:dyDescent="0.2">
      <c r="B37" s="143">
        <f t="shared" si="0"/>
        <v>12</v>
      </c>
      <c r="C37" s="143">
        <v>8.01</v>
      </c>
      <c r="D37" s="143">
        <v>10.28</v>
      </c>
      <c r="E37" s="143">
        <v>9.4</v>
      </c>
      <c r="F37" s="143">
        <v>8.51</v>
      </c>
      <c r="G37" s="143">
        <v>7.63</v>
      </c>
      <c r="H37" s="143">
        <v>6.74</v>
      </c>
      <c r="I37" s="143">
        <v>5.56</v>
      </c>
      <c r="J37" s="143">
        <v>5.21</v>
      </c>
      <c r="L37" s="147">
        <f t="shared" si="1"/>
        <v>7.9233333333333338</v>
      </c>
      <c r="M37" s="277"/>
      <c r="N37" s="144">
        <f t="shared" si="2"/>
        <v>-7.9233333333333338</v>
      </c>
      <c r="O37" s="144"/>
      <c r="Q37">
        <v>-7.92</v>
      </c>
      <c r="R37" s="144">
        <f t="shared" si="3"/>
        <v>3.3333333333338544E-3</v>
      </c>
      <c r="T37">
        <v>8.01</v>
      </c>
      <c r="U37" s="144">
        <f t="shared" si="4"/>
        <v>0</v>
      </c>
      <c r="W37" s="144">
        <f t="shared" si="5"/>
        <v>-8.9550000000000001</v>
      </c>
    </row>
    <row r="38" spans="2:23" x14ac:dyDescent="0.2">
      <c r="B38" s="143">
        <f t="shared" si="0"/>
        <v>12.25</v>
      </c>
      <c r="C38" s="143">
        <v>8.15</v>
      </c>
      <c r="D38" s="143">
        <v>10.55</v>
      </c>
      <c r="E38" s="143">
        <v>9.67</v>
      </c>
      <c r="F38" s="143">
        <v>8.7799999999999994</v>
      </c>
      <c r="G38" s="143">
        <v>7.9</v>
      </c>
      <c r="H38" s="143">
        <v>7.02</v>
      </c>
      <c r="I38" s="143">
        <v>5.75</v>
      </c>
      <c r="J38" s="143">
        <v>5.38</v>
      </c>
      <c r="L38" s="147">
        <f t="shared" si="1"/>
        <v>8.1933333333333334</v>
      </c>
      <c r="M38" s="277"/>
      <c r="N38" s="144">
        <f t="shared" si="2"/>
        <v>-8.1933333333333334</v>
      </c>
      <c r="W38" s="144">
        <f t="shared" si="5"/>
        <v>-9.2249999999999996</v>
      </c>
    </row>
    <row r="39" spans="2:23" x14ac:dyDescent="0.2">
      <c r="B39" s="143">
        <f t="shared" si="0"/>
        <v>12.5</v>
      </c>
      <c r="C39" s="143">
        <v>8.2799999999999994</v>
      </c>
      <c r="D39" s="143">
        <v>10.81</v>
      </c>
      <c r="E39" s="143">
        <v>9.93</v>
      </c>
      <c r="F39" s="143">
        <v>9.0399999999999991</v>
      </c>
      <c r="G39" s="143">
        <v>8.16</v>
      </c>
      <c r="H39" s="143">
        <v>7.28</v>
      </c>
      <c r="I39" s="143">
        <v>5.97</v>
      </c>
      <c r="J39" s="143">
        <v>5.54</v>
      </c>
      <c r="L39" s="147">
        <f t="shared" si="1"/>
        <v>8.4533333333333331</v>
      </c>
      <c r="M39" s="277"/>
      <c r="N39" s="144">
        <f t="shared" si="2"/>
        <v>-8.4533333333333331</v>
      </c>
      <c r="W39" s="144">
        <f t="shared" si="5"/>
        <v>-9.4849999999999994</v>
      </c>
    </row>
    <row r="40" spans="2:23" x14ac:dyDescent="0.2">
      <c r="B40" s="143">
        <f t="shared" si="0"/>
        <v>12.75</v>
      </c>
      <c r="C40" s="143">
        <v>8.41</v>
      </c>
      <c r="D40" s="143">
        <v>11.06</v>
      </c>
      <c r="E40" s="143">
        <v>10.18</v>
      </c>
      <c r="F40" s="143">
        <v>9.3000000000000007</v>
      </c>
      <c r="G40" s="143">
        <v>8.42</v>
      </c>
      <c r="H40" s="143">
        <v>7.54</v>
      </c>
      <c r="I40" s="143">
        <v>6.18</v>
      </c>
      <c r="J40" s="143">
        <v>5.7</v>
      </c>
      <c r="L40" s="147">
        <f t="shared" si="1"/>
        <v>8.7133333333333329</v>
      </c>
      <c r="M40" s="277"/>
      <c r="N40" s="144">
        <f t="shared" si="2"/>
        <v>-8.7133333333333329</v>
      </c>
      <c r="W40" s="144">
        <f t="shared" si="5"/>
        <v>-9.74</v>
      </c>
    </row>
    <row r="41" spans="2:23" x14ac:dyDescent="0.2">
      <c r="B41" s="143">
        <f t="shared" si="0"/>
        <v>13</v>
      </c>
      <c r="C41" s="143">
        <v>8.5399999999999991</v>
      </c>
      <c r="D41" s="143">
        <v>11.31</v>
      </c>
      <c r="E41" s="143">
        <v>10.43</v>
      </c>
      <c r="F41" s="143">
        <v>9.5500000000000007</v>
      </c>
      <c r="G41" s="143">
        <v>8.67</v>
      </c>
      <c r="H41" s="143">
        <v>7.79</v>
      </c>
      <c r="I41" s="143">
        <v>6.38</v>
      </c>
      <c r="J41" s="143">
        <v>5.86</v>
      </c>
      <c r="L41" s="147">
        <f t="shared" si="1"/>
        <v>8.9633333333333329</v>
      </c>
      <c r="M41" s="144"/>
      <c r="N41" s="144">
        <f t="shared" si="2"/>
        <v>-8.9633333333333329</v>
      </c>
      <c r="W41" s="144">
        <f t="shared" si="5"/>
        <v>-9.99</v>
      </c>
    </row>
    <row r="42" spans="2:23" x14ac:dyDescent="0.2">
      <c r="B42" s="143">
        <f t="shared" si="0"/>
        <v>13.25</v>
      </c>
      <c r="C42" s="143">
        <v>8.66</v>
      </c>
      <c r="D42" s="143">
        <v>11.55</v>
      </c>
      <c r="E42" s="143">
        <v>10.67</v>
      </c>
      <c r="F42" s="143">
        <v>9.8000000000000007</v>
      </c>
      <c r="G42" s="143">
        <v>8.92</v>
      </c>
      <c r="H42" s="143">
        <v>8.0399999999999991</v>
      </c>
      <c r="I42" s="143">
        <v>6.59</v>
      </c>
      <c r="J42" s="143">
        <v>6.01</v>
      </c>
      <c r="L42" s="147">
        <f t="shared" si="1"/>
        <v>9.2133333333333329</v>
      </c>
      <c r="M42" s="144"/>
      <c r="N42" s="144">
        <f t="shared" si="2"/>
        <v>-9.2133333333333329</v>
      </c>
      <c r="W42" s="144">
        <f t="shared" si="5"/>
        <v>-10.234999999999999</v>
      </c>
    </row>
    <row r="43" spans="2:23" x14ac:dyDescent="0.2">
      <c r="B43" s="143">
        <f t="shared" si="0"/>
        <v>13.5</v>
      </c>
      <c r="C43" s="143">
        <v>8.7799999999999994</v>
      </c>
      <c r="D43" s="143">
        <v>11.79</v>
      </c>
      <c r="E43" s="143">
        <v>10.91</v>
      </c>
      <c r="F43" s="143">
        <v>10.029999999999999</v>
      </c>
      <c r="G43" s="143">
        <v>9.16</v>
      </c>
      <c r="H43" s="143">
        <v>8.2799999999999994</v>
      </c>
      <c r="I43" s="143">
        <v>6.79</v>
      </c>
      <c r="J43" s="143">
        <v>6.16</v>
      </c>
      <c r="L43" s="147">
        <f t="shared" si="1"/>
        <v>9.4499999999999993</v>
      </c>
      <c r="M43" s="144"/>
      <c r="N43" s="144">
        <f t="shared" si="2"/>
        <v>-9.4499999999999993</v>
      </c>
      <c r="W43" s="144">
        <f t="shared" si="5"/>
        <v>-10.469999999999999</v>
      </c>
    </row>
    <row r="44" spans="2:23" x14ac:dyDescent="0.2">
      <c r="B44" s="143">
        <f t="shared" si="0"/>
        <v>13.75</v>
      </c>
      <c r="C44" s="143">
        <v>8.9</v>
      </c>
      <c r="D44" s="143">
        <v>12.02</v>
      </c>
      <c r="E44" s="143">
        <v>11.14</v>
      </c>
      <c r="F44" s="143">
        <v>10.27</v>
      </c>
      <c r="G44" s="143">
        <v>9.4</v>
      </c>
      <c r="H44" s="143">
        <v>8.52</v>
      </c>
      <c r="I44" s="143">
        <v>6.99</v>
      </c>
      <c r="J44" s="143">
        <v>6.3</v>
      </c>
      <c r="L44" s="147">
        <f t="shared" si="1"/>
        <v>9.69</v>
      </c>
      <c r="M44" s="144"/>
      <c r="N44" s="144">
        <f t="shared" si="2"/>
        <v>-9.69</v>
      </c>
      <c r="W44" s="144">
        <f t="shared" si="5"/>
        <v>-10.705</v>
      </c>
    </row>
    <row r="45" spans="2:23" x14ac:dyDescent="0.2">
      <c r="B45" s="143">
        <f t="shared" si="0"/>
        <v>14</v>
      </c>
      <c r="C45" s="143">
        <v>9.02</v>
      </c>
      <c r="D45" s="143">
        <v>12.24</v>
      </c>
      <c r="E45" s="143">
        <v>11.37</v>
      </c>
      <c r="F45" s="143">
        <v>10.5</v>
      </c>
      <c r="G45" s="143">
        <v>9.6300000000000008</v>
      </c>
      <c r="H45" s="143">
        <v>8.76</v>
      </c>
      <c r="I45" s="143">
        <v>7.18</v>
      </c>
      <c r="J45" s="143">
        <v>6.45</v>
      </c>
      <c r="L45" s="147">
        <f t="shared" si="1"/>
        <v>9.92</v>
      </c>
      <c r="M45" s="144"/>
      <c r="N45" s="144">
        <f t="shared" si="2"/>
        <v>-9.92</v>
      </c>
      <c r="W45" s="144">
        <f t="shared" si="5"/>
        <v>-10.934999999999999</v>
      </c>
    </row>
    <row r="46" spans="2:23" x14ac:dyDescent="0.2">
      <c r="B46" s="143">
        <f t="shared" si="0"/>
        <v>14.25</v>
      </c>
      <c r="C46" s="143">
        <v>9.14</v>
      </c>
      <c r="D46" s="143">
        <v>12.46</v>
      </c>
      <c r="E46" s="143">
        <v>11.59</v>
      </c>
      <c r="F46" s="143">
        <v>10.72</v>
      </c>
      <c r="G46" s="143">
        <v>9.85</v>
      </c>
      <c r="H46" s="143">
        <v>8.99</v>
      </c>
      <c r="I46" s="143">
        <v>7.38</v>
      </c>
      <c r="J46" s="143">
        <v>6.58</v>
      </c>
      <c r="L46" s="147">
        <f t="shared" si="1"/>
        <v>10.14</v>
      </c>
      <c r="M46" s="144"/>
      <c r="N46" s="144">
        <f t="shared" si="2"/>
        <v>-10.14</v>
      </c>
      <c r="W46" s="144">
        <f t="shared" si="5"/>
        <v>-11.155000000000001</v>
      </c>
    </row>
    <row r="47" spans="2:23" x14ac:dyDescent="0.2">
      <c r="B47" s="143">
        <f t="shared" si="0"/>
        <v>14.5</v>
      </c>
      <c r="C47" s="143">
        <v>9.25</v>
      </c>
      <c r="D47" s="143">
        <v>12.67</v>
      </c>
      <c r="E47" s="143">
        <v>11.81</v>
      </c>
      <c r="F47" s="143">
        <v>10.94</v>
      </c>
      <c r="G47" s="143">
        <v>10.08</v>
      </c>
      <c r="H47" s="143">
        <v>9.2100000000000009</v>
      </c>
      <c r="I47" s="143">
        <v>7.57</v>
      </c>
      <c r="J47" s="143">
        <v>6.72</v>
      </c>
      <c r="L47" s="147">
        <f t="shared" si="1"/>
        <v>10.366666666666667</v>
      </c>
      <c r="M47" s="144"/>
      <c r="N47" s="144">
        <f t="shared" si="2"/>
        <v>-10.366666666666667</v>
      </c>
      <c r="W47" s="144">
        <f t="shared" si="5"/>
        <v>-11.375</v>
      </c>
    </row>
    <row r="48" spans="2:23" x14ac:dyDescent="0.2">
      <c r="B48" s="143">
        <f t="shared" si="0"/>
        <v>14.75</v>
      </c>
      <c r="C48" s="143">
        <v>9.36</v>
      </c>
      <c r="D48" s="143">
        <v>12.88</v>
      </c>
      <c r="E48" s="143">
        <v>12.02</v>
      </c>
      <c r="F48" s="143">
        <v>11.16</v>
      </c>
      <c r="G48" s="143">
        <v>10.3</v>
      </c>
      <c r="H48" s="143">
        <v>9.44</v>
      </c>
      <c r="I48" s="143">
        <v>7.76</v>
      </c>
      <c r="J48" s="143">
        <v>6.86</v>
      </c>
      <c r="L48" s="147">
        <f t="shared" si="1"/>
        <v>10.586666666666668</v>
      </c>
      <c r="M48" s="144"/>
      <c r="N48" s="144">
        <f t="shared" si="2"/>
        <v>-10.586666666666668</v>
      </c>
      <c r="W48" s="144">
        <f t="shared" si="5"/>
        <v>-11.59</v>
      </c>
    </row>
    <row r="49" spans="1:23" x14ac:dyDescent="0.2">
      <c r="B49" s="143">
        <f t="shared" si="0"/>
        <v>15</v>
      </c>
      <c r="C49" s="143">
        <v>9.4700000000000006</v>
      </c>
      <c r="D49" s="143">
        <v>13.09</v>
      </c>
      <c r="E49" s="143">
        <v>12.23</v>
      </c>
      <c r="F49" s="143">
        <v>11.37</v>
      </c>
      <c r="G49" s="143">
        <v>10.51</v>
      </c>
      <c r="H49" s="143">
        <v>9.65</v>
      </c>
      <c r="I49" s="143">
        <v>7.94</v>
      </c>
      <c r="J49" s="143">
        <v>7.02</v>
      </c>
      <c r="L49" s="147">
        <f t="shared" si="1"/>
        <v>10.796666666666667</v>
      </c>
      <c r="M49" s="144"/>
      <c r="N49" s="144">
        <f t="shared" si="2"/>
        <v>-10.796666666666667</v>
      </c>
      <c r="W49" s="144">
        <f t="shared" si="5"/>
        <v>-11.8</v>
      </c>
    </row>
    <row r="50" spans="1:23" x14ac:dyDescent="0.2">
      <c r="B50" s="1"/>
      <c r="C50" s="1"/>
      <c r="D50" s="1"/>
      <c r="E50" s="1"/>
      <c r="F50" s="1"/>
      <c r="G50" s="1"/>
      <c r="H50" s="1"/>
      <c r="I50" s="1"/>
      <c r="J50" s="1"/>
    </row>
    <row r="51" spans="1:23" x14ac:dyDescent="0.2">
      <c r="B51" s="56" t="s">
        <v>116</v>
      </c>
      <c r="C51" s="56" t="s">
        <v>117</v>
      </c>
      <c r="D51" s="207" t="s">
        <v>115</v>
      </c>
      <c r="E51" s="208"/>
      <c r="F51" s="209"/>
      <c r="G51" s="1"/>
      <c r="H51" s="1"/>
      <c r="I51" s="1"/>
      <c r="J51" s="1"/>
    </row>
    <row r="52" spans="1:23" x14ac:dyDescent="0.2">
      <c r="B52" s="57"/>
      <c r="C52" s="57"/>
      <c r="D52" s="143">
        <f>IF(E52&lt;E4,D4,IF(E52&lt;F4,E4,IF(E52&lt;G4,F4,IF(E52&lt;H4,G4,IF(E52&lt;I4,H4,IF(E52&lt;J4,I4,J4))))))</f>
        <v>0.5</v>
      </c>
      <c r="E52" s="143">
        <f>'[1]Typical Reinforcing'!D65</f>
        <v>0.69444444444444453</v>
      </c>
      <c r="F52" s="143">
        <f>IF(E52&gt;I4,J4,IF(E52&gt;H4,I4,IF(E52&gt;G4,H4,IF(E52&gt;F4,G4,IF(E52&gt;E4,F4,IF(E52&gt;D4,E4,D4))))))</f>
        <v>0.75</v>
      </c>
      <c r="G52" s="1"/>
      <c r="H52" s="1"/>
      <c r="I52" s="1"/>
      <c r="J52" s="1"/>
    </row>
    <row r="53" spans="1:23" x14ac:dyDescent="0.2">
      <c r="A53" s="144"/>
      <c r="B53" s="143">
        <f>IF(B54=15,14.75,IF(B54-INT(B54)&gt;=0.75,INT(B54)+0.75,IF(B54-INT(B54)&gt;=0.5,INT(B54)+0.5,IF(B54-INT(B54)&gt;=0.25,INT(B54)+0.25,INT(B54)))))</f>
        <v>8.5</v>
      </c>
      <c r="C53" s="145">
        <f>VLOOKUP(B53,B5:J49,2,FALSE)</f>
        <v>5.99</v>
      </c>
      <c r="D53" s="145">
        <f>VLOOKUP(B53,B5:J49,MATCH(D52,B4:J4),FALSE)</f>
        <v>4.9800000000000004</v>
      </c>
      <c r="E53" s="143">
        <f>D53+(E52-D52)*(F53-D53)/(F52-D52)</f>
        <v>4.3266666666666662</v>
      </c>
      <c r="F53" s="145">
        <f>VLOOKUP(B53,B5:J49,MATCH(F52,B4:J4),FALSE)</f>
        <v>4.1399999999999997</v>
      </c>
      <c r="G53" s="1"/>
      <c r="H53" s="1"/>
      <c r="I53" s="1"/>
      <c r="J53" s="1"/>
    </row>
    <row r="54" spans="1:23" x14ac:dyDescent="0.2">
      <c r="B54" s="143">
        <f>'[1]Typical Reinforcing'!C16</f>
        <v>8.5830000000000002</v>
      </c>
      <c r="C54" s="146">
        <f>C53+(B54-B53)*(C55-C53)/(B55-B53)</f>
        <v>6.0398000000000005</v>
      </c>
      <c r="D54" s="146">
        <f>D53+(B54-B53)*(D55-D53)/(B55-B53)</f>
        <v>5.0065600000000003</v>
      </c>
      <c r="E54" s="278">
        <f>E53+(B54-B53)*(E55-E53)/(B55-B53)</f>
        <v>4.3532266666666661</v>
      </c>
      <c r="F54" s="146">
        <f>F53+(B54-B53)*(F55-F53)/(B55-B53)</f>
        <v>4.1665599999999996</v>
      </c>
      <c r="L54">
        <v>-2.66</v>
      </c>
      <c r="M54" s="144">
        <f>F9+L54</f>
        <v>0</v>
      </c>
      <c r="O54">
        <v>4.6500000000000004</v>
      </c>
      <c r="P54" s="144">
        <f>O54-C9</f>
        <v>0</v>
      </c>
    </row>
    <row r="55" spans="1:23" x14ac:dyDescent="0.2">
      <c r="B55" s="143">
        <f>IF(B54=15,15,B53+0.25)</f>
        <v>8.75</v>
      </c>
      <c r="C55" s="145">
        <f>VLOOKUP(B55,B5:J49,2,FALSE)</f>
        <v>6.14</v>
      </c>
      <c r="D55" s="145">
        <f>VLOOKUP(B55,B5:J49,MATCH(D52,B4:J4),FALSE)</f>
        <v>5.0599999999999996</v>
      </c>
      <c r="E55" s="143">
        <f>D55+(E52-D52)*(F55-D55)/(F52-D52)</f>
        <v>4.4066666666666663</v>
      </c>
      <c r="F55" s="145">
        <f>VLOOKUP(B55,B5:J49,MATCH(F52,B4:J4),FALSE)</f>
        <v>4.22</v>
      </c>
      <c r="L55">
        <v>-2.89</v>
      </c>
      <c r="M55" s="144">
        <f t="shared" ref="M55:M94" si="6">F10+L55</f>
        <v>0</v>
      </c>
      <c r="O55">
        <v>4.67</v>
      </c>
      <c r="P55" s="144">
        <f t="shared" ref="P55:P94" si="7">O55-C10</f>
        <v>0</v>
      </c>
    </row>
    <row r="56" spans="1:23" x14ac:dyDescent="0.2">
      <c r="L56">
        <v>-3.11</v>
      </c>
      <c r="M56" s="144">
        <f t="shared" si="6"/>
        <v>0</v>
      </c>
      <c r="O56">
        <v>4.71</v>
      </c>
      <c r="P56" s="144">
        <f t="shared" si="7"/>
        <v>0</v>
      </c>
    </row>
    <row r="57" spans="1:23" x14ac:dyDescent="0.2">
      <c r="L57">
        <v>-3.31</v>
      </c>
      <c r="M57" s="144">
        <f t="shared" si="6"/>
        <v>0</v>
      </c>
      <c r="O57">
        <v>4.7699999999999996</v>
      </c>
      <c r="P57" s="144">
        <f t="shared" si="7"/>
        <v>0</v>
      </c>
    </row>
    <row r="58" spans="1:23" x14ac:dyDescent="0.2">
      <c r="L58">
        <v>-3.5</v>
      </c>
      <c r="M58" s="144">
        <f t="shared" si="6"/>
        <v>0</v>
      </c>
      <c r="O58">
        <v>4.83</v>
      </c>
      <c r="P58" s="144">
        <f t="shared" si="7"/>
        <v>0</v>
      </c>
    </row>
    <row r="59" spans="1:23" x14ac:dyDescent="0.2">
      <c r="L59">
        <v>-3.68</v>
      </c>
      <c r="M59" s="144">
        <f t="shared" si="6"/>
        <v>0</v>
      </c>
      <c r="O59">
        <v>4.91</v>
      </c>
      <c r="P59" s="144">
        <f t="shared" si="7"/>
        <v>0</v>
      </c>
    </row>
    <row r="60" spans="1:23" x14ac:dyDescent="0.2">
      <c r="L60">
        <v>-3.84</v>
      </c>
      <c r="M60" s="144">
        <f t="shared" si="6"/>
        <v>0</v>
      </c>
      <c r="O60">
        <v>5</v>
      </c>
      <c r="P60" s="144">
        <f t="shared" si="7"/>
        <v>0</v>
      </c>
    </row>
    <row r="61" spans="1:23" x14ac:dyDescent="0.2">
      <c r="L61">
        <v>-3.99</v>
      </c>
      <c r="M61" s="144">
        <f t="shared" si="6"/>
        <v>0</v>
      </c>
      <c r="O61">
        <v>5.0999999999999996</v>
      </c>
      <c r="P61" s="144">
        <f t="shared" si="7"/>
        <v>0</v>
      </c>
    </row>
    <row r="62" spans="1:23" x14ac:dyDescent="0.2">
      <c r="L62">
        <v>-4.3600000000000003</v>
      </c>
      <c r="M62" s="144">
        <f t="shared" si="6"/>
        <v>0</v>
      </c>
      <c r="O62">
        <v>5.21</v>
      </c>
      <c r="P62" s="144">
        <f t="shared" si="7"/>
        <v>0</v>
      </c>
    </row>
    <row r="63" spans="1:23" x14ac:dyDescent="0.2">
      <c r="L63">
        <v>-4.49</v>
      </c>
      <c r="M63" s="144">
        <f t="shared" si="6"/>
        <v>0</v>
      </c>
      <c r="O63">
        <v>5.32</v>
      </c>
      <c r="P63" s="144">
        <f t="shared" si="7"/>
        <v>0</v>
      </c>
    </row>
    <row r="64" spans="1:23" x14ac:dyDescent="0.2">
      <c r="L64">
        <v>-4.6100000000000003</v>
      </c>
      <c r="M64" s="144">
        <f t="shared" si="6"/>
        <v>0</v>
      </c>
      <c r="O64">
        <v>5.44</v>
      </c>
      <c r="P64" s="144">
        <f t="shared" si="7"/>
        <v>0</v>
      </c>
    </row>
    <row r="65" spans="12:16" x14ac:dyDescent="0.2">
      <c r="L65">
        <v>-4.71</v>
      </c>
      <c r="M65" s="144">
        <f t="shared" si="6"/>
        <v>0</v>
      </c>
      <c r="O65">
        <v>5.56</v>
      </c>
      <c r="P65" s="144">
        <f t="shared" si="7"/>
        <v>0</v>
      </c>
    </row>
    <row r="66" spans="12:16" x14ac:dyDescent="0.2">
      <c r="L66">
        <v>-4.8099999999999996</v>
      </c>
      <c r="M66" s="144">
        <f t="shared" si="6"/>
        <v>0</v>
      </c>
      <c r="O66">
        <v>5.69</v>
      </c>
      <c r="P66" s="144">
        <f t="shared" si="7"/>
        <v>0</v>
      </c>
    </row>
    <row r="67" spans="12:16" x14ac:dyDescent="0.2">
      <c r="L67">
        <v>-4.9000000000000004</v>
      </c>
      <c r="M67" s="144">
        <f t="shared" si="6"/>
        <v>0</v>
      </c>
      <c r="O67">
        <v>5.83</v>
      </c>
      <c r="P67" s="144">
        <f t="shared" si="7"/>
        <v>0</v>
      </c>
    </row>
    <row r="68" spans="12:16" x14ac:dyDescent="0.2">
      <c r="L68">
        <v>-4.9800000000000004</v>
      </c>
      <c r="M68" s="144">
        <f t="shared" si="6"/>
        <v>0</v>
      </c>
      <c r="O68">
        <v>5.99</v>
      </c>
      <c r="P68" s="144">
        <f t="shared" si="7"/>
        <v>0</v>
      </c>
    </row>
    <row r="69" spans="12:16" x14ac:dyDescent="0.2">
      <c r="L69">
        <v>-5.0599999999999996</v>
      </c>
      <c r="M69" s="144">
        <f t="shared" si="6"/>
        <v>0</v>
      </c>
      <c r="O69">
        <v>6.14</v>
      </c>
      <c r="P69" s="144">
        <f t="shared" si="7"/>
        <v>0</v>
      </c>
    </row>
    <row r="70" spans="12:16" x14ac:dyDescent="0.2">
      <c r="L70">
        <v>-5.13</v>
      </c>
      <c r="M70" s="144">
        <f t="shared" si="6"/>
        <v>0</v>
      </c>
      <c r="O70">
        <v>6.29</v>
      </c>
      <c r="P70" s="144">
        <f t="shared" si="7"/>
        <v>0</v>
      </c>
    </row>
    <row r="71" spans="12:16" x14ac:dyDescent="0.2">
      <c r="L71">
        <v>-5.19</v>
      </c>
      <c r="M71" s="144">
        <f t="shared" si="6"/>
        <v>0</v>
      </c>
      <c r="O71">
        <v>6.44</v>
      </c>
      <c r="P71" s="144">
        <f t="shared" si="7"/>
        <v>0</v>
      </c>
    </row>
    <row r="72" spans="12:16" x14ac:dyDescent="0.2">
      <c r="L72">
        <v>-5.46</v>
      </c>
      <c r="M72" s="144">
        <f t="shared" si="6"/>
        <v>0</v>
      </c>
      <c r="O72">
        <v>6.59</v>
      </c>
      <c r="P72" s="144">
        <f t="shared" si="7"/>
        <v>0</v>
      </c>
    </row>
    <row r="73" spans="12:16" x14ac:dyDescent="0.2">
      <c r="L73">
        <v>-5.8</v>
      </c>
      <c r="M73" s="144">
        <f t="shared" si="6"/>
        <v>0</v>
      </c>
      <c r="O73">
        <v>6.74</v>
      </c>
      <c r="P73" s="144">
        <f t="shared" si="7"/>
        <v>0</v>
      </c>
    </row>
    <row r="74" spans="12:16" x14ac:dyDescent="0.2">
      <c r="L74">
        <v>-6.13</v>
      </c>
      <c r="M74" s="144">
        <f t="shared" si="6"/>
        <v>0</v>
      </c>
      <c r="O74">
        <v>6.89</v>
      </c>
      <c r="P74" s="144">
        <f t="shared" si="7"/>
        <v>0</v>
      </c>
    </row>
    <row r="75" spans="12:16" x14ac:dyDescent="0.2">
      <c r="L75">
        <v>-6.45</v>
      </c>
      <c r="M75" s="144">
        <f t="shared" si="6"/>
        <v>0</v>
      </c>
      <c r="O75">
        <v>7.03</v>
      </c>
      <c r="P75" s="144">
        <f t="shared" si="7"/>
        <v>0</v>
      </c>
    </row>
    <row r="76" spans="12:16" x14ac:dyDescent="0.2">
      <c r="L76">
        <v>-6.77</v>
      </c>
      <c r="M76" s="144">
        <f t="shared" si="6"/>
        <v>0</v>
      </c>
      <c r="O76">
        <v>7.17</v>
      </c>
      <c r="P76" s="144">
        <f t="shared" si="7"/>
        <v>0</v>
      </c>
    </row>
    <row r="77" spans="12:16" x14ac:dyDescent="0.2">
      <c r="L77">
        <v>-7.08</v>
      </c>
      <c r="M77" s="144">
        <f t="shared" si="6"/>
        <v>0</v>
      </c>
      <c r="O77">
        <v>7.32</v>
      </c>
      <c r="P77" s="144">
        <f t="shared" si="7"/>
        <v>0</v>
      </c>
    </row>
    <row r="78" spans="12:16" x14ac:dyDescent="0.2">
      <c r="L78">
        <v>-7.38</v>
      </c>
      <c r="M78" s="144">
        <f t="shared" si="6"/>
        <v>0</v>
      </c>
      <c r="O78">
        <v>7.46</v>
      </c>
      <c r="P78" s="144">
        <f t="shared" si="7"/>
        <v>0</v>
      </c>
    </row>
    <row r="79" spans="12:16" x14ac:dyDescent="0.2">
      <c r="L79">
        <v>-7.67</v>
      </c>
      <c r="M79" s="144">
        <f t="shared" si="6"/>
        <v>0</v>
      </c>
      <c r="O79">
        <v>7.6</v>
      </c>
      <c r="P79" s="144">
        <f t="shared" si="7"/>
        <v>0</v>
      </c>
    </row>
    <row r="80" spans="12:16" x14ac:dyDescent="0.2">
      <c r="L80">
        <v>-7.96</v>
      </c>
      <c r="M80" s="144">
        <f t="shared" si="6"/>
        <v>0</v>
      </c>
      <c r="O80">
        <v>7.74</v>
      </c>
      <c r="P80" s="144">
        <f t="shared" si="7"/>
        <v>0</v>
      </c>
    </row>
    <row r="81" spans="12:16" x14ac:dyDescent="0.2">
      <c r="L81">
        <v>-8.24</v>
      </c>
      <c r="M81" s="144">
        <f t="shared" si="6"/>
        <v>0</v>
      </c>
      <c r="O81">
        <v>7.88</v>
      </c>
      <c r="P81" s="144">
        <f t="shared" si="7"/>
        <v>0</v>
      </c>
    </row>
    <row r="82" spans="12:16" x14ac:dyDescent="0.2">
      <c r="L82">
        <v>-8.51</v>
      </c>
      <c r="M82" s="144">
        <f t="shared" si="6"/>
        <v>0</v>
      </c>
      <c r="O82">
        <v>8.01</v>
      </c>
      <c r="P82" s="144">
        <f t="shared" si="7"/>
        <v>0</v>
      </c>
    </row>
    <row r="83" spans="12:16" x14ac:dyDescent="0.2">
      <c r="L83">
        <v>-8.7799999999999994</v>
      </c>
      <c r="M83" s="144">
        <f t="shared" si="6"/>
        <v>0</v>
      </c>
      <c r="O83">
        <v>8.15</v>
      </c>
      <c r="P83" s="144">
        <f t="shared" si="7"/>
        <v>0</v>
      </c>
    </row>
    <row r="84" spans="12:16" x14ac:dyDescent="0.2">
      <c r="L84">
        <v>-9.0399999999999991</v>
      </c>
      <c r="M84" s="144">
        <f t="shared" si="6"/>
        <v>0</v>
      </c>
      <c r="O84">
        <v>8.2799999999999994</v>
      </c>
      <c r="P84" s="144">
        <f t="shared" si="7"/>
        <v>0</v>
      </c>
    </row>
    <row r="85" spans="12:16" x14ac:dyDescent="0.2">
      <c r="L85">
        <v>-9.3000000000000007</v>
      </c>
      <c r="M85" s="144">
        <f t="shared" si="6"/>
        <v>0</v>
      </c>
      <c r="O85">
        <v>8.41</v>
      </c>
      <c r="P85" s="144">
        <f t="shared" si="7"/>
        <v>0</v>
      </c>
    </row>
    <row r="86" spans="12:16" x14ac:dyDescent="0.2">
      <c r="L86">
        <v>-9.5500000000000007</v>
      </c>
      <c r="M86" s="144">
        <f t="shared" si="6"/>
        <v>0</v>
      </c>
      <c r="O86">
        <v>8.5399999999999991</v>
      </c>
      <c r="P86" s="144">
        <f t="shared" si="7"/>
        <v>0</v>
      </c>
    </row>
    <row r="87" spans="12:16" x14ac:dyDescent="0.2">
      <c r="L87">
        <v>-9.8000000000000007</v>
      </c>
      <c r="M87" s="144">
        <f t="shared" si="6"/>
        <v>0</v>
      </c>
      <c r="O87">
        <v>8.66</v>
      </c>
      <c r="P87" s="144">
        <f t="shared" si="7"/>
        <v>0</v>
      </c>
    </row>
    <row r="88" spans="12:16" x14ac:dyDescent="0.2">
      <c r="L88">
        <v>-10.029999999999999</v>
      </c>
      <c r="M88" s="144">
        <f t="shared" si="6"/>
        <v>0</v>
      </c>
      <c r="O88">
        <v>8.7799999999999994</v>
      </c>
      <c r="P88" s="144">
        <f t="shared" si="7"/>
        <v>0</v>
      </c>
    </row>
    <row r="89" spans="12:16" x14ac:dyDescent="0.2">
      <c r="L89">
        <v>-10.27</v>
      </c>
      <c r="M89" s="144">
        <f t="shared" si="6"/>
        <v>0</v>
      </c>
      <c r="O89">
        <v>8.9</v>
      </c>
      <c r="P89" s="144">
        <f t="shared" si="7"/>
        <v>0</v>
      </c>
    </row>
    <row r="90" spans="12:16" x14ac:dyDescent="0.2">
      <c r="L90">
        <v>-10.5</v>
      </c>
      <c r="M90" s="144">
        <f t="shared" si="6"/>
        <v>0</v>
      </c>
      <c r="O90">
        <v>9.02</v>
      </c>
      <c r="P90" s="144">
        <f t="shared" si="7"/>
        <v>0</v>
      </c>
    </row>
    <row r="91" spans="12:16" x14ac:dyDescent="0.2">
      <c r="L91">
        <v>-10.72</v>
      </c>
      <c r="M91" s="144">
        <f t="shared" si="6"/>
        <v>0</v>
      </c>
      <c r="O91">
        <v>9.14</v>
      </c>
      <c r="P91" s="144">
        <f t="shared" si="7"/>
        <v>0</v>
      </c>
    </row>
    <row r="92" spans="12:16" x14ac:dyDescent="0.2">
      <c r="L92">
        <v>-10.94</v>
      </c>
      <c r="M92" s="144">
        <f t="shared" si="6"/>
        <v>0</v>
      </c>
      <c r="O92">
        <v>9.25</v>
      </c>
      <c r="P92" s="144">
        <f t="shared" si="7"/>
        <v>0</v>
      </c>
    </row>
    <row r="93" spans="12:16" x14ac:dyDescent="0.2">
      <c r="L93">
        <v>-11.16</v>
      </c>
      <c r="M93" s="144">
        <f t="shared" si="6"/>
        <v>0</v>
      </c>
      <c r="O93">
        <v>9.36</v>
      </c>
      <c r="P93" s="144">
        <f t="shared" si="7"/>
        <v>0</v>
      </c>
    </row>
    <row r="94" spans="12:16" x14ac:dyDescent="0.2">
      <c r="L94">
        <v>-11.37</v>
      </c>
      <c r="M94" s="144">
        <f t="shared" si="6"/>
        <v>0</v>
      </c>
      <c r="O94">
        <v>9.4700000000000006</v>
      </c>
      <c r="P94" s="144">
        <f t="shared" si="7"/>
        <v>0</v>
      </c>
    </row>
  </sheetData>
  <mergeCells count="3">
    <mergeCell ref="D2:J2"/>
    <mergeCell ref="D3:J3"/>
    <mergeCell ref="D51:F5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98"/>
  <sheetViews>
    <sheetView workbookViewId="0">
      <selection activeCell="U10" sqref="U10"/>
    </sheetView>
  </sheetViews>
  <sheetFormatPr defaultRowHeight="12.75" x14ac:dyDescent="0.2"/>
  <cols>
    <col min="1" max="1" width="7.85546875" customWidth="1"/>
    <col min="2" max="2" width="6.7109375" customWidth="1"/>
    <col min="3" max="3" width="7.7109375" customWidth="1"/>
    <col min="4" max="11" width="7.28515625" customWidth="1"/>
    <col min="14" max="16" width="6.7109375" customWidth="1"/>
    <col min="17" max="18" width="8.85546875" customWidth="1"/>
    <col min="19" max="21" width="8.85546875" style="154" customWidth="1"/>
    <col min="22" max="22" width="1.7109375" customWidth="1"/>
    <col min="23" max="28" width="7.28515625" customWidth="1"/>
    <col min="29" max="29" width="8.28515625" customWidth="1"/>
    <col min="30" max="30" width="6.7109375" customWidth="1"/>
    <col min="31" max="32" width="7.7109375" customWidth="1"/>
    <col min="33" max="33" width="6.42578125" customWidth="1"/>
    <col min="34" max="34" width="6.5703125" customWidth="1"/>
    <col min="35" max="35" width="10.7109375" customWidth="1"/>
    <col min="36" max="36" width="8.7109375" customWidth="1"/>
    <col min="37" max="37" width="6.7109375" customWidth="1"/>
    <col min="38" max="38" width="10.7109375" customWidth="1"/>
    <col min="39" max="39" width="1.7109375" customWidth="1"/>
    <col min="40" max="40" width="7.5703125" customWidth="1"/>
    <col min="41" max="41" width="7.7109375" customWidth="1"/>
    <col min="42" max="43" width="11.7109375" customWidth="1"/>
  </cols>
  <sheetData>
    <row r="1" spans="1:54" ht="20.25" x14ac:dyDescent="0.3">
      <c r="AN1" s="212" t="s">
        <v>53</v>
      </c>
      <c r="AO1" s="212"/>
      <c r="AP1" s="212"/>
      <c r="AQ1" s="212"/>
      <c r="AR1" s="212"/>
      <c r="AS1" s="212"/>
      <c r="AT1" s="212"/>
      <c r="AU1" s="212"/>
    </row>
    <row r="2" spans="1:54" ht="20.25" x14ac:dyDescent="0.3">
      <c r="A2" s="30" t="s">
        <v>38</v>
      </c>
      <c r="W2" s="30" t="s">
        <v>38</v>
      </c>
      <c r="AN2" s="213" t="s">
        <v>95</v>
      </c>
      <c r="AO2" s="213"/>
      <c r="AP2" s="213"/>
      <c r="AQ2" s="213"/>
      <c r="AR2" s="213"/>
      <c r="AS2" s="213"/>
      <c r="AT2" s="213"/>
      <c r="AU2" s="213"/>
    </row>
    <row r="3" spans="1:54" ht="18" x14ac:dyDescent="0.25">
      <c r="J3" t="s">
        <v>99</v>
      </c>
      <c r="O3" t="s">
        <v>100</v>
      </c>
      <c r="R3" s="124" t="s">
        <v>92</v>
      </c>
      <c r="S3" s="163"/>
      <c r="T3" s="163"/>
      <c r="U3" s="163"/>
      <c r="V3" s="124"/>
      <c r="W3" s="141" t="s">
        <v>125</v>
      </c>
      <c r="AL3" s="124" t="s">
        <v>93</v>
      </c>
      <c r="AN3" s="215" t="s">
        <v>96</v>
      </c>
      <c r="AO3" s="215"/>
      <c r="AP3" s="215"/>
      <c r="AQ3" s="215"/>
      <c r="AR3" s="215"/>
      <c r="AS3" s="215"/>
      <c r="AT3" s="215"/>
      <c r="AU3" s="215"/>
    </row>
    <row r="4" spans="1:54" ht="15" customHeight="1" x14ac:dyDescent="0.25">
      <c r="L4" s="140"/>
      <c r="Q4" s="140" t="s">
        <v>113</v>
      </c>
      <c r="R4" s="140" t="s">
        <v>113</v>
      </c>
      <c r="AK4" s="140" t="s">
        <v>113</v>
      </c>
      <c r="AL4" s="140" t="s">
        <v>113</v>
      </c>
      <c r="AN4" s="216" t="s">
        <v>141</v>
      </c>
      <c r="AO4" s="216"/>
      <c r="AP4" s="216"/>
      <c r="AQ4" s="216"/>
      <c r="AR4" s="216"/>
      <c r="AS4" s="216"/>
      <c r="AT4" s="216"/>
      <c r="AU4" s="216"/>
      <c r="AW4" s="180">
        <v>4500</v>
      </c>
    </row>
    <row r="5" spans="1:54" x14ac:dyDescent="0.2">
      <c r="D5" s="140" t="s">
        <v>113</v>
      </c>
      <c r="E5" s="140" t="s">
        <v>113</v>
      </c>
      <c r="F5" s="140" t="s">
        <v>113</v>
      </c>
      <c r="G5" s="140" t="s">
        <v>113</v>
      </c>
      <c r="H5" s="140" t="s">
        <v>113</v>
      </c>
      <c r="I5" s="140" t="s">
        <v>113</v>
      </c>
      <c r="J5" s="140" t="s">
        <v>113</v>
      </c>
      <c r="K5" s="140" t="s">
        <v>113</v>
      </c>
      <c r="L5" t="s">
        <v>105</v>
      </c>
      <c r="P5" t="s">
        <v>106</v>
      </c>
      <c r="S5" s="140" t="s">
        <v>113</v>
      </c>
      <c r="T5" s="140" t="s">
        <v>113</v>
      </c>
      <c r="U5" s="140" t="s">
        <v>113</v>
      </c>
      <c r="W5" s="140" t="s">
        <v>113</v>
      </c>
      <c r="X5" s="140" t="s">
        <v>113</v>
      </c>
      <c r="Y5" s="140" t="s">
        <v>113</v>
      </c>
      <c r="Z5" s="140" t="s">
        <v>113</v>
      </c>
      <c r="AA5" s="140" t="s">
        <v>113</v>
      </c>
      <c r="AB5" s="140" t="s">
        <v>113</v>
      </c>
      <c r="AC5" s="140" t="s">
        <v>113</v>
      </c>
      <c r="AD5" s="140" t="s">
        <v>113</v>
      </c>
      <c r="AE5" s="140" t="s">
        <v>113</v>
      </c>
      <c r="AF5" s="140" t="s">
        <v>113</v>
      </c>
      <c r="AG5" s="140" t="s">
        <v>113</v>
      </c>
      <c r="AH5" s="140" t="s">
        <v>113</v>
      </c>
      <c r="AI5" s="140" t="s">
        <v>113</v>
      </c>
      <c r="AJ5" s="140" t="s">
        <v>113</v>
      </c>
      <c r="AK5" t="s">
        <v>111</v>
      </c>
      <c r="AN5" s="140" t="s">
        <v>113</v>
      </c>
      <c r="AO5" s="140" t="s">
        <v>113</v>
      </c>
      <c r="AP5" s="210" t="s">
        <v>94</v>
      </c>
      <c r="AQ5" s="211"/>
      <c r="AR5" s="210" t="s">
        <v>48</v>
      </c>
      <c r="AS5" s="214"/>
      <c r="AT5" s="210" t="s">
        <v>49</v>
      </c>
      <c r="AU5" s="211"/>
      <c r="AW5" s="210" t="s">
        <v>48</v>
      </c>
      <c r="AX5" s="211"/>
      <c r="AY5" s="210" t="s">
        <v>49</v>
      </c>
      <c r="AZ5" s="211"/>
      <c r="BA5" s="267" t="s">
        <v>186</v>
      </c>
      <c r="BB5" s="268"/>
    </row>
    <row r="6" spans="1:54" ht="13.5" thickBot="1" x14ac:dyDescent="0.25">
      <c r="A6" s="13" t="s">
        <v>5</v>
      </c>
      <c r="B6" s="54" t="s">
        <v>10</v>
      </c>
      <c r="C6" s="14" t="s">
        <v>75</v>
      </c>
      <c r="D6" s="67" t="s">
        <v>2</v>
      </c>
      <c r="E6" s="16" t="s">
        <v>3</v>
      </c>
      <c r="F6" s="67" t="s">
        <v>6</v>
      </c>
      <c r="G6" s="15" t="s">
        <v>7</v>
      </c>
      <c r="H6" s="67" t="s">
        <v>37</v>
      </c>
      <c r="I6" s="16" t="s">
        <v>4</v>
      </c>
      <c r="J6" s="15" t="s">
        <v>1</v>
      </c>
      <c r="K6" s="15" t="s">
        <v>0</v>
      </c>
      <c r="L6" s="13" t="s">
        <v>8</v>
      </c>
      <c r="M6" s="13"/>
      <c r="N6" s="159"/>
      <c r="O6" s="159"/>
      <c r="P6" s="159"/>
      <c r="Q6" s="54" t="s">
        <v>9</v>
      </c>
      <c r="R6" s="67" t="s">
        <v>13</v>
      </c>
      <c r="S6" s="15" t="s">
        <v>14</v>
      </c>
      <c r="T6" s="35" t="s">
        <v>19</v>
      </c>
      <c r="U6" s="16" t="s">
        <v>20</v>
      </c>
      <c r="V6" s="161"/>
      <c r="W6" s="67" t="s">
        <v>16</v>
      </c>
      <c r="X6" s="16" t="s">
        <v>17</v>
      </c>
      <c r="Y6" s="67" t="s">
        <v>15</v>
      </c>
      <c r="Z6" s="15" t="s">
        <v>18</v>
      </c>
      <c r="AA6" s="67" t="s">
        <v>50</v>
      </c>
      <c r="AB6" s="16" t="s">
        <v>51</v>
      </c>
      <c r="AC6" s="14" t="s">
        <v>5</v>
      </c>
      <c r="AD6" s="54" t="s">
        <v>10</v>
      </c>
      <c r="AE6" s="15" t="s">
        <v>1</v>
      </c>
      <c r="AF6" s="15" t="s">
        <v>0</v>
      </c>
      <c r="AG6" s="67" t="s">
        <v>39</v>
      </c>
      <c r="AH6" s="16" t="s">
        <v>40</v>
      </c>
      <c r="AI6" s="67" t="s">
        <v>44</v>
      </c>
      <c r="AJ6" s="67" t="s">
        <v>41</v>
      </c>
      <c r="AK6" s="281" t="s">
        <v>112</v>
      </c>
      <c r="AL6" s="16" t="s">
        <v>43</v>
      </c>
      <c r="AN6" s="13" t="s">
        <v>46</v>
      </c>
      <c r="AO6" s="54" t="s">
        <v>47</v>
      </c>
      <c r="AP6" s="45" t="s">
        <v>43</v>
      </c>
      <c r="AQ6" s="58" t="s">
        <v>44</v>
      </c>
      <c r="AR6" s="45" t="s">
        <v>1</v>
      </c>
      <c r="AS6" s="58" t="s">
        <v>0</v>
      </c>
      <c r="AT6" s="45" t="s">
        <v>1</v>
      </c>
      <c r="AU6" s="58" t="s">
        <v>0</v>
      </c>
      <c r="AW6" s="45" t="s">
        <v>1</v>
      </c>
      <c r="AX6" s="58" t="s">
        <v>0</v>
      </c>
      <c r="AY6" s="45" t="s">
        <v>1</v>
      </c>
      <c r="AZ6" s="58" t="s">
        <v>0</v>
      </c>
    </row>
    <row r="7" spans="1:54" ht="13.5" thickTop="1" x14ac:dyDescent="0.2">
      <c r="A7" s="2">
        <v>4.5</v>
      </c>
      <c r="B7" s="236">
        <v>8</v>
      </c>
      <c r="C7" s="4">
        <f>B7/12*0.15</f>
        <v>9.9999999999999992E-2</v>
      </c>
      <c r="D7" s="253">
        <f>-0.1*C7*A7^2</f>
        <v>-0.20250000000000001</v>
      </c>
      <c r="E7" s="108">
        <f>0.08*C7*A7^2</f>
        <v>0.16200000000000001</v>
      </c>
      <c r="F7" s="253">
        <f>-0.1*0.05*A7^2</f>
        <v>-0.10125000000000002</v>
      </c>
      <c r="G7" s="99">
        <f>0.08*0.05*A7^2</f>
        <v>8.1000000000000003E-2</v>
      </c>
      <c r="H7" s="253">
        <v>-2</v>
      </c>
      <c r="I7" s="108">
        <v>4.63</v>
      </c>
      <c r="J7" s="6">
        <f t="shared" ref="J7:K9" si="0">1.25*D7+1.5*F7+1.75*H7</f>
        <v>-3.9050000000000002</v>
      </c>
      <c r="K7" s="99">
        <f t="shared" si="0"/>
        <v>8.426499999999999</v>
      </c>
      <c r="L7" s="167" t="s">
        <v>42</v>
      </c>
      <c r="M7" s="176"/>
      <c r="N7" s="285">
        <v>0.2</v>
      </c>
      <c r="O7" s="269">
        <v>6.5</v>
      </c>
      <c r="P7" s="315">
        <f>N7*12/O7</f>
        <v>0.36923076923076931</v>
      </c>
      <c r="Q7" s="152">
        <f>P7</f>
        <v>0.36923076923076931</v>
      </c>
      <c r="R7" s="195">
        <f t="shared" ref="R7:R20" si="1">B7-2.5-0.5/2</f>
        <v>5.25</v>
      </c>
      <c r="S7" s="105">
        <f t="shared" ref="S7:S20" si="2">B7-1.5-0.5/2-0.5</f>
        <v>5.75</v>
      </c>
      <c r="T7" s="39">
        <f>Q7/(12*R7)</f>
        <v>5.8608058608058617E-3</v>
      </c>
      <c r="U7" s="115">
        <f>Q7/(12*S7)</f>
        <v>5.3511705685618744E-3</v>
      </c>
      <c r="V7" s="164"/>
      <c r="W7" s="253">
        <f t="shared" ref="W7:W37" si="3">0.9*Q7*60*(R7-0.5*T7*(60/(0.85*4.5))*R7)/12</f>
        <v>8.3221023320570851</v>
      </c>
      <c r="X7" s="108">
        <f t="shared" ref="X7:X37" si="4">0.9*Q7*60*(S7-0.5*U7*(60/(0.85*4.5))*S7)/12</f>
        <v>9.1528715628263146</v>
      </c>
      <c r="Y7" s="253">
        <f t="shared" ref="Y7:Y37" si="5">0.9*Q7*60*(R7-0.5*T7*(60/(0.85*4))*R7)/12</f>
        <v>8.2719805081796043</v>
      </c>
      <c r="Z7" s="99">
        <f t="shared" ref="Z7:Z37" si="6">0.9*Q7*60*(S7-0.5*U7*(60/(0.85*4))*S7)/12</f>
        <v>9.1027497389488357</v>
      </c>
      <c r="AA7" s="253">
        <f t="shared" ref="AA7:AA37" si="7">0.9*Q7*60*(R7-0.5*T7*(60/(0.85*5))*R7)/12</f>
        <v>8.3621997911590693</v>
      </c>
      <c r="AB7" s="108">
        <f t="shared" ref="AB7:AB37" si="8">0.9*Q7*60*(S7-0.5*U7*(60/(0.85*5))*S7)/12</f>
        <v>9.1929690219282989</v>
      </c>
      <c r="AC7" s="3">
        <f t="shared" ref="AC7:AC37" si="9">A7</f>
        <v>4.5</v>
      </c>
      <c r="AD7" s="246">
        <f t="shared" ref="AD7:AD37" si="10">B7</f>
        <v>8</v>
      </c>
      <c r="AE7" s="5">
        <f t="shared" ref="AE7:AE37" si="11">J7</f>
        <v>-3.9050000000000002</v>
      </c>
      <c r="AF7" s="105">
        <f t="shared" ref="AF7:AF37" si="12">K7</f>
        <v>8.426499999999999</v>
      </c>
      <c r="AG7" s="201">
        <v>67</v>
      </c>
      <c r="AH7" s="32">
        <f t="shared" ref="AH7:AH37" si="13">Q7*AG7/100</f>
        <v>0.24738461538461542</v>
      </c>
      <c r="AI7" s="218" t="s">
        <v>110</v>
      </c>
      <c r="AJ7" s="43">
        <f t="shared" ref="AJ7:AJ16" si="14">0.2*12/8</f>
        <v>0.30000000000000004</v>
      </c>
      <c r="AK7" s="282">
        <f t="shared" ref="AK7:AK37" si="15">2*AJ7/(12*B7)</f>
        <v>6.2500000000000012E-3</v>
      </c>
      <c r="AL7" s="272" t="str">
        <f t="shared" ref="AL7:AL37" si="16">L7</f>
        <v>#4 @ 6.5</v>
      </c>
      <c r="AN7" s="2">
        <f t="shared" ref="AN7:AN37" si="17">A7</f>
        <v>4.5</v>
      </c>
      <c r="AO7" s="246">
        <f t="shared" ref="AO7:AO37" si="18">B7</f>
        <v>8</v>
      </c>
      <c r="AP7" s="167" t="str">
        <f t="shared" ref="AP7:AP37" si="19">L7</f>
        <v>#4 @ 6.5</v>
      </c>
      <c r="AQ7" s="275" t="str">
        <f>AI7</f>
        <v>#4 @ 8</v>
      </c>
      <c r="AR7" s="50">
        <f t="shared" ref="AR7:AS9" si="20">AE7</f>
        <v>-3.9050000000000002</v>
      </c>
      <c r="AS7" s="111">
        <f t="shared" si="20"/>
        <v>8.426499999999999</v>
      </c>
      <c r="AT7" s="50">
        <f>-Y7</f>
        <v>-8.2719805081796043</v>
      </c>
      <c r="AU7" s="114">
        <f>Z7</f>
        <v>9.1027497389488357</v>
      </c>
      <c r="AW7" s="50">
        <f t="shared" ref="AW7:AW37" si="21">AE7</f>
        <v>-3.9050000000000002</v>
      </c>
      <c r="AX7" s="111">
        <f t="shared" ref="AX7:AX37" si="22">AF7</f>
        <v>8.426499999999999</v>
      </c>
      <c r="AY7" s="50">
        <f t="shared" ref="AY7:AY37" si="23">W7</f>
        <v>8.3221023320570851</v>
      </c>
      <c r="AZ7" s="114">
        <f t="shared" ref="AZ7:AZ37" si="24">X7</f>
        <v>9.1528715628263146</v>
      </c>
      <c r="BA7" s="156">
        <f>-W7/AE7</f>
        <v>2.1311401618584083</v>
      </c>
      <c r="BB7" s="155">
        <f t="shared" ref="BB7:BB37" si="25">X7/AS7</f>
        <v>1.0862008619030814</v>
      </c>
    </row>
    <row r="8" spans="1:54" x14ac:dyDescent="0.2">
      <c r="A8" s="2">
        <v>4.75</v>
      </c>
      <c r="B8" s="236">
        <v>8</v>
      </c>
      <c r="C8" s="4">
        <f t="shared" ref="C8:C37" si="26">B8/12*0.15</f>
        <v>9.9999999999999992E-2</v>
      </c>
      <c r="D8" s="253">
        <f>-0.1*C8*A8^2</f>
        <v>-0.22562499999999999</v>
      </c>
      <c r="E8" s="108">
        <f>0.08*C8*A8^2</f>
        <v>0.18049999999999999</v>
      </c>
      <c r="F8" s="253">
        <f>-0.1*0.05*A8^2</f>
        <v>-0.11281250000000002</v>
      </c>
      <c r="G8" s="99">
        <f>0.08*0.05*A8^2</f>
        <v>9.0249999999999997E-2</v>
      </c>
      <c r="H8" s="253">
        <v>-2.19</v>
      </c>
      <c r="I8" s="108">
        <v>4.6399999999999997</v>
      </c>
      <c r="J8" s="6">
        <f t="shared" si="0"/>
        <v>-4.2837500000000004</v>
      </c>
      <c r="K8" s="99">
        <f t="shared" si="0"/>
        <v>8.4809999999999999</v>
      </c>
      <c r="L8" s="167" t="s">
        <v>42</v>
      </c>
      <c r="M8" s="165"/>
      <c r="N8" s="236">
        <v>0.2</v>
      </c>
      <c r="O8" s="269">
        <v>6.5</v>
      </c>
      <c r="P8" s="315">
        <f>N8*12/O8</f>
        <v>0.36923076923076931</v>
      </c>
      <c r="Q8" s="152">
        <f t="shared" ref="Q8:Q37" si="27">P8</f>
        <v>0.36923076923076931</v>
      </c>
      <c r="R8" s="195">
        <f t="shared" si="1"/>
        <v>5.25</v>
      </c>
      <c r="S8" s="105">
        <f t="shared" si="2"/>
        <v>5.75</v>
      </c>
      <c r="T8" s="39">
        <f>Q8/(12*R8)</f>
        <v>5.8608058608058617E-3</v>
      </c>
      <c r="U8" s="115">
        <f>Q8/(12*S8)</f>
        <v>5.3511705685618744E-3</v>
      </c>
      <c r="V8" s="164"/>
      <c r="W8" s="253">
        <f t="shared" si="3"/>
        <v>8.3221023320570851</v>
      </c>
      <c r="X8" s="108">
        <f t="shared" si="4"/>
        <v>9.1528715628263146</v>
      </c>
      <c r="Y8" s="253">
        <f t="shared" si="5"/>
        <v>8.2719805081796043</v>
      </c>
      <c r="Z8" s="99">
        <f t="shared" si="6"/>
        <v>9.1027497389488357</v>
      </c>
      <c r="AA8" s="253">
        <f t="shared" si="7"/>
        <v>8.3621997911590693</v>
      </c>
      <c r="AB8" s="108">
        <f t="shared" si="8"/>
        <v>9.1929690219282989</v>
      </c>
      <c r="AC8" s="3">
        <f t="shared" si="9"/>
        <v>4.75</v>
      </c>
      <c r="AD8" s="246">
        <f t="shared" si="10"/>
        <v>8</v>
      </c>
      <c r="AE8" s="5">
        <f t="shared" si="11"/>
        <v>-4.2837500000000004</v>
      </c>
      <c r="AF8" s="105">
        <f t="shared" si="12"/>
        <v>8.4809999999999999</v>
      </c>
      <c r="AG8" s="201">
        <v>67</v>
      </c>
      <c r="AH8" s="32">
        <f t="shared" si="13"/>
        <v>0.24738461538461542</v>
      </c>
      <c r="AI8" s="218" t="s">
        <v>110</v>
      </c>
      <c r="AJ8" s="43">
        <f t="shared" si="14"/>
        <v>0.30000000000000004</v>
      </c>
      <c r="AK8" s="282">
        <f t="shared" si="15"/>
        <v>6.2500000000000012E-3</v>
      </c>
      <c r="AL8" s="272" t="str">
        <f t="shared" si="16"/>
        <v>#4 @ 6.5</v>
      </c>
      <c r="AN8" s="2">
        <f t="shared" si="17"/>
        <v>4.75</v>
      </c>
      <c r="AO8" s="246">
        <f t="shared" si="18"/>
        <v>8</v>
      </c>
      <c r="AP8" s="167" t="str">
        <f t="shared" si="19"/>
        <v>#4 @ 6.5</v>
      </c>
      <c r="AQ8" s="169" t="str">
        <f>AI8</f>
        <v>#4 @ 8</v>
      </c>
      <c r="AR8" s="6">
        <f t="shared" si="20"/>
        <v>-4.2837500000000004</v>
      </c>
      <c r="AS8" s="111">
        <f t="shared" si="20"/>
        <v>8.4809999999999999</v>
      </c>
      <c r="AT8" s="50">
        <f>-Y8</f>
        <v>-8.2719805081796043</v>
      </c>
      <c r="AU8" s="111">
        <f>Z8</f>
        <v>9.1027497389488357</v>
      </c>
      <c r="AW8" s="50">
        <f t="shared" si="21"/>
        <v>-4.2837500000000004</v>
      </c>
      <c r="AX8" s="111">
        <f t="shared" si="22"/>
        <v>8.4809999999999999</v>
      </c>
      <c r="AY8" s="50">
        <f t="shared" si="23"/>
        <v>8.3221023320570851</v>
      </c>
      <c r="AZ8" s="111">
        <f t="shared" si="24"/>
        <v>9.1528715628263146</v>
      </c>
      <c r="BA8" s="156">
        <f t="shared" ref="BA7:BA37" si="28">-W8/AE8</f>
        <v>1.9427142881954091</v>
      </c>
      <c r="BB8" s="155">
        <f t="shared" si="25"/>
        <v>1.0792207950508566</v>
      </c>
    </row>
    <row r="9" spans="1:54" x14ac:dyDescent="0.2">
      <c r="A9" s="2">
        <v>5</v>
      </c>
      <c r="B9" s="236">
        <v>8</v>
      </c>
      <c r="C9" s="4">
        <f t="shared" si="26"/>
        <v>9.9999999999999992E-2</v>
      </c>
      <c r="D9" s="253">
        <f>-0.1*C9*A9^2</f>
        <v>-0.25</v>
      </c>
      <c r="E9" s="108">
        <f>0.08*C9*A9^2</f>
        <v>0.2</v>
      </c>
      <c r="F9" s="253">
        <f>-0.1*0.05*A9^2</f>
        <v>-0.12500000000000003</v>
      </c>
      <c r="G9" s="99">
        <f>0.08*0.05*A9^2</f>
        <v>0.1</v>
      </c>
      <c r="H9" s="253">
        <v>-2.38</v>
      </c>
      <c r="I9" s="108">
        <v>4.6500000000000004</v>
      </c>
      <c r="J9" s="6">
        <f t="shared" si="0"/>
        <v>-4.665</v>
      </c>
      <c r="K9" s="99">
        <f t="shared" si="0"/>
        <v>8.5375000000000014</v>
      </c>
      <c r="L9" s="167" t="s">
        <v>42</v>
      </c>
      <c r="M9" s="167" t="s">
        <v>42</v>
      </c>
      <c r="N9" s="236">
        <v>0.2</v>
      </c>
      <c r="O9" s="297">
        <v>6.5</v>
      </c>
      <c r="P9" s="315">
        <f>N9*12/O9</f>
        <v>0.36923076923076931</v>
      </c>
      <c r="Q9" s="152">
        <f>P9</f>
        <v>0.36923076923076931</v>
      </c>
      <c r="R9" s="195">
        <f t="shared" si="1"/>
        <v>5.25</v>
      </c>
      <c r="S9" s="105">
        <f t="shared" si="2"/>
        <v>5.75</v>
      </c>
      <c r="T9" s="39">
        <f>Q9/(12*R9)</f>
        <v>5.8608058608058617E-3</v>
      </c>
      <c r="U9" s="115">
        <f>Q9/(12*S9)</f>
        <v>5.3511705685618744E-3</v>
      </c>
      <c r="V9" s="164"/>
      <c r="W9" s="253">
        <f t="shared" si="3"/>
        <v>8.3221023320570851</v>
      </c>
      <c r="X9" s="108">
        <f t="shared" si="4"/>
        <v>9.1528715628263146</v>
      </c>
      <c r="Y9" s="253">
        <f t="shared" si="5"/>
        <v>8.2719805081796043</v>
      </c>
      <c r="Z9" s="99">
        <f t="shared" si="6"/>
        <v>9.1027497389488357</v>
      </c>
      <c r="AA9" s="253">
        <f t="shared" si="7"/>
        <v>8.3621997911590693</v>
      </c>
      <c r="AB9" s="108">
        <f t="shared" si="8"/>
        <v>9.1929690219282989</v>
      </c>
      <c r="AC9" s="3">
        <f t="shared" si="9"/>
        <v>5</v>
      </c>
      <c r="AD9" s="246">
        <f t="shared" si="10"/>
        <v>8</v>
      </c>
      <c r="AE9" s="5">
        <f t="shared" si="11"/>
        <v>-4.665</v>
      </c>
      <c r="AF9" s="105">
        <f t="shared" si="12"/>
        <v>8.5375000000000014</v>
      </c>
      <c r="AG9" s="201">
        <v>67</v>
      </c>
      <c r="AH9" s="32">
        <f t="shared" si="13"/>
        <v>0.24738461538461542</v>
      </c>
      <c r="AI9" s="218" t="s">
        <v>110</v>
      </c>
      <c r="AJ9" s="43">
        <f t="shared" si="14"/>
        <v>0.30000000000000004</v>
      </c>
      <c r="AK9" s="282">
        <f t="shared" si="15"/>
        <v>6.2500000000000012E-3</v>
      </c>
      <c r="AL9" s="272" t="str">
        <f t="shared" si="16"/>
        <v>#4 @ 6.5</v>
      </c>
      <c r="AN9" s="2">
        <f t="shared" si="17"/>
        <v>5</v>
      </c>
      <c r="AO9" s="246">
        <f t="shared" si="18"/>
        <v>8</v>
      </c>
      <c r="AP9" s="167" t="str">
        <f t="shared" si="19"/>
        <v>#4 @ 6.5</v>
      </c>
      <c r="AQ9" s="169" t="str">
        <f>AI9</f>
        <v>#4 @ 8</v>
      </c>
      <c r="AR9" s="50">
        <f t="shared" si="20"/>
        <v>-4.665</v>
      </c>
      <c r="AS9" s="111">
        <f t="shared" si="20"/>
        <v>8.5375000000000014</v>
      </c>
      <c r="AT9" s="50">
        <f>-Y9</f>
        <v>-8.2719805081796043</v>
      </c>
      <c r="AU9" s="111">
        <f>Z9</f>
        <v>9.1027497389488357</v>
      </c>
      <c r="AW9" s="50">
        <f t="shared" si="21"/>
        <v>-4.665</v>
      </c>
      <c r="AX9" s="111">
        <f t="shared" si="22"/>
        <v>8.5375000000000014</v>
      </c>
      <c r="AY9" s="50">
        <f t="shared" si="23"/>
        <v>8.3221023320570851</v>
      </c>
      <c r="AZ9" s="111">
        <f t="shared" si="24"/>
        <v>9.1528715628263146</v>
      </c>
      <c r="BA9" s="156">
        <f t="shared" si="28"/>
        <v>1.7839447657142733</v>
      </c>
      <c r="BB9" s="155">
        <f t="shared" si="25"/>
        <v>1.0720786603603294</v>
      </c>
    </row>
    <row r="10" spans="1:54" x14ac:dyDescent="0.2">
      <c r="A10" s="2">
        <v>5.25</v>
      </c>
      <c r="B10" s="236">
        <v>8</v>
      </c>
      <c r="C10" s="4">
        <f t="shared" si="26"/>
        <v>9.9999999999999992E-2</v>
      </c>
      <c r="D10" s="253">
        <f t="shared" ref="D10:D37" si="29">-0.1*C10*A10^2</f>
        <v>-0.27562500000000001</v>
      </c>
      <c r="E10" s="108">
        <f t="shared" ref="E10:E37" si="30">0.08*C10*A10^2</f>
        <v>0.2205</v>
      </c>
      <c r="F10" s="253">
        <f t="shared" ref="F10:F37" si="31">-0.1*0.05*A10^2</f>
        <v>-0.13781250000000003</v>
      </c>
      <c r="G10" s="99">
        <f t="shared" ref="G10:G37" si="32">0.08*0.05*A10^2</f>
        <v>0.11025</v>
      </c>
      <c r="H10" s="253">
        <v>-2.57</v>
      </c>
      <c r="I10" s="108">
        <v>4.67</v>
      </c>
      <c r="J10" s="6">
        <f t="shared" ref="J10:K37" si="33">1.25*D10+1.5*F10+1.75*H10</f>
        <v>-5.0487500000000001</v>
      </c>
      <c r="K10" s="99">
        <f t="shared" si="33"/>
        <v>8.6135000000000002</v>
      </c>
      <c r="L10" s="167" t="s">
        <v>42</v>
      </c>
      <c r="M10" s="167" t="s">
        <v>42</v>
      </c>
      <c r="N10" s="236">
        <v>0.2</v>
      </c>
      <c r="O10" s="297">
        <v>6.5</v>
      </c>
      <c r="P10" s="315">
        <f t="shared" ref="P10:P37" si="34">N10*12/O10</f>
        <v>0.36923076923076931</v>
      </c>
      <c r="Q10" s="152">
        <f t="shared" si="27"/>
        <v>0.36923076923076931</v>
      </c>
      <c r="R10" s="195">
        <f t="shared" si="1"/>
        <v>5.25</v>
      </c>
      <c r="S10" s="105">
        <f t="shared" si="2"/>
        <v>5.75</v>
      </c>
      <c r="T10" s="39">
        <f t="shared" ref="T10:T37" si="35">Q10/(12*R10)</f>
        <v>5.8608058608058617E-3</v>
      </c>
      <c r="U10" s="115">
        <f t="shared" ref="U10:U37" si="36">Q10/(12*S10)</f>
        <v>5.3511705685618744E-3</v>
      </c>
      <c r="V10" s="164"/>
      <c r="W10" s="253">
        <f t="shared" si="3"/>
        <v>8.3221023320570851</v>
      </c>
      <c r="X10" s="108">
        <f t="shared" si="4"/>
        <v>9.1528715628263146</v>
      </c>
      <c r="Y10" s="253">
        <f t="shared" si="5"/>
        <v>8.2719805081796043</v>
      </c>
      <c r="Z10" s="99">
        <f t="shared" si="6"/>
        <v>9.1027497389488357</v>
      </c>
      <c r="AA10" s="253">
        <f t="shared" si="7"/>
        <v>8.3621997911590693</v>
      </c>
      <c r="AB10" s="108">
        <f t="shared" si="8"/>
        <v>9.1929690219282989</v>
      </c>
      <c r="AC10" s="3">
        <f t="shared" si="9"/>
        <v>5.25</v>
      </c>
      <c r="AD10" s="246">
        <f t="shared" si="10"/>
        <v>8</v>
      </c>
      <c r="AE10" s="5">
        <f t="shared" si="11"/>
        <v>-5.0487500000000001</v>
      </c>
      <c r="AF10" s="105">
        <f t="shared" si="12"/>
        <v>8.6135000000000002</v>
      </c>
      <c r="AG10" s="201">
        <v>67</v>
      </c>
      <c r="AH10" s="32">
        <f t="shared" si="13"/>
        <v>0.24738461538461542</v>
      </c>
      <c r="AI10" s="218" t="s">
        <v>110</v>
      </c>
      <c r="AJ10" s="43">
        <f t="shared" si="14"/>
        <v>0.30000000000000004</v>
      </c>
      <c r="AK10" s="282">
        <f t="shared" si="15"/>
        <v>6.2500000000000012E-3</v>
      </c>
      <c r="AL10" s="272" t="str">
        <f t="shared" si="16"/>
        <v>#4 @ 6.5</v>
      </c>
      <c r="AN10" s="2">
        <f t="shared" si="17"/>
        <v>5.25</v>
      </c>
      <c r="AO10" s="246">
        <f t="shared" si="18"/>
        <v>8</v>
      </c>
      <c r="AP10" s="167" t="str">
        <f t="shared" si="19"/>
        <v>#4 @ 6.5</v>
      </c>
      <c r="AQ10" s="169" t="str">
        <f t="shared" ref="AQ10:AQ21" si="37">AI10</f>
        <v>#4 @ 8</v>
      </c>
      <c r="AR10" s="50">
        <f t="shared" ref="AR10:AS21" si="38">AE10</f>
        <v>-5.0487500000000001</v>
      </c>
      <c r="AS10" s="111">
        <f t="shared" si="38"/>
        <v>8.6135000000000002</v>
      </c>
      <c r="AT10" s="50">
        <f t="shared" ref="AT10:AT37" si="39">-Y10</f>
        <v>-8.2719805081796043</v>
      </c>
      <c r="AU10" s="111">
        <f t="shared" ref="AU10:AU21" si="40">Z10</f>
        <v>9.1027497389488357</v>
      </c>
      <c r="AW10" s="50">
        <f t="shared" si="21"/>
        <v>-5.0487500000000001</v>
      </c>
      <c r="AX10" s="111">
        <f t="shared" si="22"/>
        <v>8.6135000000000002</v>
      </c>
      <c r="AY10" s="50">
        <f t="shared" si="23"/>
        <v>8.3221023320570851</v>
      </c>
      <c r="AZ10" s="111">
        <f t="shared" si="24"/>
        <v>9.1528715628263146</v>
      </c>
      <c r="BA10" s="156">
        <f t="shared" si="28"/>
        <v>1.6483490630467115</v>
      </c>
      <c r="BB10" s="155">
        <f t="shared" si="25"/>
        <v>1.0626193258055743</v>
      </c>
    </row>
    <row r="11" spans="1:54" x14ac:dyDescent="0.2">
      <c r="A11" s="2">
        <v>5.5</v>
      </c>
      <c r="B11" s="236">
        <v>8</v>
      </c>
      <c r="C11" s="4">
        <f t="shared" si="26"/>
        <v>9.9999999999999992E-2</v>
      </c>
      <c r="D11" s="253">
        <f t="shared" si="29"/>
        <v>-0.30249999999999999</v>
      </c>
      <c r="E11" s="108">
        <f t="shared" si="30"/>
        <v>0.24199999999999999</v>
      </c>
      <c r="F11" s="253">
        <f t="shared" si="31"/>
        <v>-0.15125000000000002</v>
      </c>
      <c r="G11" s="99">
        <f t="shared" si="32"/>
        <v>0.121</v>
      </c>
      <c r="H11" s="253">
        <v>-2.76</v>
      </c>
      <c r="I11" s="108">
        <v>4.71</v>
      </c>
      <c r="J11" s="6">
        <f t="shared" si="33"/>
        <v>-5.4350000000000005</v>
      </c>
      <c r="K11" s="99">
        <f t="shared" si="33"/>
        <v>8.7264999999999997</v>
      </c>
      <c r="L11" s="167" t="s">
        <v>42</v>
      </c>
      <c r="M11" s="167" t="s">
        <v>42</v>
      </c>
      <c r="N11" s="236">
        <v>0.2</v>
      </c>
      <c r="O11" s="297">
        <v>6.5</v>
      </c>
      <c r="P11" s="315">
        <f t="shared" si="34"/>
        <v>0.36923076923076931</v>
      </c>
      <c r="Q11" s="152">
        <f t="shared" si="27"/>
        <v>0.36923076923076931</v>
      </c>
      <c r="R11" s="195">
        <f t="shared" si="1"/>
        <v>5.25</v>
      </c>
      <c r="S11" s="105">
        <f t="shared" si="2"/>
        <v>5.75</v>
      </c>
      <c r="T11" s="39">
        <f t="shared" si="35"/>
        <v>5.8608058608058617E-3</v>
      </c>
      <c r="U11" s="115">
        <f t="shared" si="36"/>
        <v>5.3511705685618744E-3</v>
      </c>
      <c r="V11" s="164"/>
      <c r="W11" s="253">
        <f t="shared" si="3"/>
        <v>8.3221023320570851</v>
      </c>
      <c r="X11" s="108">
        <f t="shared" si="4"/>
        <v>9.1528715628263146</v>
      </c>
      <c r="Y11" s="253">
        <f t="shared" si="5"/>
        <v>8.2719805081796043</v>
      </c>
      <c r="Z11" s="99">
        <f t="shared" si="6"/>
        <v>9.1027497389488357</v>
      </c>
      <c r="AA11" s="253">
        <f t="shared" si="7"/>
        <v>8.3621997911590693</v>
      </c>
      <c r="AB11" s="108">
        <f t="shared" si="8"/>
        <v>9.1929690219282989</v>
      </c>
      <c r="AC11" s="3">
        <f t="shared" si="9"/>
        <v>5.5</v>
      </c>
      <c r="AD11" s="246">
        <f t="shared" si="10"/>
        <v>8</v>
      </c>
      <c r="AE11" s="5">
        <f t="shared" si="11"/>
        <v>-5.4350000000000005</v>
      </c>
      <c r="AF11" s="105">
        <f t="shared" si="12"/>
        <v>8.7264999999999997</v>
      </c>
      <c r="AG11" s="201">
        <v>67</v>
      </c>
      <c r="AH11" s="32">
        <f t="shared" si="13"/>
        <v>0.24738461538461542</v>
      </c>
      <c r="AI11" s="218" t="s">
        <v>110</v>
      </c>
      <c r="AJ11" s="43">
        <f t="shared" si="14"/>
        <v>0.30000000000000004</v>
      </c>
      <c r="AK11" s="282">
        <f t="shared" si="15"/>
        <v>6.2500000000000012E-3</v>
      </c>
      <c r="AL11" s="272" t="str">
        <f t="shared" si="16"/>
        <v>#4 @ 6.5</v>
      </c>
      <c r="AN11" s="2">
        <f t="shared" si="17"/>
        <v>5.5</v>
      </c>
      <c r="AO11" s="246">
        <f t="shared" si="18"/>
        <v>8</v>
      </c>
      <c r="AP11" s="167" t="str">
        <f t="shared" si="19"/>
        <v>#4 @ 6.5</v>
      </c>
      <c r="AQ11" s="169" t="str">
        <f t="shared" si="37"/>
        <v>#4 @ 8</v>
      </c>
      <c r="AR11" s="50">
        <f t="shared" si="38"/>
        <v>-5.4350000000000005</v>
      </c>
      <c r="AS11" s="111">
        <f t="shared" si="38"/>
        <v>8.7264999999999997</v>
      </c>
      <c r="AT11" s="50">
        <f t="shared" si="39"/>
        <v>-8.2719805081796043</v>
      </c>
      <c r="AU11" s="111">
        <f t="shared" si="40"/>
        <v>9.1027497389488357</v>
      </c>
      <c r="AW11" s="50">
        <f t="shared" si="21"/>
        <v>-5.4350000000000005</v>
      </c>
      <c r="AX11" s="111">
        <f t="shared" si="22"/>
        <v>8.7264999999999997</v>
      </c>
      <c r="AY11" s="50">
        <f t="shared" si="23"/>
        <v>8.3221023320570851</v>
      </c>
      <c r="AZ11" s="111">
        <f t="shared" si="24"/>
        <v>9.1528715628263146</v>
      </c>
      <c r="BA11" s="156">
        <f t="shared" si="28"/>
        <v>1.5312055808752685</v>
      </c>
      <c r="BB11" s="155">
        <f t="shared" si="25"/>
        <v>1.0488594009999788</v>
      </c>
    </row>
    <row r="12" spans="1:54" x14ac:dyDescent="0.2">
      <c r="A12" s="2">
        <v>5.75</v>
      </c>
      <c r="B12" s="236">
        <v>8</v>
      </c>
      <c r="C12" s="4">
        <f t="shared" si="26"/>
        <v>9.9999999999999992E-2</v>
      </c>
      <c r="D12" s="253">
        <f t="shared" si="29"/>
        <v>-0.330625</v>
      </c>
      <c r="E12" s="108">
        <f t="shared" si="30"/>
        <v>0.26450000000000001</v>
      </c>
      <c r="F12" s="253">
        <f t="shared" si="31"/>
        <v>-0.16531250000000003</v>
      </c>
      <c r="G12" s="99">
        <f t="shared" si="32"/>
        <v>0.13225000000000001</v>
      </c>
      <c r="H12" s="253">
        <v>-2.92</v>
      </c>
      <c r="I12" s="108">
        <v>4.7699999999999996</v>
      </c>
      <c r="J12" s="6">
        <f t="shared" si="33"/>
        <v>-5.7712499999999993</v>
      </c>
      <c r="K12" s="99">
        <f t="shared" si="33"/>
        <v>8.8765000000000001</v>
      </c>
      <c r="L12" s="167" t="s">
        <v>42</v>
      </c>
      <c r="M12" s="167" t="s">
        <v>42</v>
      </c>
      <c r="N12" s="238">
        <v>0.2</v>
      </c>
      <c r="O12" s="297">
        <v>6.5</v>
      </c>
      <c r="P12" s="316">
        <f t="shared" si="34"/>
        <v>0.36923076923076931</v>
      </c>
      <c r="Q12" s="192">
        <f t="shared" si="27"/>
        <v>0.36923076923076931</v>
      </c>
      <c r="R12" s="195">
        <f t="shared" si="1"/>
        <v>5.25</v>
      </c>
      <c r="S12" s="105">
        <f t="shared" si="2"/>
        <v>5.75</v>
      </c>
      <c r="T12" s="39">
        <f t="shared" si="35"/>
        <v>5.8608058608058617E-3</v>
      </c>
      <c r="U12" s="115">
        <f t="shared" si="36"/>
        <v>5.3511705685618744E-3</v>
      </c>
      <c r="V12" s="164"/>
      <c r="W12" s="253">
        <f t="shared" si="3"/>
        <v>8.3221023320570851</v>
      </c>
      <c r="X12" s="108">
        <f t="shared" si="4"/>
        <v>9.1528715628263146</v>
      </c>
      <c r="Y12" s="253">
        <f t="shared" si="5"/>
        <v>8.2719805081796043</v>
      </c>
      <c r="Z12" s="99">
        <f t="shared" si="6"/>
        <v>9.1027497389488357</v>
      </c>
      <c r="AA12" s="253">
        <f t="shared" si="7"/>
        <v>8.3621997911590693</v>
      </c>
      <c r="AB12" s="108">
        <f t="shared" si="8"/>
        <v>9.1929690219282989</v>
      </c>
      <c r="AC12" s="3">
        <f t="shared" si="9"/>
        <v>5.75</v>
      </c>
      <c r="AD12" s="246">
        <f t="shared" si="10"/>
        <v>8</v>
      </c>
      <c r="AE12" s="5">
        <f t="shared" si="11"/>
        <v>-5.7712499999999993</v>
      </c>
      <c r="AF12" s="105">
        <f t="shared" si="12"/>
        <v>8.8765000000000001</v>
      </c>
      <c r="AG12" s="201">
        <v>67</v>
      </c>
      <c r="AH12" s="32">
        <f t="shared" si="13"/>
        <v>0.24738461538461542</v>
      </c>
      <c r="AI12" s="218" t="s">
        <v>110</v>
      </c>
      <c r="AJ12" s="43">
        <f t="shared" si="14"/>
        <v>0.30000000000000004</v>
      </c>
      <c r="AK12" s="282">
        <f t="shared" si="15"/>
        <v>6.2500000000000012E-3</v>
      </c>
      <c r="AL12" s="272" t="str">
        <f t="shared" si="16"/>
        <v>#4 @ 6.5</v>
      </c>
      <c r="AN12" s="2">
        <f t="shared" si="17"/>
        <v>5.75</v>
      </c>
      <c r="AO12" s="246">
        <f t="shared" si="18"/>
        <v>8</v>
      </c>
      <c r="AP12" s="167" t="str">
        <f t="shared" si="19"/>
        <v>#4 @ 6.5</v>
      </c>
      <c r="AQ12" s="169" t="str">
        <f t="shared" si="37"/>
        <v>#4 @ 8</v>
      </c>
      <c r="AR12" s="50">
        <f t="shared" si="38"/>
        <v>-5.7712499999999993</v>
      </c>
      <c r="AS12" s="111">
        <f t="shared" si="38"/>
        <v>8.8765000000000001</v>
      </c>
      <c r="AT12" s="50">
        <f t="shared" si="39"/>
        <v>-8.2719805081796043</v>
      </c>
      <c r="AU12" s="111">
        <f t="shared" si="40"/>
        <v>9.1027497389488357</v>
      </c>
      <c r="AW12" s="61">
        <f t="shared" si="21"/>
        <v>-5.7712499999999993</v>
      </c>
      <c r="AX12" s="113">
        <f t="shared" si="22"/>
        <v>8.8765000000000001</v>
      </c>
      <c r="AY12" s="61">
        <f t="shared" si="23"/>
        <v>8.3221023320570851</v>
      </c>
      <c r="AZ12" s="113">
        <f t="shared" si="24"/>
        <v>9.1528715628263146</v>
      </c>
      <c r="BA12" s="156">
        <f t="shared" si="28"/>
        <v>1.4419930399925642</v>
      </c>
      <c r="BB12" s="155">
        <f t="shared" si="25"/>
        <v>1.0311351954966839</v>
      </c>
    </row>
    <row r="13" spans="1:54" x14ac:dyDescent="0.2">
      <c r="A13" s="17">
        <v>6</v>
      </c>
      <c r="B13" s="237">
        <v>8</v>
      </c>
      <c r="C13" s="42">
        <f t="shared" si="26"/>
        <v>9.9999999999999992E-2</v>
      </c>
      <c r="D13" s="255">
        <f t="shared" si="29"/>
        <v>-0.36</v>
      </c>
      <c r="E13" s="109">
        <f t="shared" si="30"/>
        <v>0.28800000000000003</v>
      </c>
      <c r="F13" s="255">
        <f t="shared" si="31"/>
        <v>-0.18000000000000005</v>
      </c>
      <c r="G13" s="100">
        <f t="shared" si="32"/>
        <v>0.14400000000000002</v>
      </c>
      <c r="H13" s="255">
        <v>-3.09</v>
      </c>
      <c r="I13" s="109">
        <v>4.83</v>
      </c>
      <c r="J13" s="21">
        <f t="shared" si="33"/>
        <v>-6.1274999999999995</v>
      </c>
      <c r="K13" s="100">
        <f t="shared" si="33"/>
        <v>9.0285000000000011</v>
      </c>
      <c r="L13" s="173" t="s">
        <v>42</v>
      </c>
      <c r="M13" s="173" t="s">
        <v>42</v>
      </c>
      <c r="N13" s="237">
        <v>0.2</v>
      </c>
      <c r="O13" s="317">
        <v>6.5</v>
      </c>
      <c r="P13" s="315">
        <f t="shared" si="34"/>
        <v>0.36923076923076931</v>
      </c>
      <c r="Q13" s="152">
        <f t="shared" si="27"/>
        <v>0.36923076923076931</v>
      </c>
      <c r="R13" s="256">
        <f t="shared" si="1"/>
        <v>5.25</v>
      </c>
      <c r="S13" s="106">
        <f t="shared" si="2"/>
        <v>5.75</v>
      </c>
      <c r="T13" s="40">
        <f t="shared" si="35"/>
        <v>5.8608058608058617E-3</v>
      </c>
      <c r="U13" s="116">
        <f t="shared" si="36"/>
        <v>5.3511705685618744E-3</v>
      </c>
      <c r="V13" s="164"/>
      <c r="W13" s="255">
        <f t="shared" si="3"/>
        <v>8.3221023320570851</v>
      </c>
      <c r="X13" s="109">
        <f t="shared" si="4"/>
        <v>9.1528715628263146</v>
      </c>
      <c r="Y13" s="255">
        <f t="shared" si="5"/>
        <v>8.2719805081796043</v>
      </c>
      <c r="Z13" s="100">
        <f t="shared" si="6"/>
        <v>9.1027497389488357</v>
      </c>
      <c r="AA13" s="255">
        <f t="shared" si="7"/>
        <v>8.3621997911590693</v>
      </c>
      <c r="AB13" s="109">
        <f t="shared" si="8"/>
        <v>9.1929690219282989</v>
      </c>
      <c r="AC13" s="18">
        <f t="shared" si="9"/>
        <v>6</v>
      </c>
      <c r="AD13" s="247">
        <f t="shared" si="10"/>
        <v>8</v>
      </c>
      <c r="AE13" s="20">
        <f t="shared" si="11"/>
        <v>-6.1274999999999995</v>
      </c>
      <c r="AF13" s="106">
        <f t="shared" si="12"/>
        <v>9.0285000000000011</v>
      </c>
      <c r="AG13" s="244">
        <v>67</v>
      </c>
      <c r="AH13" s="33">
        <f t="shared" si="13"/>
        <v>0.24738461538461542</v>
      </c>
      <c r="AI13" s="220" t="s">
        <v>110</v>
      </c>
      <c r="AJ13" s="42">
        <f>0.2*12/8</f>
        <v>0.30000000000000004</v>
      </c>
      <c r="AK13" s="283">
        <f t="shared" si="15"/>
        <v>6.2500000000000012E-3</v>
      </c>
      <c r="AL13" s="274" t="str">
        <f t="shared" si="16"/>
        <v>#4 @ 6.5</v>
      </c>
      <c r="AN13" s="17">
        <f t="shared" si="17"/>
        <v>6</v>
      </c>
      <c r="AO13" s="247">
        <f t="shared" si="18"/>
        <v>8</v>
      </c>
      <c r="AP13" s="173" t="str">
        <f t="shared" si="19"/>
        <v>#4 @ 6.5</v>
      </c>
      <c r="AQ13" s="174" t="str">
        <f t="shared" si="37"/>
        <v>#4 @ 8</v>
      </c>
      <c r="AR13" s="51">
        <f t="shared" si="38"/>
        <v>-6.1274999999999995</v>
      </c>
      <c r="AS13" s="112">
        <f t="shared" si="38"/>
        <v>9.0285000000000011</v>
      </c>
      <c r="AT13" s="51">
        <f t="shared" si="39"/>
        <v>-8.2719805081796043</v>
      </c>
      <c r="AU13" s="112">
        <f t="shared" si="40"/>
        <v>9.1027497389488357</v>
      </c>
      <c r="AW13" s="50">
        <f t="shared" si="21"/>
        <v>-6.1274999999999995</v>
      </c>
      <c r="AX13" s="111">
        <f t="shared" si="22"/>
        <v>9.0285000000000011</v>
      </c>
      <c r="AY13" s="50">
        <f t="shared" si="23"/>
        <v>8.3221023320570851</v>
      </c>
      <c r="AZ13" s="111">
        <f t="shared" si="24"/>
        <v>9.1528715628263146</v>
      </c>
      <c r="BA13" s="156">
        <f t="shared" si="28"/>
        <v>1.3581562353418337</v>
      </c>
      <c r="BB13" s="155">
        <f t="shared" si="25"/>
        <v>1.0137754403086132</v>
      </c>
    </row>
    <row r="14" spans="1:54" x14ac:dyDescent="0.2">
      <c r="A14" s="2">
        <v>6.25</v>
      </c>
      <c r="B14" s="236">
        <v>8</v>
      </c>
      <c r="C14" s="43">
        <f t="shared" si="26"/>
        <v>9.9999999999999992E-2</v>
      </c>
      <c r="D14" s="253">
        <f t="shared" si="29"/>
        <v>-0.390625</v>
      </c>
      <c r="E14" s="108">
        <f t="shared" si="30"/>
        <v>0.3125</v>
      </c>
      <c r="F14" s="253">
        <f t="shared" si="31"/>
        <v>-0.19531250000000003</v>
      </c>
      <c r="G14" s="99">
        <f t="shared" si="32"/>
        <v>0.15625</v>
      </c>
      <c r="H14" s="253">
        <v>-3.24</v>
      </c>
      <c r="I14" s="108">
        <v>4.91</v>
      </c>
      <c r="J14" s="6">
        <f t="shared" si="33"/>
        <v>-6.4512499999999999</v>
      </c>
      <c r="K14" s="99">
        <f t="shared" si="33"/>
        <v>9.2175000000000011</v>
      </c>
      <c r="L14" s="167" t="s">
        <v>11</v>
      </c>
      <c r="M14" s="167" t="s">
        <v>11</v>
      </c>
      <c r="N14" s="236">
        <v>0.2</v>
      </c>
      <c r="O14" s="297">
        <v>6</v>
      </c>
      <c r="P14" s="315">
        <f t="shared" si="34"/>
        <v>0.40000000000000008</v>
      </c>
      <c r="Q14" s="152">
        <f t="shared" si="27"/>
        <v>0.40000000000000008</v>
      </c>
      <c r="R14" s="195">
        <f t="shared" si="1"/>
        <v>5.25</v>
      </c>
      <c r="S14" s="105">
        <f t="shared" si="2"/>
        <v>5.75</v>
      </c>
      <c r="T14" s="39">
        <f t="shared" si="35"/>
        <v>6.3492063492063501E-3</v>
      </c>
      <c r="U14" s="115">
        <f t="shared" si="36"/>
        <v>5.7971014492753633E-3</v>
      </c>
      <c r="V14" s="164"/>
      <c r="W14" s="253">
        <f t="shared" si="3"/>
        <v>8.9794117647058851</v>
      </c>
      <c r="X14" s="108">
        <f t="shared" si="4"/>
        <v>9.8794117647058837</v>
      </c>
      <c r="Y14" s="253">
        <f t="shared" si="5"/>
        <v>8.9205882352941206</v>
      </c>
      <c r="Z14" s="99">
        <f t="shared" si="6"/>
        <v>9.8205882352941192</v>
      </c>
      <c r="AA14" s="253">
        <f t="shared" si="7"/>
        <v>9.0264705882352967</v>
      </c>
      <c r="AB14" s="108">
        <f t="shared" si="8"/>
        <v>9.9264705882352953</v>
      </c>
      <c r="AC14" s="3">
        <f t="shared" si="9"/>
        <v>6.25</v>
      </c>
      <c r="AD14" s="246">
        <f t="shared" si="10"/>
        <v>8</v>
      </c>
      <c r="AE14" s="5">
        <f t="shared" si="11"/>
        <v>-6.4512499999999999</v>
      </c>
      <c r="AF14" s="105">
        <f t="shared" si="12"/>
        <v>9.2175000000000011</v>
      </c>
      <c r="AG14" s="201">
        <v>67</v>
      </c>
      <c r="AH14" s="32">
        <f t="shared" si="13"/>
        <v>0.26800000000000002</v>
      </c>
      <c r="AI14" s="218" t="s">
        <v>110</v>
      </c>
      <c r="AJ14" s="43">
        <f t="shared" si="14"/>
        <v>0.30000000000000004</v>
      </c>
      <c r="AK14" s="282">
        <f t="shared" si="15"/>
        <v>6.2500000000000012E-3</v>
      </c>
      <c r="AL14" s="272" t="str">
        <f t="shared" si="16"/>
        <v>#4 @ 6</v>
      </c>
      <c r="AN14" s="2">
        <f t="shared" si="17"/>
        <v>6.25</v>
      </c>
      <c r="AO14" s="246">
        <f t="shared" si="18"/>
        <v>8</v>
      </c>
      <c r="AP14" s="167" t="str">
        <f t="shared" si="19"/>
        <v>#4 @ 6</v>
      </c>
      <c r="AQ14" s="169" t="str">
        <f t="shared" si="37"/>
        <v>#4 @ 8</v>
      </c>
      <c r="AR14" s="50">
        <f t="shared" si="38"/>
        <v>-6.4512499999999999</v>
      </c>
      <c r="AS14" s="111">
        <f t="shared" si="38"/>
        <v>9.2175000000000011</v>
      </c>
      <c r="AT14" s="50">
        <f t="shared" si="39"/>
        <v>-8.9205882352941206</v>
      </c>
      <c r="AU14" s="111">
        <f t="shared" si="40"/>
        <v>9.8205882352941192</v>
      </c>
      <c r="AW14" s="50">
        <f t="shared" si="21"/>
        <v>-6.4512499999999999</v>
      </c>
      <c r="AX14" s="111">
        <f t="shared" si="22"/>
        <v>9.2175000000000011</v>
      </c>
      <c r="AY14" s="50">
        <f t="shared" si="23"/>
        <v>8.9794117647058851</v>
      </c>
      <c r="AZ14" s="111">
        <f t="shared" si="24"/>
        <v>9.8794117647058837</v>
      </c>
      <c r="BA14" s="156">
        <f t="shared" si="28"/>
        <v>1.3918871171797536</v>
      </c>
      <c r="BB14" s="155">
        <f t="shared" si="25"/>
        <v>1.0718103351999873</v>
      </c>
    </row>
    <row r="15" spans="1:54" x14ac:dyDescent="0.2">
      <c r="A15" s="2">
        <v>6.5</v>
      </c>
      <c r="B15" s="236">
        <v>8</v>
      </c>
      <c r="C15" s="43">
        <f t="shared" si="26"/>
        <v>9.9999999999999992E-2</v>
      </c>
      <c r="D15" s="253">
        <f t="shared" si="29"/>
        <v>-0.42249999999999999</v>
      </c>
      <c r="E15" s="108">
        <f t="shared" si="30"/>
        <v>0.33800000000000002</v>
      </c>
      <c r="F15" s="253">
        <f t="shared" si="31"/>
        <v>-0.21125000000000005</v>
      </c>
      <c r="G15" s="99">
        <f t="shared" si="32"/>
        <v>0.16900000000000001</v>
      </c>
      <c r="H15" s="253">
        <v>-3.38</v>
      </c>
      <c r="I15" s="108">
        <v>5</v>
      </c>
      <c r="J15" s="6">
        <f t="shared" si="33"/>
        <v>-6.76</v>
      </c>
      <c r="K15" s="99">
        <f t="shared" si="33"/>
        <v>9.4260000000000002</v>
      </c>
      <c r="L15" s="167" t="s">
        <v>11</v>
      </c>
      <c r="M15" s="167" t="s">
        <v>11</v>
      </c>
      <c r="N15" s="236">
        <v>0.2</v>
      </c>
      <c r="O15" s="297">
        <v>6</v>
      </c>
      <c r="P15" s="315">
        <f t="shared" si="34"/>
        <v>0.40000000000000008</v>
      </c>
      <c r="Q15" s="152">
        <f t="shared" si="27"/>
        <v>0.40000000000000008</v>
      </c>
      <c r="R15" s="195">
        <f t="shared" si="1"/>
        <v>5.25</v>
      </c>
      <c r="S15" s="105">
        <f t="shared" si="2"/>
        <v>5.75</v>
      </c>
      <c r="T15" s="39">
        <f t="shared" si="35"/>
        <v>6.3492063492063501E-3</v>
      </c>
      <c r="U15" s="115">
        <f t="shared" si="36"/>
        <v>5.7971014492753633E-3</v>
      </c>
      <c r="V15" s="164"/>
      <c r="W15" s="253">
        <f t="shared" si="3"/>
        <v>8.9794117647058851</v>
      </c>
      <c r="X15" s="108">
        <f t="shared" si="4"/>
        <v>9.8794117647058837</v>
      </c>
      <c r="Y15" s="253">
        <f t="shared" si="5"/>
        <v>8.9205882352941206</v>
      </c>
      <c r="Z15" s="99">
        <f t="shared" si="6"/>
        <v>9.8205882352941192</v>
      </c>
      <c r="AA15" s="253">
        <f t="shared" si="7"/>
        <v>9.0264705882352967</v>
      </c>
      <c r="AB15" s="108">
        <f t="shared" si="8"/>
        <v>9.9264705882352953</v>
      </c>
      <c r="AC15" s="3">
        <f t="shared" si="9"/>
        <v>6.5</v>
      </c>
      <c r="AD15" s="246">
        <f t="shared" si="10"/>
        <v>8</v>
      </c>
      <c r="AE15" s="5">
        <f t="shared" si="11"/>
        <v>-6.76</v>
      </c>
      <c r="AF15" s="105">
        <f t="shared" si="12"/>
        <v>9.4260000000000002</v>
      </c>
      <c r="AG15" s="201">
        <v>67</v>
      </c>
      <c r="AH15" s="32">
        <f t="shared" si="13"/>
        <v>0.26800000000000002</v>
      </c>
      <c r="AI15" s="218" t="s">
        <v>110</v>
      </c>
      <c r="AJ15" s="43">
        <f t="shared" si="14"/>
        <v>0.30000000000000004</v>
      </c>
      <c r="AK15" s="282">
        <f t="shared" si="15"/>
        <v>6.2500000000000012E-3</v>
      </c>
      <c r="AL15" s="272" t="str">
        <f t="shared" si="16"/>
        <v>#4 @ 6</v>
      </c>
      <c r="AN15" s="2">
        <f t="shared" si="17"/>
        <v>6.5</v>
      </c>
      <c r="AO15" s="246">
        <f t="shared" si="18"/>
        <v>8</v>
      </c>
      <c r="AP15" s="167" t="str">
        <f t="shared" si="19"/>
        <v>#4 @ 6</v>
      </c>
      <c r="AQ15" s="169" t="str">
        <f t="shared" si="37"/>
        <v>#4 @ 8</v>
      </c>
      <c r="AR15" s="50">
        <f t="shared" si="38"/>
        <v>-6.76</v>
      </c>
      <c r="AS15" s="111">
        <f t="shared" si="38"/>
        <v>9.4260000000000002</v>
      </c>
      <c r="AT15" s="50">
        <f t="shared" si="39"/>
        <v>-8.9205882352941206</v>
      </c>
      <c r="AU15" s="111">
        <f t="shared" si="40"/>
        <v>9.8205882352941192</v>
      </c>
      <c r="AW15" s="50">
        <f t="shared" si="21"/>
        <v>-6.76</v>
      </c>
      <c r="AX15" s="111">
        <f t="shared" si="22"/>
        <v>9.4260000000000002</v>
      </c>
      <c r="AY15" s="50">
        <f t="shared" si="23"/>
        <v>8.9794117647058851</v>
      </c>
      <c r="AZ15" s="111">
        <f t="shared" si="24"/>
        <v>9.8794117647058837</v>
      </c>
      <c r="BA15" s="156">
        <f t="shared" si="28"/>
        <v>1.3283153498085629</v>
      </c>
      <c r="BB15" s="155">
        <f t="shared" si="25"/>
        <v>1.0481022453539024</v>
      </c>
    </row>
    <row r="16" spans="1:54" x14ac:dyDescent="0.2">
      <c r="A16" s="8">
        <v>6.75</v>
      </c>
      <c r="B16" s="238">
        <v>8</v>
      </c>
      <c r="C16" s="44">
        <f t="shared" si="26"/>
        <v>9.9999999999999992E-2</v>
      </c>
      <c r="D16" s="61">
        <f t="shared" si="29"/>
        <v>-0.455625</v>
      </c>
      <c r="E16" s="110">
        <f t="shared" si="30"/>
        <v>0.36449999999999999</v>
      </c>
      <c r="F16" s="61">
        <f t="shared" si="31"/>
        <v>-0.22781250000000006</v>
      </c>
      <c r="G16" s="101">
        <f t="shared" si="32"/>
        <v>0.18225</v>
      </c>
      <c r="H16" s="61">
        <v>-3.51</v>
      </c>
      <c r="I16" s="110">
        <v>5.0999999999999996</v>
      </c>
      <c r="J16" s="12">
        <f t="shared" si="33"/>
        <v>-7.05375</v>
      </c>
      <c r="K16" s="101">
        <f t="shared" si="33"/>
        <v>9.6539999999999981</v>
      </c>
      <c r="L16" s="168" t="s">
        <v>11</v>
      </c>
      <c r="M16" s="168" t="s">
        <v>11</v>
      </c>
      <c r="N16" s="238">
        <v>0.2</v>
      </c>
      <c r="O16" s="298">
        <v>6</v>
      </c>
      <c r="P16" s="316">
        <f t="shared" si="34"/>
        <v>0.40000000000000008</v>
      </c>
      <c r="Q16" s="192">
        <f t="shared" si="27"/>
        <v>0.40000000000000008</v>
      </c>
      <c r="R16" s="257">
        <f t="shared" si="1"/>
        <v>5.25</v>
      </c>
      <c r="S16" s="107">
        <f t="shared" si="2"/>
        <v>5.75</v>
      </c>
      <c r="T16" s="41">
        <f t="shared" si="35"/>
        <v>6.3492063492063501E-3</v>
      </c>
      <c r="U16" s="117">
        <f t="shared" si="36"/>
        <v>5.7971014492753633E-3</v>
      </c>
      <c r="V16" s="164"/>
      <c r="W16" s="61">
        <f t="shared" si="3"/>
        <v>8.9794117647058851</v>
      </c>
      <c r="X16" s="110">
        <f t="shared" si="4"/>
        <v>9.8794117647058837</v>
      </c>
      <c r="Y16" s="61">
        <f t="shared" si="5"/>
        <v>8.9205882352941206</v>
      </c>
      <c r="Z16" s="101">
        <f t="shared" si="6"/>
        <v>9.8205882352941192</v>
      </c>
      <c r="AA16" s="61">
        <f t="shared" si="7"/>
        <v>9.0264705882352967</v>
      </c>
      <c r="AB16" s="110">
        <f t="shared" si="8"/>
        <v>9.9264705882352953</v>
      </c>
      <c r="AC16" s="9">
        <f t="shared" si="9"/>
        <v>6.75</v>
      </c>
      <c r="AD16" s="60">
        <f t="shared" si="10"/>
        <v>8</v>
      </c>
      <c r="AE16" s="11">
        <f t="shared" si="11"/>
        <v>-7.05375</v>
      </c>
      <c r="AF16" s="107">
        <f t="shared" si="12"/>
        <v>9.6539999999999981</v>
      </c>
      <c r="AG16" s="245">
        <v>67</v>
      </c>
      <c r="AH16" s="34">
        <f t="shared" si="13"/>
        <v>0.26800000000000002</v>
      </c>
      <c r="AI16" s="219" t="s">
        <v>110</v>
      </c>
      <c r="AJ16" s="44">
        <f t="shared" si="14"/>
        <v>0.30000000000000004</v>
      </c>
      <c r="AK16" s="284">
        <f t="shared" si="15"/>
        <v>6.2500000000000012E-3</v>
      </c>
      <c r="AL16" s="273" t="str">
        <f t="shared" si="16"/>
        <v>#4 @ 6</v>
      </c>
      <c r="AN16" s="8">
        <f t="shared" si="17"/>
        <v>6.75</v>
      </c>
      <c r="AO16" s="60">
        <f t="shared" si="18"/>
        <v>8</v>
      </c>
      <c r="AP16" s="168" t="str">
        <f t="shared" si="19"/>
        <v>#4 @ 6</v>
      </c>
      <c r="AQ16" s="175" t="str">
        <f t="shared" si="37"/>
        <v>#4 @ 8</v>
      </c>
      <c r="AR16" s="52">
        <f t="shared" si="38"/>
        <v>-7.05375</v>
      </c>
      <c r="AS16" s="113">
        <f t="shared" si="38"/>
        <v>9.6539999999999981</v>
      </c>
      <c r="AT16" s="50">
        <f t="shared" si="39"/>
        <v>-8.9205882352941206</v>
      </c>
      <c r="AU16" s="113">
        <f t="shared" si="40"/>
        <v>9.8205882352941192</v>
      </c>
      <c r="AW16" s="61">
        <f t="shared" si="21"/>
        <v>-7.05375</v>
      </c>
      <c r="AX16" s="113">
        <f t="shared" si="22"/>
        <v>9.6539999999999981</v>
      </c>
      <c r="AY16" s="61">
        <f t="shared" si="23"/>
        <v>8.9794117647058851</v>
      </c>
      <c r="AZ16" s="113">
        <f t="shared" si="24"/>
        <v>9.8794117647058837</v>
      </c>
      <c r="BA16" s="156">
        <f t="shared" si="28"/>
        <v>1.2729983008620784</v>
      </c>
      <c r="BB16" s="155">
        <f t="shared" si="25"/>
        <v>1.0233490537296339</v>
      </c>
    </row>
    <row r="17" spans="1:55" x14ac:dyDescent="0.2">
      <c r="A17" s="2">
        <v>7</v>
      </c>
      <c r="B17" s="236">
        <v>8</v>
      </c>
      <c r="C17" s="4">
        <f t="shared" si="26"/>
        <v>9.9999999999999992E-2</v>
      </c>
      <c r="D17" s="253">
        <f t="shared" si="29"/>
        <v>-0.49</v>
      </c>
      <c r="E17" s="108">
        <f t="shared" si="30"/>
        <v>0.39200000000000002</v>
      </c>
      <c r="F17" s="253">
        <f t="shared" si="31"/>
        <v>-0.24500000000000005</v>
      </c>
      <c r="G17" s="99">
        <f t="shared" si="32"/>
        <v>0.19600000000000001</v>
      </c>
      <c r="H17" s="253">
        <v>-3.83</v>
      </c>
      <c r="I17" s="108">
        <v>5.21</v>
      </c>
      <c r="J17" s="6">
        <f t="shared" si="33"/>
        <v>-7.682500000000001</v>
      </c>
      <c r="K17" s="99">
        <f t="shared" si="33"/>
        <v>9.9015000000000004</v>
      </c>
      <c r="L17" s="167" t="s">
        <v>12</v>
      </c>
      <c r="M17" s="167" t="s">
        <v>12</v>
      </c>
      <c r="N17" s="237">
        <v>0.2</v>
      </c>
      <c r="O17" s="297">
        <v>5.5</v>
      </c>
      <c r="P17" s="315">
        <f t="shared" si="34"/>
        <v>0.43636363636363645</v>
      </c>
      <c r="Q17" s="152">
        <f t="shared" si="27"/>
        <v>0.43636363636363645</v>
      </c>
      <c r="R17" s="195">
        <f t="shared" si="1"/>
        <v>5.25</v>
      </c>
      <c r="S17" s="105">
        <f t="shared" si="2"/>
        <v>5.75</v>
      </c>
      <c r="T17" s="39">
        <f t="shared" si="35"/>
        <v>6.9264069264069281E-3</v>
      </c>
      <c r="U17" s="115">
        <f t="shared" si="36"/>
        <v>6.3241106719367605E-3</v>
      </c>
      <c r="V17" s="164"/>
      <c r="W17" s="253">
        <f t="shared" si="3"/>
        <v>9.749052017501219</v>
      </c>
      <c r="X17" s="108">
        <f t="shared" si="4"/>
        <v>10.7308701993194</v>
      </c>
      <c r="Y17" s="253">
        <f t="shared" si="5"/>
        <v>9.6790471560525049</v>
      </c>
      <c r="Z17" s="99">
        <f t="shared" si="6"/>
        <v>10.660865337870687</v>
      </c>
      <c r="AA17" s="253">
        <f t="shared" si="7"/>
        <v>9.8050559066601881</v>
      </c>
      <c r="AB17" s="108">
        <f t="shared" si="8"/>
        <v>10.786874088478369</v>
      </c>
      <c r="AC17" s="3">
        <f t="shared" si="9"/>
        <v>7</v>
      </c>
      <c r="AD17" s="246">
        <f t="shared" si="10"/>
        <v>8</v>
      </c>
      <c r="AE17" s="5">
        <f t="shared" si="11"/>
        <v>-7.682500000000001</v>
      </c>
      <c r="AF17" s="105">
        <f t="shared" si="12"/>
        <v>9.9015000000000004</v>
      </c>
      <c r="AG17" s="201">
        <v>67</v>
      </c>
      <c r="AH17" s="32">
        <f t="shared" si="13"/>
        <v>0.29236363636363644</v>
      </c>
      <c r="AI17" s="218" t="s">
        <v>110</v>
      </c>
      <c r="AJ17" s="43">
        <f>0.2*12/8</f>
        <v>0.30000000000000004</v>
      </c>
      <c r="AK17" s="282">
        <f t="shared" si="15"/>
        <v>6.2500000000000012E-3</v>
      </c>
      <c r="AL17" s="272" t="str">
        <f t="shared" si="16"/>
        <v>#4 @ 5.5</v>
      </c>
      <c r="AN17" s="2">
        <f t="shared" si="17"/>
        <v>7</v>
      </c>
      <c r="AO17" s="246">
        <f t="shared" si="18"/>
        <v>8</v>
      </c>
      <c r="AP17" s="167" t="str">
        <f t="shared" si="19"/>
        <v>#4 @ 5.5</v>
      </c>
      <c r="AQ17" s="169" t="str">
        <f t="shared" si="37"/>
        <v>#4 @ 8</v>
      </c>
      <c r="AR17" s="50">
        <f t="shared" si="38"/>
        <v>-7.682500000000001</v>
      </c>
      <c r="AS17" s="111">
        <f t="shared" si="38"/>
        <v>9.9015000000000004</v>
      </c>
      <c r="AT17" s="51">
        <f t="shared" si="39"/>
        <v>-9.6790471560525049</v>
      </c>
      <c r="AU17" s="111">
        <f t="shared" si="40"/>
        <v>10.660865337870687</v>
      </c>
      <c r="AW17" s="50">
        <f t="shared" si="21"/>
        <v>-7.682500000000001</v>
      </c>
      <c r="AX17" s="111">
        <f t="shared" si="22"/>
        <v>9.9015000000000004</v>
      </c>
      <c r="AY17" s="50">
        <f t="shared" si="23"/>
        <v>9.749052017501219</v>
      </c>
      <c r="AZ17" s="111">
        <f t="shared" si="24"/>
        <v>10.7308701993194</v>
      </c>
      <c r="BA17" s="156">
        <f t="shared" si="28"/>
        <v>1.268994730556618</v>
      </c>
      <c r="BB17" s="155">
        <f t="shared" si="25"/>
        <v>1.0837620763843254</v>
      </c>
    </row>
    <row r="18" spans="1:55" x14ac:dyDescent="0.2">
      <c r="A18" s="2">
        <v>7.25</v>
      </c>
      <c r="B18" s="236">
        <v>8</v>
      </c>
      <c r="C18" s="4">
        <f t="shared" si="26"/>
        <v>9.9999999999999992E-2</v>
      </c>
      <c r="D18" s="253">
        <f t="shared" si="29"/>
        <v>-0.52562500000000001</v>
      </c>
      <c r="E18" s="108">
        <f t="shared" si="30"/>
        <v>0.42049999999999998</v>
      </c>
      <c r="F18" s="253">
        <f t="shared" si="31"/>
        <v>-0.26281250000000006</v>
      </c>
      <c r="G18" s="99">
        <f t="shared" si="32"/>
        <v>0.21024999999999999</v>
      </c>
      <c r="H18" s="253">
        <v>-3.95</v>
      </c>
      <c r="I18" s="108">
        <v>5.32</v>
      </c>
      <c r="J18" s="6">
        <f t="shared" si="33"/>
        <v>-7.963750000000001</v>
      </c>
      <c r="K18" s="99">
        <f t="shared" si="33"/>
        <v>10.151</v>
      </c>
      <c r="L18" s="167" t="s">
        <v>12</v>
      </c>
      <c r="M18" s="167" t="s">
        <v>12</v>
      </c>
      <c r="N18" s="236">
        <v>0.2</v>
      </c>
      <c r="O18" s="297">
        <v>5.5</v>
      </c>
      <c r="P18" s="315">
        <f t="shared" si="34"/>
        <v>0.43636363636363645</v>
      </c>
      <c r="Q18" s="152">
        <f t="shared" si="27"/>
        <v>0.43636363636363645</v>
      </c>
      <c r="R18" s="195">
        <f t="shared" si="1"/>
        <v>5.25</v>
      </c>
      <c r="S18" s="105">
        <f t="shared" si="2"/>
        <v>5.75</v>
      </c>
      <c r="T18" s="39">
        <f t="shared" si="35"/>
        <v>6.9264069264069281E-3</v>
      </c>
      <c r="U18" s="115">
        <f t="shared" si="36"/>
        <v>6.3241106719367605E-3</v>
      </c>
      <c r="V18" s="164"/>
      <c r="W18" s="253">
        <f t="shared" si="3"/>
        <v>9.749052017501219</v>
      </c>
      <c r="X18" s="108">
        <f t="shared" si="4"/>
        <v>10.7308701993194</v>
      </c>
      <c r="Y18" s="253">
        <f t="shared" si="5"/>
        <v>9.6790471560525049</v>
      </c>
      <c r="Z18" s="99">
        <f t="shared" si="6"/>
        <v>10.660865337870687</v>
      </c>
      <c r="AA18" s="253">
        <f t="shared" si="7"/>
        <v>9.8050559066601881</v>
      </c>
      <c r="AB18" s="108">
        <f t="shared" si="8"/>
        <v>10.786874088478369</v>
      </c>
      <c r="AC18" s="3">
        <f t="shared" si="9"/>
        <v>7.25</v>
      </c>
      <c r="AD18" s="246">
        <f t="shared" si="10"/>
        <v>8</v>
      </c>
      <c r="AE18" s="5">
        <f t="shared" si="11"/>
        <v>-7.963750000000001</v>
      </c>
      <c r="AF18" s="105">
        <f t="shared" si="12"/>
        <v>10.151</v>
      </c>
      <c r="AG18" s="201">
        <v>67</v>
      </c>
      <c r="AH18" s="32">
        <f t="shared" si="13"/>
        <v>0.29236363636363644</v>
      </c>
      <c r="AI18" s="218" t="s">
        <v>110</v>
      </c>
      <c r="AJ18" s="43">
        <f>0.2*12/8</f>
        <v>0.30000000000000004</v>
      </c>
      <c r="AK18" s="282">
        <f t="shared" si="15"/>
        <v>6.2500000000000012E-3</v>
      </c>
      <c r="AL18" s="272" t="str">
        <f t="shared" si="16"/>
        <v>#4 @ 5.5</v>
      </c>
      <c r="AN18" s="2">
        <f t="shared" si="17"/>
        <v>7.25</v>
      </c>
      <c r="AO18" s="246">
        <f t="shared" si="18"/>
        <v>8</v>
      </c>
      <c r="AP18" s="167" t="str">
        <f t="shared" si="19"/>
        <v>#4 @ 5.5</v>
      </c>
      <c r="AQ18" s="169" t="str">
        <f t="shared" si="37"/>
        <v>#4 @ 8</v>
      </c>
      <c r="AR18" s="50">
        <f t="shared" si="38"/>
        <v>-7.963750000000001</v>
      </c>
      <c r="AS18" s="111">
        <f t="shared" si="38"/>
        <v>10.151</v>
      </c>
      <c r="AT18" s="50">
        <f t="shared" si="39"/>
        <v>-9.6790471560525049</v>
      </c>
      <c r="AU18" s="111">
        <f t="shared" si="40"/>
        <v>10.660865337870687</v>
      </c>
      <c r="AW18" s="50">
        <f t="shared" si="21"/>
        <v>-7.963750000000001</v>
      </c>
      <c r="AX18" s="111">
        <f t="shared" si="22"/>
        <v>10.151</v>
      </c>
      <c r="AY18" s="50">
        <f t="shared" si="23"/>
        <v>9.749052017501219</v>
      </c>
      <c r="AZ18" s="111">
        <f t="shared" si="24"/>
        <v>10.7308701993194</v>
      </c>
      <c r="BA18" s="156">
        <f t="shared" si="28"/>
        <v>1.2241785612935134</v>
      </c>
      <c r="BB18" s="155">
        <f t="shared" si="25"/>
        <v>1.0571244408747316</v>
      </c>
    </row>
    <row r="19" spans="1:55" x14ac:dyDescent="0.2">
      <c r="A19" s="2">
        <v>7.5</v>
      </c>
      <c r="B19" s="236">
        <v>8</v>
      </c>
      <c r="C19" s="4">
        <f t="shared" si="26"/>
        <v>9.9999999999999992E-2</v>
      </c>
      <c r="D19" s="253">
        <f t="shared" si="29"/>
        <v>-0.5625</v>
      </c>
      <c r="E19" s="108">
        <f t="shared" si="30"/>
        <v>0.45</v>
      </c>
      <c r="F19" s="253">
        <f t="shared" si="31"/>
        <v>-0.28125000000000006</v>
      </c>
      <c r="G19" s="99">
        <f t="shared" si="32"/>
        <v>0.22500000000000001</v>
      </c>
      <c r="H19" s="253">
        <v>-4.0599999999999996</v>
      </c>
      <c r="I19" s="108">
        <v>5.44</v>
      </c>
      <c r="J19" s="6">
        <f t="shared" si="33"/>
        <v>-8.23</v>
      </c>
      <c r="K19" s="99">
        <f t="shared" si="33"/>
        <v>10.420000000000002</v>
      </c>
      <c r="L19" s="167" t="s">
        <v>12</v>
      </c>
      <c r="M19" s="167" t="s">
        <v>12</v>
      </c>
      <c r="N19" s="236">
        <v>0.2</v>
      </c>
      <c r="O19" s="297">
        <v>5.5</v>
      </c>
      <c r="P19" s="315">
        <f t="shared" si="34"/>
        <v>0.43636363636363645</v>
      </c>
      <c r="Q19" s="152">
        <f t="shared" si="27"/>
        <v>0.43636363636363645</v>
      </c>
      <c r="R19" s="195">
        <f t="shared" si="1"/>
        <v>5.25</v>
      </c>
      <c r="S19" s="105">
        <f t="shared" si="2"/>
        <v>5.75</v>
      </c>
      <c r="T19" s="39">
        <f t="shared" si="35"/>
        <v>6.9264069264069281E-3</v>
      </c>
      <c r="U19" s="115">
        <f t="shared" si="36"/>
        <v>6.3241106719367605E-3</v>
      </c>
      <c r="V19" s="164"/>
      <c r="W19" s="253">
        <f t="shared" si="3"/>
        <v>9.749052017501219</v>
      </c>
      <c r="X19" s="108">
        <f t="shared" si="4"/>
        <v>10.7308701993194</v>
      </c>
      <c r="Y19" s="253">
        <f t="shared" si="5"/>
        <v>9.6790471560525049</v>
      </c>
      <c r="Z19" s="99">
        <f t="shared" si="6"/>
        <v>10.660865337870687</v>
      </c>
      <c r="AA19" s="253">
        <f t="shared" si="7"/>
        <v>9.8050559066601881</v>
      </c>
      <c r="AB19" s="108">
        <f t="shared" si="8"/>
        <v>10.786874088478369</v>
      </c>
      <c r="AC19" s="3">
        <f t="shared" si="9"/>
        <v>7.5</v>
      </c>
      <c r="AD19" s="246">
        <f t="shared" si="10"/>
        <v>8</v>
      </c>
      <c r="AE19" s="5">
        <f t="shared" si="11"/>
        <v>-8.23</v>
      </c>
      <c r="AF19" s="105">
        <f t="shared" si="12"/>
        <v>10.420000000000002</v>
      </c>
      <c r="AG19" s="201">
        <v>67</v>
      </c>
      <c r="AH19" s="32">
        <f t="shared" si="13"/>
        <v>0.29236363636363644</v>
      </c>
      <c r="AI19" s="218" t="s">
        <v>110</v>
      </c>
      <c r="AJ19" s="43">
        <f>0.2*12/8</f>
        <v>0.30000000000000004</v>
      </c>
      <c r="AK19" s="282">
        <f t="shared" si="15"/>
        <v>6.2500000000000012E-3</v>
      </c>
      <c r="AL19" s="272" t="str">
        <f t="shared" si="16"/>
        <v>#4 @ 5.5</v>
      </c>
      <c r="AN19" s="2">
        <f t="shared" si="17"/>
        <v>7.5</v>
      </c>
      <c r="AO19" s="246">
        <f t="shared" si="18"/>
        <v>8</v>
      </c>
      <c r="AP19" s="167" t="str">
        <f t="shared" si="19"/>
        <v>#4 @ 5.5</v>
      </c>
      <c r="AQ19" s="169" t="str">
        <f t="shared" si="37"/>
        <v>#4 @ 8</v>
      </c>
      <c r="AR19" s="50">
        <f t="shared" si="38"/>
        <v>-8.23</v>
      </c>
      <c r="AS19" s="111">
        <f t="shared" si="38"/>
        <v>10.420000000000002</v>
      </c>
      <c r="AT19" s="50">
        <f t="shared" si="39"/>
        <v>-9.6790471560525049</v>
      </c>
      <c r="AU19" s="111">
        <f t="shared" si="40"/>
        <v>10.660865337870687</v>
      </c>
      <c r="AW19" s="50">
        <f t="shared" si="21"/>
        <v>-8.23</v>
      </c>
      <c r="AX19" s="111">
        <f t="shared" si="22"/>
        <v>10.420000000000002</v>
      </c>
      <c r="AY19" s="50">
        <f t="shared" si="23"/>
        <v>9.749052017501219</v>
      </c>
      <c r="AZ19" s="111">
        <f t="shared" si="24"/>
        <v>10.7308701993194</v>
      </c>
      <c r="BA19" s="156">
        <f t="shared" si="28"/>
        <v>1.1845749717498444</v>
      </c>
      <c r="BB19" s="155">
        <f t="shared" si="25"/>
        <v>1.02983399225714</v>
      </c>
    </row>
    <row r="20" spans="1:55" x14ac:dyDescent="0.2">
      <c r="A20" s="2">
        <v>7.75</v>
      </c>
      <c r="B20" s="236">
        <v>8</v>
      </c>
      <c r="C20" s="4">
        <f t="shared" si="26"/>
        <v>9.9999999999999992E-2</v>
      </c>
      <c r="D20" s="253">
        <f t="shared" si="29"/>
        <v>-0.60062499999999996</v>
      </c>
      <c r="E20" s="108">
        <f t="shared" si="30"/>
        <v>0.48049999999999998</v>
      </c>
      <c r="F20" s="253">
        <f t="shared" si="31"/>
        <v>-0.30031250000000004</v>
      </c>
      <c r="G20" s="99">
        <f t="shared" si="32"/>
        <v>0.24024999999999999</v>
      </c>
      <c r="H20" s="253">
        <v>-4.16</v>
      </c>
      <c r="I20" s="108">
        <v>5.56</v>
      </c>
      <c r="J20" s="6">
        <f t="shared" si="33"/>
        <v>-8.4812499999999993</v>
      </c>
      <c r="K20" s="99">
        <f t="shared" si="33"/>
        <v>10.690999999999999</v>
      </c>
      <c r="L20" s="167" t="s">
        <v>12</v>
      </c>
      <c r="M20" s="167" t="s">
        <v>12</v>
      </c>
      <c r="N20" s="238">
        <v>0.2</v>
      </c>
      <c r="O20" s="297">
        <v>5.5</v>
      </c>
      <c r="P20" s="316">
        <f t="shared" si="34"/>
        <v>0.43636363636363645</v>
      </c>
      <c r="Q20" s="192">
        <f t="shared" si="27"/>
        <v>0.43636363636363645</v>
      </c>
      <c r="R20" s="195">
        <f t="shared" si="1"/>
        <v>5.25</v>
      </c>
      <c r="S20" s="105">
        <f t="shared" si="2"/>
        <v>5.75</v>
      </c>
      <c r="T20" s="39">
        <f>Q20/(12*R20)</f>
        <v>6.9264069264069281E-3</v>
      </c>
      <c r="U20" s="115">
        <f>Q20/(12*S20)</f>
        <v>6.3241106719367605E-3</v>
      </c>
      <c r="V20" s="164"/>
      <c r="W20" s="253">
        <f t="shared" si="3"/>
        <v>9.749052017501219</v>
      </c>
      <c r="X20" s="108">
        <f t="shared" si="4"/>
        <v>10.7308701993194</v>
      </c>
      <c r="Y20" s="253">
        <f t="shared" si="5"/>
        <v>9.6790471560525049</v>
      </c>
      <c r="Z20" s="99">
        <f t="shared" si="6"/>
        <v>10.660865337870687</v>
      </c>
      <c r="AA20" s="253">
        <f t="shared" si="7"/>
        <v>9.8050559066601881</v>
      </c>
      <c r="AB20" s="108">
        <f t="shared" si="8"/>
        <v>10.786874088478369</v>
      </c>
      <c r="AC20" s="3">
        <f t="shared" si="9"/>
        <v>7.75</v>
      </c>
      <c r="AD20" s="246">
        <f t="shared" si="10"/>
        <v>8</v>
      </c>
      <c r="AE20" s="5">
        <f t="shared" si="11"/>
        <v>-8.4812499999999993</v>
      </c>
      <c r="AF20" s="105">
        <f t="shared" si="12"/>
        <v>10.690999999999999</v>
      </c>
      <c r="AG20" s="201">
        <v>67</v>
      </c>
      <c r="AH20" s="32">
        <f t="shared" si="13"/>
        <v>0.29236363636363644</v>
      </c>
      <c r="AI20" s="218" t="s">
        <v>110</v>
      </c>
      <c r="AJ20" s="43">
        <f>0.2*12/8</f>
        <v>0.30000000000000004</v>
      </c>
      <c r="AK20" s="282">
        <f t="shared" si="15"/>
        <v>6.2500000000000012E-3</v>
      </c>
      <c r="AL20" s="272" t="str">
        <f t="shared" si="16"/>
        <v>#4 @ 5.5</v>
      </c>
      <c r="AN20" s="2">
        <f t="shared" si="17"/>
        <v>7.75</v>
      </c>
      <c r="AO20" s="246">
        <f t="shared" si="18"/>
        <v>8</v>
      </c>
      <c r="AP20" s="167" t="str">
        <f t="shared" si="19"/>
        <v>#4 @ 5.5</v>
      </c>
      <c r="AQ20" s="169" t="str">
        <f t="shared" si="37"/>
        <v>#4 @ 8</v>
      </c>
      <c r="AR20" s="50">
        <f t="shared" si="38"/>
        <v>-8.4812499999999993</v>
      </c>
      <c r="AS20" s="193">
        <f t="shared" si="38"/>
        <v>10.690999999999999</v>
      </c>
      <c r="AT20" s="52">
        <f t="shared" si="39"/>
        <v>-9.6790471560525049</v>
      </c>
      <c r="AU20" s="111">
        <f t="shared" si="40"/>
        <v>10.660865337870687</v>
      </c>
      <c r="AW20" s="61">
        <f t="shared" si="21"/>
        <v>-8.4812499999999993</v>
      </c>
      <c r="AX20" s="113">
        <f t="shared" si="22"/>
        <v>10.690999999999999</v>
      </c>
      <c r="AY20" s="61">
        <f t="shared" si="23"/>
        <v>9.749052017501219</v>
      </c>
      <c r="AZ20" s="113">
        <f t="shared" si="24"/>
        <v>10.7308701993194</v>
      </c>
      <c r="BA20" s="156">
        <f t="shared" si="28"/>
        <v>1.1494829202654349</v>
      </c>
      <c r="BB20" s="179">
        <f t="shared" si="25"/>
        <v>1.0037293236665794</v>
      </c>
      <c r="BC20" s="141" t="s">
        <v>133</v>
      </c>
    </row>
    <row r="21" spans="1:55" x14ac:dyDescent="0.2">
      <c r="A21" s="17">
        <v>8</v>
      </c>
      <c r="B21" s="237">
        <v>8</v>
      </c>
      <c r="C21" s="42">
        <f t="shared" si="26"/>
        <v>9.9999999999999992E-2</v>
      </c>
      <c r="D21" s="255">
        <f t="shared" si="29"/>
        <v>-0.64</v>
      </c>
      <c r="E21" s="109">
        <f t="shared" si="30"/>
        <v>0.51200000000000001</v>
      </c>
      <c r="F21" s="255">
        <f t="shared" si="31"/>
        <v>-0.32000000000000006</v>
      </c>
      <c r="G21" s="100">
        <f t="shared" si="32"/>
        <v>0.25600000000000001</v>
      </c>
      <c r="H21" s="255">
        <v>-4.26</v>
      </c>
      <c r="I21" s="109">
        <v>5.69</v>
      </c>
      <c r="J21" s="21">
        <f t="shared" si="33"/>
        <v>-8.7349999999999994</v>
      </c>
      <c r="K21" s="100">
        <f t="shared" si="33"/>
        <v>10.9815</v>
      </c>
      <c r="L21" s="173" t="s">
        <v>102</v>
      </c>
      <c r="M21" s="173" t="s">
        <v>102</v>
      </c>
      <c r="N21" s="237">
        <v>0.31</v>
      </c>
      <c r="O21" s="317">
        <v>7.5</v>
      </c>
      <c r="P21" s="315">
        <f t="shared" si="34"/>
        <v>0.49599999999999994</v>
      </c>
      <c r="Q21" s="152">
        <f t="shared" si="27"/>
        <v>0.49599999999999994</v>
      </c>
      <c r="R21" s="256">
        <f t="shared" ref="R21:R37" si="41">B21-2.5-0.625/2</f>
        <v>5.1875</v>
      </c>
      <c r="S21" s="106">
        <f>B21-1.5-0.625/2-0.5</f>
        <v>5.6875</v>
      </c>
      <c r="T21" s="40">
        <f>Q21/(12*R21)</f>
        <v>7.9678714859437744E-3</v>
      </c>
      <c r="U21" s="116">
        <f>Q21/(12*S21)</f>
        <v>7.2673992673992667E-3</v>
      </c>
      <c r="V21" s="164"/>
      <c r="W21" s="255">
        <f t="shared" si="3"/>
        <v>10.854923529411765</v>
      </c>
      <c r="X21" s="109">
        <f t="shared" si="4"/>
        <v>11.970923529411765</v>
      </c>
      <c r="Y21" s="255">
        <f t="shared" si="5"/>
        <v>10.764476470588233</v>
      </c>
      <c r="Z21" s="100">
        <f t="shared" si="6"/>
        <v>11.880476470588235</v>
      </c>
      <c r="AA21" s="255">
        <f t="shared" si="7"/>
        <v>10.927281176470586</v>
      </c>
      <c r="AB21" s="109">
        <f t="shared" si="8"/>
        <v>12.043281176470588</v>
      </c>
      <c r="AC21" s="18">
        <f t="shared" si="9"/>
        <v>8</v>
      </c>
      <c r="AD21" s="247">
        <f t="shared" si="10"/>
        <v>8</v>
      </c>
      <c r="AE21" s="20">
        <f t="shared" si="11"/>
        <v>-8.7349999999999994</v>
      </c>
      <c r="AF21" s="106">
        <f t="shared" si="12"/>
        <v>10.9815</v>
      </c>
      <c r="AG21" s="244">
        <v>67</v>
      </c>
      <c r="AH21" s="33">
        <f t="shared" si="13"/>
        <v>0.33232</v>
      </c>
      <c r="AI21" s="220" t="s">
        <v>32</v>
      </c>
      <c r="AJ21" s="42">
        <f t="shared" ref="AJ21:AJ32" si="42">0.31*12/8</f>
        <v>0.46499999999999997</v>
      </c>
      <c r="AK21" s="42">
        <f t="shared" si="15"/>
        <v>9.6874999999999999E-3</v>
      </c>
      <c r="AL21" s="274" t="str">
        <f t="shared" si="16"/>
        <v>#5 @ 7.5</v>
      </c>
      <c r="AN21" s="17">
        <f t="shared" si="17"/>
        <v>8</v>
      </c>
      <c r="AO21" s="247">
        <f t="shared" si="18"/>
        <v>8</v>
      </c>
      <c r="AP21" s="170" t="str">
        <f t="shared" si="19"/>
        <v>#5 @ 7.5</v>
      </c>
      <c r="AQ21" s="174" t="str">
        <f t="shared" si="37"/>
        <v>#5 @ 8</v>
      </c>
      <c r="AR21" s="51">
        <f t="shared" si="38"/>
        <v>-8.7349999999999994</v>
      </c>
      <c r="AS21" s="112">
        <f t="shared" si="38"/>
        <v>10.9815</v>
      </c>
      <c r="AT21" s="50">
        <f t="shared" si="39"/>
        <v>-10.764476470588233</v>
      </c>
      <c r="AU21" s="112">
        <f t="shared" si="40"/>
        <v>11.880476470588235</v>
      </c>
      <c r="AW21" s="50">
        <f t="shared" si="21"/>
        <v>-8.7349999999999994</v>
      </c>
      <c r="AX21" s="111">
        <f t="shared" si="22"/>
        <v>10.9815</v>
      </c>
      <c r="AY21" s="50">
        <f t="shared" si="23"/>
        <v>10.854923529411765</v>
      </c>
      <c r="AZ21" s="111">
        <f t="shared" si="24"/>
        <v>11.970923529411765</v>
      </c>
      <c r="BA21" s="156">
        <f t="shared" si="28"/>
        <v>1.2426930199670023</v>
      </c>
      <c r="BB21" s="155">
        <f t="shared" si="25"/>
        <v>1.0900991239276752</v>
      </c>
    </row>
    <row r="22" spans="1:55" x14ac:dyDescent="0.2">
      <c r="A22" s="2">
        <v>8.25</v>
      </c>
      <c r="B22" s="236">
        <v>8</v>
      </c>
      <c r="C22" s="43">
        <f t="shared" si="26"/>
        <v>9.9999999999999992E-2</v>
      </c>
      <c r="D22" s="253">
        <f t="shared" si="29"/>
        <v>-0.68062500000000004</v>
      </c>
      <c r="E22" s="108">
        <f t="shared" si="30"/>
        <v>0.54449999999999998</v>
      </c>
      <c r="F22" s="253">
        <f t="shared" si="31"/>
        <v>-0.34031250000000007</v>
      </c>
      <c r="G22" s="99">
        <f t="shared" si="32"/>
        <v>0.27224999999999999</v>
      </c>
      <c r="H22" s="253">
        <v>-4.34</v>
      </c>
      <c r="I22" s="108">
        <v>5.83</v>
      </c>
      <c r="J22" s="6">
        <f t="shared" si="33"/>
        <v>-8.9562500000000007</v>
      </c>
      <c r="K22" s="99">
        <f t="shared" si="33"/>
        <v>11.291500000000001</v>
      </c>
      <c r="L22" s="167" t="s">
        <v>102</v>
      </c>
      <c r="M22" s="167" t="s">
        <v>102</v>
      </c>
      <c r="N22" s="236">
        <v>0.31</v>
      </c>
      <c r="O22" s="297">
        <v>7.5</v>
      </c>
      <c r="P22" s="315">
        <f t="shared" si="34"/>
        <v>0.49599999999999994</v>
      </c>
      <c r="Q22" s="152">
        <f t="shared" si="27"/>
        <v>0.49599999999999994</v>
      </c>
      <c r="R22" s="195">
        <f t="shared" si="41"/>
        <v>5.1875</v>
      </c>
      <c r="S22" s="105">
        <f>B22-1.5-0.625/2-0.5</f>
        <v>5.6875</v>
      </c>
      <c r="T22" s="39">
        <f t="shared" si="35"/>
        <v>7.9678714859437744E-3</v>
      </c>
      <c r="U22" s="115">
        <f t="shared" si="36"/>
        <v>7.2673992673992667E-3</v>
      </c>
      <c r="V22" s="164"/>
      <c r="W22" s="253">
        <f t="shared" si="3"/>
        <v>10.854923529411765</v>
      </c>
      <c r="X22" s="108">
        <f t="shared" si="4"/>
        <v>11.970923529411765</v>
      </c>
      <c r="Y22" s="253">
        <f t="shared" si="5"/>
        <v>10.764476470588233</v>
      </c>
      <c r="Z22" s="99">
        <f t="shared" si="6"/>
        <v>11.880476470588235</v>
      </c>
      <c r="AA22" s="253">
        <f t="shared" si="7"/>
        <v>10.927281176470586</v>
      </c>
      <c r="AB22" s="108">
        <f t="shared" si="8"/>
        <v>12.043281176470588</v>
      </c>
      <c r="AC22" s="3">
        <f t="shared" si="9"/>
        <v>8.25</v>
      </c>
      <c r="AD22" s="246">
        <f t="shared" si="10"/>
        <v>8</v>
      </c>
      <c r="AE22" s="5">
        <f t="shared" si="11"/>
        <v>-8.9562500000000007</v>
      </c>
      <c r="AF22" s="105">
        <f t="shared" si="12"/>
        <v>11.291500000000001</v>
      </c>
      <c r="AG22" s="201">
        <v>67</v>
      </c>
      <c r="AH22" s="32">
        <f t="shared" si="13"/>
        <v>0.33232</v>
      </c>
      <c r="AI22" s="218" t="s">
        <v>32</v>
      </c>
      <c r="AJ22" s="43">
        <f t="shared" si="42"/>
        <v>0.46499999999999997</v>
      </c>
      <c r="AK22" s="43">
        <f t="shared" si="15"/>
        <v>9.6874999999999999E-3</v>
      </c>
      <c r="AL22" s="272" t="str">
        <f t="shared" si="16"/>
        <v>#5 @ 7.5</v>
      </c>
      <c r="AN22" s="2">
        <f t="shared" si="17"/>
        <v>8.25</v>
      </c>
      <c r="AO22" s="246">
        <f t="shared" si="18"/>
        <v>8</v>
      </c>
      <c r="AP22" s="171" t="str">
        <f t="shared" si="19"/>
        <v>#5 @ 7.5</v>
      </c>
      <c r="AQ22" s="169" t="str">
        <f t="shared" ref="AQ22:AQ37" si="43">AI22</f>
        <v>#5 @ 8</v>
      </c>
      <c r="AR22" s="50">
        <f t="shared" ref="AR22:AR37" si="44">AE22</f>
        <v>-8.9562500000000007</v>
      </c>
      <c r="AS22" s="111">
        <f t="shared" ref="AS22:AS37" si="45">AF22</f>
        <v>11.291500000000001</v>
      </c>
      <c r="AT22" s="50">
        <f t="shared" si="39"/>
        <v>-10.764476470588233</v>
      </c>
      <c r="AU22" s="111">
        <f t="shared" ref="AU22:AU37" si="46">Z22</f>
        <v>11.880476470588235</v>
      </c>
      <c r="AW22" s="50">
        <f t="shared" si="21"/>
        <v>-8.9562500000000007</v>
      </c>
      <c r="AX22" s="111">
        <f t="shared" si="22"/>
        <v>11.291500000000001</v>
      </c>
      <c r="AY22" s="50">
        <f t="shared" si="23"/>
        <v>10.854923529411765</v>
      </c>
      <c r="AZ22" s="111">
        <f t="shared" si="24"/>
        <v>11.970923529411765</v>
      </c>
      <c r="BA22" s="156">
        <f t="shared" si="28"/>
        <v>1.2119942531094783</v>
      </c>
      <c r="BB22" s="155">
        <f t="shared" si="25"/>
        <v>1.0601712376045489</v>
      </c>
    </row>
    <row r="23" spans="1:55" x14ac:dyDescent="0.2">
      <c r="A23" s="2">
        <v>8.5</v>
      </c>
      <c r="B23" s="236">
        <v>8</v>
      </c>
      <c r="C23" s="43">
        <f t="shared" si="26"/>
        <v>9.9999999999999992E-2</v>
      </c>
      <c r="D23" s="253">
        <f t="shared" si="29"/>
        <v>-0.72250000000000003</v>
      </c>
      <c r="E23" s="108">
        <f t="shared" si="30"/>
        <v>0.57799999999999996</v>
      </c>
      <c r="F23" s="253">
        <f t="shared" si="31"/>
        <v>-0.36125000000000007</v>
      </c>
      <c r="G23" s="99">
        <f t="shared" si="32"/>
        <v>0.28899999999999998</v>
      </c>
      <c r="H23" s="253">
        <v>-4.42</v>
      </c>
      <c r="I23" s="108">
        <v>5.99</v>
      </c>
      <c r="J23" s="6">
        <f t="shared" si="33"/>
        <v>-9.18</v>
      </c>
      <c r="K23" s="99">
        <f t="shared" si="33"/>
        <v>11.638500000000001</v>
      </c>
      <c r="L23" s="167" t="s">
        <v>102</v>
      </c>
      <c r="M23" s="167" t="s">
        <v>102</v>
      </c>
      <c r="N23" s="236">
        <v>0.31</v>
      </c>
      <c r="O23" s="297">
        <v>7.5</v>
      </c>
      <c r="P23" s="315">
        <f t="shared" si="34"/>
        <v>0.49599999999999994</v>
      </c>
      <c r="Q23" s="152">
        <f t="shared" si="27"/>
        <v>0.49599999999999994</v>
      </c>
      <c r="R23" s="195">
        <f t="shared" si="41"/>
        <v>5.1875</v>
      </c>
      <c r="S23" s="105">
        <f>B23-1.5-0.625/2-0.5</f>
        <v>5.6875</v>
      </c>
      <c r="T23" s="39">
        <f t="shared" si="35"/>
        <v>7.9678714859437744E-3</v>
      </c>
      <c r="U23" s="115">
        <f t="shared" si="36"/>
        <v>7.2673992673992667E-3</v>
      </c>
      <c r="V23" s="164"/>
      <c r="W23" s="253">
        <f t="shared" si="3"/>
        <v>10.854923529411765</v>
      </c>
      <c r="X23" s="108">
        <f t="shared" si="4"/>
        <v>11.970923529411765</v>
      </c>
      <c r="Y23" s="253">
        <f t="shared" si="5"/>
        <v>10.764476470588233</v>
      </c>
      <c r="Z23" s="99">
        <f t="shared" si="6"/>
        <v>11.880476470588235</v>
      </c>
      <c r="AA23" s="253">
        <f t="shared" si="7"/>
        <v>10.927281176470586</v>
      </c>
      <c r="AB23" s="108">
        <f t="shared" si="8"/>
        <v>12.043281176470588</v>
      </c>
      <c r="AC23" s="3">
        <f t="shared" si="9"/>
        <v>8.5</v>
      </c>
      <c r="AD23" s="246">
        <f t="shared" si="10"/>
        <v>8</v>
      </c>
      <c r="AE23" s="5">
        <f t="shared" si="11"/>
        <v>-9.18</v>
      </c>
      <c r="AF23" s="105">
        <f t="shared" si="12"/>
        <v>11.638500000000001</v>
      </c>
      <c r="AG23" s="201">
        <v>67</v>
      </c>
      <c r="AH23" s="32">
        <f t="shared" si="13"/>
        <v>0.33232</v>
      </c>
      <c r="AI23" s="218" t="s">
        <v>32</v>
      </c>
      <c r="AJ23" s="43">
        <f t="shared" si="42"/>
        <v>0.46499999999999997</v>
      </c>
      <c r="AK23" s="43">
        <f t="shared" si="15"/>
        <v>9.6874999999999999E-3</v>
      </c>
      <c r="AL23" s="272" t="str">
        <f t="shared" si="16"/>
        <v>#5 @ 7.5</v>
      </c>
      <c r="AN23" s="2">
        <f t="shared" si="17"/>
        <v>8.5</v>
      </c>
      <c r="AO23" s="246">
        <f t="shared" si="18"/>
        <v>8</v>
      </c>
      <c r="AP23" s="171" t="str">
        <f t="shared" si="19"/>
        <v>#5 @ 7.5</v>
      </c>
      <c r="AQ23" s="169" t="str">
        <f t="shared" si="43"/>
        <v>#5 @ 8</v>
      </c>
      <c r="AR23" s="50">
        <f t="shared" si="44"/>
        <v>-9.18</v>
      </c>
      <c r="AS23" s="111">
        <f t="shared" si="45"/>
        <v>11.638500000000001</v>
      </c>
      <c r="AT23" s="50">
        <f t="shared" si="39"/>
        <v>-10.764476470588233</v>
      </c>
      <c r="AU23" s="111">
        <f t="shared" si="46"/>
        <v>11.880476470588235</v>
      </c>
      <c r="AW23" s="50">
        <f t="shared" si="21"/>
        <v>-9.18</v>
      </c>
      <c r="AX23" s="111">
        <f t="shared" si="22"/>
        <v>11.638500000000001</v>
      </c>
      <c r="AY23" s="50">
        <f t="shared" si="23"/>
        <v>10.854923529411765</v>
      </c>
      <c r="AZ23" s="111">
        <f t="shared" si="24"/>
        <v>11.970923529411765</v>
      </c>
      <c r="BA23" s="156">
        <f t="shared" si="28"/>
        <v>1.182453543508907</v>
      </c>
      <c r="BB23" s="155">
        <f t="shared" si="25"/>
        <v>1.0285624031801146</v>
      </c>
    </row>
    <row r="24" spans="1:55" x14ac:dyDescent="0.2">
      <c r="A24" s="8">
        <v>8.75</v>
      </c>
      <c r="B24" s="238">
        <v>8</v>
      </c>
      <c r="C24" s="44">
        <f t="shared" si="26"/>
        <v>9.9999999999999992E-2</v>
      </c>
      <c r="D24" s="61">
        <f t="shared" si="29"/>
        <v>-0.765625</v>
      </c>
      <c r="E24" s="110">
        <f t="shared" si="30"/>
        <v>0.61250000000000004</v>
      </c>
      <c r="F24" s="61">
        <f t="shared" si="31"/>
        <v>-0.38281250000000006</v>
      </c>
      <c r="G24" s="101">
        <f t="shared" si="32"/>
        <v>0.30625000000000002</v>
      </c>
      <c r="H24" s="61">
        <v>-4.5</v>
      </c>
      <c r="I24" s="110">
        <v>6.14</v>
      </c>
      <c r="J24" s="12">
        <f t="shared" si="33"/>
        <v>-9.40625</v>
      </c>
      <c r="K24" s="101">
        <f t="shared" si="33"/>
        <v>11.969999999999999</v>
      </c>
      <c r="L24" s="168" t="s">
        <v>33</v>
      </c>
      <c r="M24" s="168" t="s">
        <v>102</v>
      </c>
      <c r="N24" s="238">
        <v>0.31</v>
      </c>
      <c r="O24" s="298">
        <v>7</v>
      </c>
      <c r="P24" s="316">
        <f t="shared" si="34"/>
        <v>0.53142857142857136</v>
      </c>
      <c r="Q24" s="192">
        <f t="shared" si="27"/>
        <v>0.53142857142857136</v>
      </c>
      <c r="R24" s="257">
        <f t="shared" si="41"/>
        <v>5.1875</v>
      </c>
      <c r="S24" s="107">
        <f>B24-1.5-0.625/2-0.5</f>
        <v>5.6875</v>
      </c>
      <c r="T24" s="41">
        <f t="shared" si="35"/>
        <v>8.5370051635111858E-3</v>
      </c>
      <c r="U24" s="117">
        <f t="shared" si="36"/>
        <v>7.7864992150706424E-3</v>
      </c>
      <c r="V24" s="164"/>
      <c r="W24" s="61">
        <f t="shared" si="3"/>
        <v>11.574899459783913</v>
      </c>
      <c r="X24" s="110">
        <f t="shared" si="4"/>
        <v>12.770613745498197</v>
      </c>
      <c r="Y24" s="61">
        <f t="shared" si="5"/>
        <v>11.471069927971186</v>
      </c>
      <c r="Z24" s="101">
        <f t="shared" si="6"/>
        <v>12.666784213685473</v>
      </c>
      <c r="AA24" s="61">
        <f t="shared" si="7"/>
        <v>11.657963085234092</v>
      </c>
      <c r="AB24" s="110">
        <f t="shared" si="8"/>
        <v>12.853677370948377</v>
      </c>
      <c r="AC24" s="9">
        <f t="shared" si="9"/>
        <v>8.75</v>
      </c>
      <c r="AD24" s="60">
        <f t="shared" si="10"/>
        <v>8</v>
      </c>
      <c r="AE24" s="11">
        <f t="shared" si="11"/>
        <v>-9.40625</v>
      </c>
      <c r="AF24" s="107">
        <f t="shared" si="12"/>
        <v>11.969999999999999</v>
      </c>
      <c r="AG24" s="245">
        <v>67</v>
      </c>
      <c r="AH24" s="34">
        <f t="shared" si="13"/>
        <v>0.35605714285714279</v>
      </c>
      <c r="AI24" s="219" t="s">
        <v>32</v>
      </c>
      <c r="AJ24" s="44">
        <f t="shared" si="42"/>
        <v>0.46499999999999997</v>
      </c>
      <c r="AK24" s="44">
        <f t="shared" si="15"/>
        <v>9.6874999999999999E-3</v>
      </c>
      <c r="AL24" s="273" t="str">
        <f t="shared" si="16"/>
        <v>#5 @ 7</v>
      </c>
      <c r="AN24" s="8">
        <f t="shared" si="17"/>
        <v>8.75</v>
      </c>
      <c r="AO24" s="60">
        <f t="shared" si="18"/>
        <v>8</v>
      </c>
      <c r="AP24" s="172" t="str">
        <f t="shared" si="19"/>
        <v>#5 @ 7</v>
      </c>
      <c r="AQ24" s="175" t="str">
        <f t="shared" si="43"/>
        <v>#5 @ 8</v>
      </c>
      <c r="AR24" s="52">
        <f t="shared" si="44"/>
        <v>-9.40625</v>
      </c>
      <c r="AS24" s="113">
        <f t="shared" si="45"/>
        <v>11.969999999999999</v>
      </c>
      <c r="AT24" s="50">
        <f t="shared" si="39"/>
        <v>-11.471069927971186</v>
      </c>
      <c r="AU24" s="113">
        <f t="shared" si="46"/>
        <v>12.666784213685473</v>
      </c>
      <c r="AW24" s="61">
        <f t="shared" si="21"/>
        <v>-9.40625</v>
      </c>
      <c r="AX24" s="113">
        <f t="shared" si="22"/>
        <v>11.969999999999999</v>
      </c>
      <c r="AY24" s="61">
        <f t="shared" si="23"/>
        <v>11.574899459783913</v>
      </c>
      <c r="AZ24" s="113">
        <f t="shared" si="24"/>
        <v>12.770613745498197</v>
      </c>
      <c r="BA24" s="156">
        <f t="shared" si="28"/>
        <v>1.2305540953923095</v>
      </c>
      <c r="BB24" s="155">
        <f t="shared" si="25"/>
        <v>1.0668850246865662</v>
      </c>
    </row>
    <row r="25" spans="1:55" x14ac:dyDescent="0.2">
      <c r="A25" s="2">
        <v>9</v>
      </c>
      <c r="B25" s="236">
        <v>8.25</v>
      </c>
      <c r="C25" s="4">
        <f t="shared" si="26"/>
        <v>0.10312499999999999</v>
      </c>
      <c r="D25" s="253">
        <f t="shared" si="29"/>
        <v>-0.83531250000000001</v>
      </c>
      <c r="E25" s="108">
        <f t="shared" si="30"/>
        <v>0.66825000000000001</v>
      </c>
      <c r="F25" s="253">
        <f t="shared" si="31"/>
        <v>-0.40500000000000008</v>
      </c>
      <c r="G25" s="99">
        <f t="shared" si="32"/>
        <v>0.32400000000000001</v>
      </c>
      <c r="H25" s="253">
        <v>-4.5599999999999996</v>
      </c>
      <c r="I25" s="108">
        <v>6.29</v>
      </c>
      <c r="J25" s="6">
        <f t="shared" si="33"/>
        <v>-9.6316406249999993</v>
      </c>
      <c r="K25" s="99">
        <f t="shared" si="33"/>
        <v>12.3288125</v>
      </c>
      <c r="L25" s="167" t="s">
        <v>33</v>
      </c>
      <c r="M25" s="167" t="s">
        <v>101</v>
      </c>
      <c r="N25" s="236">
        <v>0.31</v>
      </c>
      <c r="O25" s="297">
        <v>7</v>
      </c>
      <c r="P25" s="315">
        <f t="shared" si="34"/>
        <v>0.53142857142857136</v>
      </c>
      <c r="Q25" s="152">
        <f t="shared" si="27"/>
        <v>0.53142857142857136</v>
      </c>
      <c r="R25" s="195">
        <f t="shared" si="41"/>
        <v>5.4375</v>
      </c>
      <c r="S25" s="122">
        <f>B25-1.5-0.625/2-0.5</f>
        <v>5.9375</v>
      </c>
      <c r="T25" s="39">
        <f t="shared" si="35"/>
        <v>8.1444991789819364E-3</v>
      </c>
      <c r="U25" s="115">
        <f t="shared" si="36"/>
        <v>7.458646616541352E-3</v>
      </c>
      <c r="V25" s="164"/>
      <c r="W25" s="253">
        <f t="shared" si="3"/>
        <v>12.172756602641057</v>
      </c>
      <c r="X25" s="108">
        <f t="shared" si="4"/>
        <v>13.368470888355342</v>
      </c>
      <c r="Y25" s="253">
        <f t="shared" si="5"/>
        <v>12.068927070828328</v>
      </c>
      <c r="Z25" s="99">
        <f t="shared" si="6"/>
        <v>13.264641356542613</v>
      </c>
      <c r="AA25" s="253">
        <f t="shared" si="7"/>
        <v>12.255820228091237</v>
      </c>
      <c r="AB25" s="108">
        <f t="shared" si="8"/>
        <v>13.451534513805521</v>
      </c>
      <c r="AC25" s="3">
        <f t="shared" si="9"/>
        <v>9</v>
      </c>
      <c r="AD25" s="246">
        <f t="shared" si="10"/>
        <v>8.25</v>
      </c>
      <c r="AE25" s="5">
        <f t="shared" si="11"/>
        <v>-9.6316406249999993</v>
      </c>
      <c r="AF25" s="105">
        <f t="shared" si="12"/>
        <v>12.3288125</v>
      </c>
      <c r="AG25" s="201">
        <v>67</v>
      </c>
      <c r="AH25" s="32">
        <f t="shared" si="13"/>
        <v>0.35605714285714279</v>
      </c>
      <c r="AI25" s="218" t="s">
        <v>32</v>
      </c>
      <c r="AJ25" s="43">
        <f t="shared" si="42"/>
        <v>0.46499999999999997</v>
      </c>
      <c r="AK25" s="43">
        <f t="shared" si="15"/>
        <v>9.3939393939393937E-3</v>
      </c>
      <c r="AL25" s="272" t="str">
        <f t="shared" si="16"/>
        <v>#5 @ 7</v>
      </c>
      <c r="AN25" s="2">
        <f t="shared" si="17"/>
        <v>9</v>
      </c>
      <c r="AO25" s="246">
        <f t="shared" si="18"/>
        <v>8.25</v>
      </c>
      <c r="AP25" s="171" t="str">
        <f t="shared" si="19"/>
        <v>#5 @ 7</v>
      </c>
      <c r="AQ25" s="169" t="str">
        <f t="shared" si="43"/>
        <v>#5 @ 8</v>
      </c>
      <c r="AR25" s="6">
        <f t="shared" si="44"/>
        <v>-9.6316406249999993</v>
      </c>
      <c r="AS25" s="111">
        <f t="shared" si="45"/>
        <v>12.3288125</v>
      </c>
      <c r="AT25" s="51">
        <f t="shared" si="39"/>
        <v>-12.068927070828328</v>
      </c>
      <c r="AU25" s="111">
        <f t="shared" si="46"/>
        <v>13.264641356542613</v>
      </c>
      <c r="AW25" s="50">
        <f t="shared" si="21"/>
        <v>-9.6316406249999993</v>
      </c>
      <c r="AX25" s="111">
        <f t="shared" si="22"/>
        <v>12.3288125</v>
      </c>
      <c r="AY25" s="50">
        <f t="shared" si="23"/>
        <v>12.172756602641057</v>
      </c>
      <c r="AZ25" s="111">
        <f t="shared" si="24"/>
        <v>13.368470888355342</v>
      </c>
      <c r="BA25" s="156">
        <f t="shared" si="28"/>
        <v>1.2638300240402769</v>
      </c>
      <c r="BB25" s="155">
        <f t="shared" si="25"/>
        <v>1.0843275366833052</v>
      </c>
    </row>
    <row r="26" spans="1:55" x14ac:dyDescent="0.2">
      <c r="A26" s="2">
        <v>9.25</v>
      </c>
      <c r="B26" s="236">
        <v>8.25</v>
      </c>
      <c r="C26" s="4">
        <f t="shared" si="26"/>
        <v>0.10312499999999999</v>
      </c>
      <c r="D26" s="253">
        <f t="shared" si="29"/>
        <v>-0.88236328125000008</v>
      </c>
      <c r="E26" s="108">
        <f t="shared" si="30"/>
        <v>0.70589062499999999</v>
      </c>
      <c r="F26" s="253">
        <f t="shared" si="31"/>
        <v>-0.4278125000000001</v>
      </c>
      <c r="G26" s="99">
        <f t="shared" si="32"/>
        <v>0.34225</v>
      </c>
      <c r="H26" s="253">
        <v>-4.66</v>
      </c>
      <c r="I26" s="108">
        <v>6.44</v>
      </c>
      <c r="J26" s="6">
        <f t="shared" si="33"/>
        <v>-9.8996728515625012</v>
      </c>
      <c r="K26" s="99">
        <f t="shared" si="33"/>
        <v>12.66573828125</v>
      </c>
      <c r="L26" s="167" t="s">
        <v>33</v>
      </c>
      <c r="M26" s="167" t="s">
        <v>101</v>
      </c>
      <c r="N26" s="236">
        <v>0.31</v>
      </c>
      <c r="O26" s="297">
        <v>7</v>
      </c>
      <c r="P26" s="315">
        <f t="shared" si="34"/>
        <v>0.53142857142857136</v>
      </c>
      <c r="Q26" s="152">
        <f t="shared" si="27"/>
        <v>0.53142857142857136</v>
      </c>
      <c r="R26" s="195">
        <f t="shared" si="41"/>
        <v>5.4375</v>
      </c>
      <c r="S26" s="122">
        <f t="shared" ref="S26:S37" si="47">B26-1.5-0.625/2-0.5</f>
        <v>5.9375</v>
      </c>
      <c r="T26" s="39">
        <f t="shared" si="35"/>
        <v>8.1444991789819364E-3</v>
      </c>
      <c r="U26" s="115">
        <f t="shared" si="36"/>
        <v>7.458646616541352E-3</v>
      </c>
      <c r="V26" s="164"/>
      <c r="W26" s="253">
        <f t="shared" si="3"/>
        <v>12.172756602641057</v>
      </c>
      <c r="X26" s="108">
        <f t="shared" si="4"/>
        <v>13.368470888355342</v>
      </c>
      <c r="Y26" s="253">
        <f t="shared" si="5"/>
        <v>12.068927070828328</v>
      </c>
      <c r="Z26" s="99">
        <f t="shared" si="6"/>
        <v>13.264641356542613</v>
      </c>
      <c r="AA26" s="253">
        <f t="shared" si="7"/>
        <v>12.255820228091237</v>
      </c>
      <c r="AB26" s="108">
        <f t="shared" si="8"/>
        <v>13.451534513805521</v>
      </c>
      <c r="AC26" s="3">
        <f t="shared" si="9"/>
        <v>9.25</v>
      </c>
      <c r="AD26" s="246">
        <f t="shared" si="10"/>
        <v>8.25</v>
      </c>
      <c r="AE26" s="5">
        <f t="shared" si="11"/>
        <v>-9.8996728515625012</v>
      </c>
      <c r="AF26" s="105">
        <f t="shared" si="12"/>
        <v>12.66573828125</v>
      </c>
      <c r="AG26" s="201">
        <v>67</v>
      </c>
      <c r="AH26" s="32">
        <f t="shared" si="13"/>
        <v>0.35605714285714279</v>
      </c>
      <c r="AI26" s="218" t="s">
        <v>32</v>
      </c>
      <c r="AJ26" s="43">
        <f t="shared" si="42"/>
        <v>0.46499999999999997</v>
      </c>
      <c r="AK26" s="43">
        <f t="shared" si="15"/>
        <v>9.3939393939393937E-3</v>
      </c>
      <c r="AL26" s="272" t="str">
        <f t="shared" si="16"/>
        <v>#5 @ 7</v>
      </c>
      <c r="AN26" s="2">
        <f t="shared" si="17"/>
        <v>9.25</v>
      </c>
      <c r="AO26" s="246">
        <f t="shared" si="18"/>
        <v>8.25</v>
      </c>
      <c r="AP26" s="171" t="str">
        <f t="shared" si="19"/>
        <v>#5 @ 7</v>
      </c>
      <c r="AQ26" s="169" t="str">
        <f t="shared" si="43"/>
        <v>#5 @ 8</v>
      </c>
      <c r="AR26" s="6">
        <f t="shared" si="44"/>
        <v>-9.8996728515625012</v>
      </c>
      <c r="AS26" s="111">
        <f t="shared" si="45"/>
        <v>12.66573828125</v>
      </c>
      <c r="AT26" s="50">
        <f t="shared" si="39"/>
        <v>-12.068927070828328</v>
      </c>
      <c r="AU26" s="111">
        <f t="shared" si="46"/>
        <v>13.264641356542613</v>
      </c>
      <c r="AW26" s="50">
        <f t="shared" si="21"/>
        <v>-9.8996728515625012</v>
      </c>
      <c r="AX26" s="111">
        <f t="shared" si="22"/>
        <v>12.66573828125</v>
      </c>
      <c r="AY26" s="50">
        <f t="shared" si="23"/>
        <v>12.172756602641057</v>
      </c>
      <c r="AZ26" s="111">
        <f t="shared" si="24"/>
        <v>13.368470888355342</v>
      </c>
      <c r="BA26" s="156">
        <f t="shared" si="28"/>
        <v>1.2296120068977618</v>
      </c>
      <c r="BB26" s="155">
        <f t="shared" si="25"/>
        <v>1.0554829565794555</v>
      </c>
    </row>
    <row r="27" spans="1:55" x14ac:dyDescent="0.2">
      <c r="A27" s="2">
        <v>9.5</v>
      </c>
      <c r="B27" s="236">
        <v>8.5</v>
      </c>
      <c r="C27" s="4">
        <f t="shared" si="26"/>
        <v>0.10625</v>
      </c>
      <c r="D27" s="253">
        <f t="shared" si="29"/>
        <v>-0.95890625000000007</v>
      </c>
      <c r="E27" s="108">
        <f t="shared" si="30"/>
        <v>0.76712500000000006</v>
      </c>
      <c r="F27" s="253">
        <f t="shared" si="31"/>
        <v>-0.4512500000000001</v>
      </c>
      <c r="G27" s="99">
        <f t="shared" si="32"/>
        <v>0.36099999999999999</v>
      </c>
      <c r="H27" s="253">
        <v>-4.93</v>
      </c>
      <c r="I27" s="108">
        <v>6.59</v>
      </c>
      <c r="J27" s="6">
        <f t="shared" si="33"/>
        <v>-10.5030078125</v>
      </c>
      <c r="K27" s="99">
        <f t="shared" si="33"/>
        <v>13.03290625</v>
      </c>
      <c r="L27" s="167" t="s">
        <v>33</v>
      </c>
      <c r="M27" s="167" t="s">
        <v>101</v>
      </c>
      <c r="N27" s="236">
        <v>0.31</v>
      </c>
      <c r="O27" s="297">
        <v>7</v>
      </c>
      <c r="P27" s="315">
        <f t="shared" si="34"/>
        <v>0.53142857142857136</v>
      </c>
      <c r="Q27" s="152">
        <f t="shared" si="27"/>
        <v>0.53142857142857136</v>
      </c>
      <c r="R27" s="195">
        <f t="shared" si="41"/>
        <v>5.6875</v>
      </c>
      <c r="S27" s="122">
        <f t="shared" si="47"/>
        <v>6.1875</v>
      </c>
      <c r="T27" s="39">
        <f t="shared" si="35"/>
        <v>7.7864992150706424E-3</v>
      </c>
      <c r="U27" s="115">
        <f t="shared" si="36"/>
        <v>7.1572871572871564E-3</v>
      </c>
      <c r="V27" s="164"/>
      <c r="W27" s="253">
        <f t="shared" si="3"/>
        <v>12.770613745498197</v>
      </c>
      <c r="X27" s="108">
        <f t="shared" si="4"/>
        <v>13.966328031212484</v>
      </c>
      <c r="Y27" s="253">
        <f t="shared" si="5"/>
        <v>12.666784213685473</v>
      </c>
      <c r="Z27" s="99">
        <f t="shared" si="6"/>
        <v>13.862498499399758</v>
      </c>
      <c r="AA27" s="253">
        <f t="shared" si="7"/>
        <v>12.853677370948377</v>
      </c>
      <c r="AB27" s="108">
        <f t="shared" si="8"/>
        <v>14.049391656662664</v>
      </c>
      <c r="AC27" s="3">
        <f t="shared" si="9"/>
        <v>9.5</v>
      </c>
      <c r="AD27" s="246">
        <f t="shared" si="10"/>
        <v>8.5</v>
      </c>
      <c r="AE27" s="5">
        <f t="shared" si="11"/>
        <v>-10.5030078125</v>
      </c>
      <c r="AF27" s="105">
        <f t="shared" si="12"/>
        <v>13.03290625</v>
      </c>
      <c r="AG27" s="201">
        <v>67</v>
      </c>
      <c r="AH27" s="32">
        <f t="shared" si="13"/>
        <v>0.35605714285714279</v>
      </c>
      <c r="AI27" s="218" t="s">
        <v>32</v>
      </c>
      <c r="AJ27" s="43">
        <f t="shared" si="42"/>
        <v>0.46499999999999997</v>
      </c>
      <c r="AK27" s="43">
        <f t="shared" si="15"/>
        <v>9.1176470588235289E-3</v>
      </c>
      <c r="AL27" s="272" t="str">
        <f t="shared" si="16"/>
        <v>#5 @ 7</v>
      </c>
      <c r="AN27" s="2">
        <f t="shared" si="17"/>
        <v>9.5</v>
      </c>
      <c r="AO27" s="246">
        <f t="shared" si="18"/>
        <v>8.5</v>
      </c>
      <c r="AP27" s="171" t="str">
        <f t="shared" si="19"/>
        <v>#5 @ 7</v>
      </c>
      <c r="AQ27" s="169" t="str">
        <f t="shared" si="43"/>
        <v>#5 @ 8</v>
      </c>
      <c r="AR27" s="6">
        <f t="shared" si="44"/>
        <v>-10.5030078125</v>
      </c>
      <c r="AS27" s="111">
        <f t="shared" si="45"/>
        <v>13.03290625</v>
      </c>
      <c r="AT27" s="50">
        <f t="shared" si="39"/>
        <v>-12.666784213685473</v>
      </c>
      <c r="AU27" s="111">
        <f t="shared" si="46"/>
        <v>13.862498499399758</v>
      </c>
      <c r="AW27" s="50">
        <f t="shared" si="21"/>
        <v>-10.5030078125</v>
      </c>
      <c r="AX27" s="111">
        <f t="shared" si="22"/>
        <v>13.03290625</v>
      </c>
      <c r="AY27" s="50">
        <f t="shared" si="23"/>
        <v>12.770613745498197</v>
      </c>
      <c r="AZ27" s="111">
        <f t="shared" si="24"/>
        <v>13.966328031212484</v>
      </c>
      <c r="BA27" s="156">
        <f t="shared" si="28"/>
        <v>1.2159006232766427</v>
      </c>
      <c r="BB27" s="155">
        <f t="shared" si="25"/>
        <v>1.0716203863748719</v>
      </c>
    </row>
    <row r="28" spans="1:55" x14ac:dyDescent="0.2">
      <c r="A28" s="2">
        <v>9.75</v>
      </c>
      <c r="B28" s="236">
        <v>8.5</v>
      </c>
      <c r="C28" s="4">
        <f t="shared" si="26"/>
        <v>0.10625</v>
      </c>
      <c r="D28" s="253">
        <f t="shared" si="29"/>
        <v>-1.0100390625</v>
      </c>
      <c r="E28" s="108">
        <f t="shared" si="30"/>
        <v>0.80803125000000009</v>
      </c>
      <c r="F28" s="253">
        <f t="shared" si="31"/>
        <v>-0.47531250000000008</v>
      </c>
      <c r="G28" s="99">
        <f t="shared" si="32"/>
        <v>0.38025000000000003</v>
      </c>
      <c r="H28" s="253">
        <v>-5.23</v>
      </c>
      <c r="I28" s="108">
        <v>6.74</v>
      </c>
      <c r="J28" s="6">
        <f t="shared" si="33"/>
        <v>-11.128017578125</v>
      </c>
      <c r="K28" s="99">
        <f t="shared" si="33"/>
        <v>13.375414062500001</v>
      </c>
      <c r="L28" s="167" t="s">
        <v>33</v>
      </c>
      <c r="M28" s="167" t="s">
        <v>101</v>
      </c>
      <c r="N28" s="236">
        <v>0.31</v>
      </c>
      <c r="O28" s="297">
        <v>7</v>
      </c>
      <c r="P28" s="316">
        <f t="shared" si="34"/>
        <v>0.53142857142857136</v>
      </c>
      <c r="Q28" s="192">
        <f t="shared" si="27"/>
        <v>0.53142857142857136</v>
      </c>
      <c r="R28" s="195">
        <f t="shared" si="41"/>
        <v>5.6875</v>
      </c>
      <c r="S28" s="270">
        <f t="shared" si="47"/>
        <v>6.1875</v>
      </c>
      <c r="T28" s="39">
        <f t="shared" si="35"/>
        <v>7.7864992150706424E-3</v>
      </c>
      <c r="U28" s="115">
        <f t="shared" si="36"/>
        <v>7.1572871572871564E-3</v>
      </c>
      <c r="V28" s="164"/>
      <c r="W28" s="253">
        <f t="shared" si="3"/>
        <v>12.770613745498197</v>
      </c>
      <c r="X28" s="108">
        <f t="shared" si="4"/>
        <v>13.966328031212484</v>
      </c>
      <c r="Y28" s="253">
        <f t="shared" si="5"/>
        <v>12.666784213685473</v>
      </c>
      <c r="Z28" s="99">
        <f t="shared" si="6"/>
        <v>13.862498499399758</v>
      </c>
      <c r="AA28" s="253">
        <f t="shared" si="7"/>
        <v>12.853677370948377</v>
      </c>
      <c r="AB28" s="108">
        <f t="shared" si="8"/>
        <v>14.049391656662664</v>
      </c>
      <c r="AC28" s="3">
        <f t="shared" si="9"/>
        <v>9.75</v>
      </c>
      <c r="AD28" s="246">
        <f t="shared" si="10"/>
        <v>8.5</v>
      </c>
      <c r="AE28" s="5">
        <f t="shared" si="11"/>
        <v>-11.128017578125</v>
      </c>
      <c r="AF28" s="105">
        <f t="shared" si="12"/>
        <v>13.375414062500001</v>
      </c>
      <c r="AG28" s="201">
        <v>67</v>
      </c>
      <c r="AH28" s="32">
        <f t="shared" si="13"/>
        <v>0.35605714285714279</v>
      </c>
      <c r="AI28" s="218" t="s">
        <v>32</v>
      </c>
      <c r="AJ28" s="43">
        <f t="shared" si="42"/>
        <v>0.46499999999999997</v>
      </c>
      <c r="AK28" s="43">
        <f t="shared" si="15"/>
        <v>9.1176470588235289E-3</v>
      </c>
      <c r="AL28" s="272" t="str">
        <f t="shared" si="16"/>
        <v>#5 @ 7</v>
      </c>
      <c r="AN28" s="2">
        <f t="shared" si="17"/>
        <v>9.75</v>
      </c>
      <c r="AO28" s="246">
        <f t="shared" si="18"/>
        <v>8.5</v>
      </c>
      <c r="AP28" s="171" t="str">
        <f t="shared" si="19"/>
        <v>#5 @ 7</v>
      </c>
      <c r="AQ28" s="169" t="str">
        <f t="shared" si="43"/>
        <v>#5 @ 8</v>
      </c>
      <c r="AR28" s="6">
        <f t="shared" si="44"/>
        <v>-11.128017578125</v>
      </c>
      <c r="AS28" s="111">
        <f t="shared" si="45"/>
        <v>13.375414062500001</v>
      </c>
      <c r="AT28" s="52">
        <f t="shared" si="39"/>
        <v>-12.666784213685473</v>
      </c>
      <c r="AU28" s="111">
        <f t="shared" si="46"/>
        <v>13.862498499399758</v>
      </c>
      <c r="AW28" s="61">
        <f t="shared" si="21"/>
        <v>-11.128017578125</v>
      </c>
      <c r="AX28" s="113">
        <f t="shared" si="22"/>
        <v>13.375414062500001</v>
      </c>
      <c r="AY28" s="61">
        <f t="shared" si="23"/>
        <v>12.770613745498197</v>
      </c>
      <c r="AZ28" s="113">
        <f t="shared" si="24"/>
        <v>13.966328031212484</v>
      </c>
      <c r="BA28" s="156">
        <f t="shared" si="28"/>
        <v>1.1476090557766683</v>
      </c>
      <c r="BB28" s="155">
        <f t="shared" si="25"/>
        <v>1.0441791159474607</v>
      </c>
    </row>
    <row r="29" spans="1:55" x14ac:dyDescent="0.2">
      <c r="A29" s="17">
        <v>10</v>
      </c>
      <c r="B29" s="237">
        <v>8.5</v>
      </c>
      <c r="C29" s="42">
        <f t="shared" si="26"/>
        <v>0.10625</v>
      </c>
      <c r="D29" s="255">
        <f t="shared" si="29"/>
        <v>-1.0625</v>
      </c>
      <c r="E29" s="109">
        <f t="shared" si="30"/>
        <v>0.85000000000000009</v>
      </c>
      <c r="F29" s="255">
        <f t="shared" si="31"/>
        <v>-0.50000000000000011</v>
      </c>
      <c r="G29" s="100">
        <f t="shared" si="32"/>
        <v>0.4</v>
      </c>
      <c r="H29" s="255">
        <v>-5.55</v>
      </c>
      <c r="I29" s="109">
        <v>6.89</v>
      </c>
      <c r="J29" s="21">
        <f t="shared" si="33"/>
        <v>-11.790625</v>
      </c>
      <c r="K29" s="100">
        <f t="shared" si="33"/>
        <v>13.719999999999999</v>
      </c>
      <c r="L29" s="173" t="s">
        <v>33</v>
      </c>
      <c r="M29" s="173" t="s">
        <v>101</v>
      </c>
      <c r="N29" s="237">
        <v>0.31</v>
      </c>
      <c r="O29" s="317">
        <v>7</v>
      </c>
      <c r="P29" s="315">
        <f t="shared" si="34"/>
        <v>0.53142857142857136</v>
      </c>
      <c r="Q29" s="152">
        <f t="shared" si="27"/>
        <v>0.53142857142857136</v>
      </c>
      <c r="R29" s="256">
        <f t="shared" si="41"/>
        <v>5.6875</v>
      </c>
      <c r="S29" s="122">
        <f t="shared" si="47"/>
        <v>6.1875</v>
      </c>
      <c r="T29" s="40">
        <f t="shared" si="35"/>
        <v>7.7864992150706424E-3</v>
      </c>
      <c r="U29" s="116">
        <f t="shared" si="36"/>
        <v>7.1572871572871564E-3</v>
      </c>
      <c r="V29" s="164"/>
      <c r="W29" s="255">
        <f t="shared" si="3"/>
        <v>12.770613745498197</v>
      </c>
      <c r="X29" s="109">
        <f t="shared" si="4"/>
        <v>13.966328031212484</v>
      </c>
      <c r="Y29" s="255">
        <f t="shared" si="5"/>
        <v>12.666784213685473</v>
      </c>
      <c r="Z29" s="100">
        <f t="shared" si="6"/>
        <v>13.862498499399758</v>
      </c>
      <c r="AA29" s="255">
        <f t="shared" si="7"/>
        <v>12.853677370948377</v>
      </c>
      <c r="AB29" s="109">
        <f t="shared" si="8"/>
        <v>14.049391656662664</v>
      </c>
      <c r="AC29" s="18">
        <f t="shared" si="9"/>
        <v>10</v>
      </c>
      <c r="AD29" s="247">
        <f t="shared" si="10"/>
        <v>8.5</v>
      </c>
      <c r="AE29" s="20">
        <f t="shared" si="11"/>
        <v>-11.790625</v>
      </c>
      <c r="AF29" s="106">
        <f t="shared" si="12"/>
        <v>13.719999999999999</v>
      </c>
      <c r="AG29" s="244">
        <v>67</v>
      </c>
      <c r="AH29" s="33">
        <f t="shared" si="13"/>
        <v>0.35605714285714279</v>
      </c>
      <c r="AI29" s="220" t="s">
        <v>32</v>
      </c>
      <c r="AJ29" s="42">
        <f t="shared" si="42"/>
        <v>0.46499999999999997</v>
      </c>
      <c r="AK29" s="42">
        <f t="shared" si="15"/>
        <v>9.1176470588235289E-3</v>
      </c>
      <c r="AL29" s="274" t="str">
        <f t="shared" si="16"/>
        <v>#5 @ 7</v>
      </c>
      <c r="AN29" s="17">
        <f t="shared" si="17"/>
        <v>10</v>
      </c>
      <c r="AO29" s="247">
        <f t="shared" si="18"/>
        <v>8.5</v>
      </c>
      <c r="AP29" s="170" t="str">
        <f t="shared" si="19"/>
        <v>#5 @ 7</v>
      </c>
      <c r="AQ29" s="174" t="str">
        <f t="shared" si="43"/>
        <v>#5 @ 8</v>
      </c>
      <c r="AR29" s="51">
        <f t="shared" si="44"/>
        <v>-11.790625</v>
      </c>
      <c r="AS29" s="112">
        <f t="shared" si="45"/>
        <v>13.719999999999999</v>
      </c>
      <c r="AT29" s="50">
        <f t="shared" si="39"/>
        <v>-12.666784213685473</v>
      </c>
      <c r="AU29" s="112">
        <f t="shared" si="46"/>
        <v>13.862498499399758</v>
      </c>
      <c r="AW29" s="50">
        <f t="shared" si="21"/>
        <v>-11.790625</v>
      </c>
      <c r="AX29" s="111">
        <f t="shared" si="22"/>
        <v>13.719999999999999</v>
      </c>
      <c r="AY29" s="50">
        <f t="shared" si="23"/>
        <v>12.770613745498197</v>
      </c>
      <c r="AZ29" s="111">
        <f t="shared" si="24"/>
        <v>13.966328031212484</v>
      </c>
      <c r="BA29" s="156">
        <f t="shared" si="28"/>
        <v>1.0831159285871781</v>
      </c>
      <c r="BB29" s="155">
        <f t="shared" si="25"/>
        <v>1.0179539381350209</v>
      </c>
    </row>
    <row r="30" spans="1:55" x14ac:dyDescent="0.2">
      <c r="A30" s="2">
        <v>10.25</v>
      </c>
      <c r="B30" s="236">
        <v>8.5</v>
      </c>
      <c r="C30" s="43">
        <f t="shared" si="26"/>
        <v>0.10625</v>
      </c>
      <c r="D30" s="253">
        <f t="shared" si="29"/>
        <v>-1.1162890625000002</v>
      </c>
      <c r="E30" s="108">
        <f t="shared" si="30"/>
        <v>0.89303125000000005</v>
      </c>
      <c r="F30" s="253">
        <f t="shared" si="31"/>
        <v>-0.52531250000000007</v>
      </c>
      <c r="G30" s="99">
        <f t="shared" si="32"/>
        <v>0.42025000000000001</v>
      </c>
      <c r="H30" s="253">
        <v>-5.87</v>
      </c>
      <c r="I30" s="108">
        <v>7.03</v>
      </c>
      <c r="J30" s="6">
        <f t="shared" si="33"/>
        <v>-12.455830078125</v>
      </c>
      <c r="K30" s="99">
        <f t="shared" si="33"/>
        <v>14.049164062500001</v>
      </c>
      <c r="L30" s="167" t="s">
        <v>101</v>
      </c>
      <c r="M30" s="167" t="s">
        <v>34</v>
      </c>
      <c r="N30" s="236">
        <v>0.31</v>
      </c>
      <c r="O30" s="297">
        <v>6.5</v>
      </c>
      <c r="P30" s="315">
        <f t="shared" si="34"/>
        <v>0.5723076923076923</v>
      </c>
      <c r="Q30" s="152">
        <f t="shared" si="27"/>
        <v>0.5723076923076923</v>
      </c>
      <c r="R30" s="195">
        <f t="shared" si="41"/>
        <v>5.6875</v>
      </c>
      <c r="S30" s="122">
        <f t="shared" si="47"/>
        <v>6.1875</v>
      </c>
      <c r="T30" s="39">
        <f t="shared" si="35"/>
        <v>8.3854606931530011E-3</v>
      </c>
      <c r="U30" s="115">
        <f t="shared" si="36"/>
        <v>7.7078477078477078E-3</v>
      </c>
      <c r="V30" s="164"/>
      <c r="W30" s="253">
        <f t="shared" si="3"/>
        <v>13.684158545074835</v>
      </c>
      <c r="X30" s="108">
        <f t="shared" si="4"/>
        <v>14.971850852767142</v>
      </c>
      <c r="Y30" s="253">
        <f t="shared" si="5"/>
        <v>13.563740863209189</v>
      </c>
      <c r="Z30" s="99">
        <f t="shared" si="6"/>
        <v>14.851433170901496</v>
      </c>
      <c r="AA30" s="253">
        <f t="shared" si="7"/>
        <v>13.780492690567351</v>
      </c>
      <c r="AB30" s="108">
        <f t="shared" si="8"/>
        <v>15.06818499825966</v>
      </c>
      <c r="AC30" s="3">
        <f t="shared" si="9"/>
        <v>10.25</v>
      </c>
      <c r="AD30" s="246">
        <f t="shared" si="10"/>
        <v>8.5</v>
      </c>
      <c r="AE30" s="5">
        <f t="shared" si="11"/>
        <v>-12.455830078125</v>
      </c>
      <c r="AF30" s="105">
        <f t="shared" si="12"/>
        <v>14.049164062500001</v>
      </c>
      <c r="AG30" s="201">
        <v>67</v>
      </c>
      <c r="AH30" s="32">
        <f t="shared" si="13"/>
        <v>0.38344615384615383</v>
      </c>
      <c r="AI30" s="218" t="s">
        <v>32</v>
      </c>
      <c r="AJ30" s="43">
        <f t="shared" si="42"/>
        <v>0.46499999999999997</v>
      </c>
      <c r="AK30" s="43">
        <f t="shared" si="15"/>
        <v>9.1176470588235289E-3</v>
      </c>
      <c r="AL30" s="272" t="str">
        <f t="shared" si="16"/>
        <v>#5 @ 6.5</v>
      </c>
      <c r="AN30" s="2">
        <f t="shared" si="17"/>
        <v>10.25</v>
      </c>
      <c r="AO30" s="246">
        <f t="shared" si="18"/>
        <v>8.5</v>
      </c>
      <c r="AP30" s="171" t="str">
        <f t="shared" si="19"/>
        <v>#5 @ 6.5</v>
      </c>
      <c r="AQ30" s="169" t="str">
        <f t="shared" si="43"/>
        <v>#5 @ 8</v>
      </c>
      <c r="AR30" s="50">
        <f t="shared" si="44"/>
        <v>-12.455830078125</v>
      </c>
      <c r="AS30" s="111">
        <f t="shared" si="45"/>
        <v>14.049164062500001</v>
      </c>
      <c r="AT30" s="50">
        <f t="shared" si="39"/>
        <v>-13.563740863209189</v>
      </c>
      <c r="AU30" s="111">
        <f t="shared" si="46"/>
        <v>14.851433170901496</v>
      </c>
      <c r="AW30" s="50">
        <f t="shared" si="21"/>
        <v>-12.455830078125</v>
      </c>
      <c r="AX30" s="111">
        <f t="shared" si="22"/>
        <v>14.049164062500001</v>
      </c>
      <c r="AY30" s="50">
        <f t="shared" si="23"/>
        <v>13.684158545074835</v>
      </c>
      <c r="AZ30" s="111">
        <f t="shared" si="24"/>
        <v>14.971850852767142</v>
      </c>
      <c r="BA30" s="156">
        <f t="shared" si="28"/>
        <v>1.0986147417912382</v>
      </c>
      <c r="BB30" s="155">
        <f t="shared" si="25"/>
        <v>1.0656755651910974</v>
      </c>
    </row>
    <row r="31" spans="1:55" x14ac:dyDescent="0.2">
      <c r="A31" s="2">
        <v>10.5</v>
      </c>
      <c r="B31" s="236">
        <v>8.75</v>
      </c>
      <c r="C31" s="43">
        <f t="shared" si="26"/>
        <v>0.10937499999999999</v>
      </c>
      <c r="D31" s="253">
        <f t="shared" si="29"/>
        <v>-1.205859375</v>
      </c>
      <c r="E31" s="108">
        <f t="shared" si="30"/>
        <v>0.96468749999999992</v>
      </c>
      <c r="F31" s="253">
        <f t="shared" si="31"/>
        <v>-0.55125000000000013</v>
      </c>
      <c r="G31" s="99">
        <f t="shared" si="32"/>
        <v>0.441</v>
      </c>
      <c r="H31" s="253">
        <v>-6.18</v>
      </c>
      <c r="I31" s="108">
        <v>7.17</v>
      </c>
      <c r="J31" s="6">
        <f t="shared" si="33"/>
        <v>-13.149199218749999</v>
      </c>
      <c r="K31" s="99">
        <f t="shared" si="33"/>
        <v>14.414859374999999</v>
      </c>
      <c r="L31" s="167" t="s">
        <v>101</v>
      </c>
      <c r="M31" s="167" t="s">
        <v>34</v>
      </c>
      <c r="N31" s="236">
        <v>0.31</v>
      </c>
      <c r="O31" s="297">
        <v>6.5</v>
      </c>
      <c r="P31" s="315">
        <f t="shared" si="34"/>
        <v>0.5723076923076923</v>
      </c>
      <c r="Q31" s="152">
        <f t="shared" si="27"/>
        <v>0.5723076923076923</v>
      </c>
      <c r="R31" s="195">
        <f t="shared" si="41"/>
        <v>5.9375</v>
      </c>
      <c r="S31" s="122">
        <f t="shared" si="47"/>
        <v>6.4375</v>
      </c>
      <c r="T31" s="39">
        <f t="shared" si="35"/>
        <v>8.0323886639676115E-3</v>
      </c>
      <c r="U31" s="115">
        <f t="shared" si="36"/>
        <v>7.4085138162808062E-3</v>
      </c>
      <c r="V31" s="164"/>
      <c r="W31" s="253">
        <f t="shared" si="3"/>
        <v>14.328004698920987</v>
      </c>
      <c r="X31" s="108">
        <f t="shared" si="4"/>
        <v>15.615697006613296</v>
      </c>
      <c r="Y31" s="253">
        <f t="shared" si="5"/>
        <v>14.207587017055344</v>
      </c>
      <c r="Z31" s="99">
        <f t="shared" si="6"/>
        <v>15.495279324747651</v>
      </c>
      <c r="AA31" s="253">
        <f t="shared" si="7"/>
        <v>14.424338844413507</v>
      </c>
      <c r="AB31" s="108">
        <f t="shared" si="8"/>
        <v>15.712031152105816</v>
      </c>
      <c r="AC31" s="3">
        <f t="shared" si="9"/>
        <v>10.5</v>
      </c>
      <c r="AD31" s="246">
        <f t="shared" si="10"/>
        <v>8.75</v>
      </c>
      <c r="AE31" s="5">
        <f t="shared" si="11"/>
        <v>-13.149199218749999</v>
      </c>
      <c r="AF31" s="105">
        <f t="shared" si="12"/>
        <v>14.414859374999999</v>
      </c>
      <c r="AG31" s="201">
        <v>67</v>
      </c>
      <c r="AH31" s="32">
        <f t="shared" si="13"/>
        <v>0.38344615384615383</v>
      </c>
      <c r="AI31" s="218" t="s">
        <v>32</v>
      </c>
      <c r="AJ31" s="43">
        <f t="shared" si="42"/>
        <v>0.46499999999999997</v>
      </c>
      <c r="AK31" s="43">
        <f t="shared" si="15"/>
        <v>8.8571428571428568E-3</v>
      </c>
      <c r="AL31" s="272" t="str">
        <f t="shared" si="16"/>
        <v>#5 @ 6.5</v>
      </c>
      <c r="AN31" s="2">
        <f t="shared" si="17"/>
        <v>10.5</v>
      </c>
      <c r="AO31" s="246">
        <f t="shared" si="18"/>
        <v>8.75</v>
      </c>
      <c r="AP31" s="171" t="str">
        <f t="shared" si="19"/>
        <v>#5 @ 6.5</v>
      </c>
      <c r="AQ31" s="169" t="str">
        <f t="shared" si="43"/>
        <v>#5 @ 8</v>
      </c>
      <c r="AR31" s="50">
        <f t="shared" si="44"/>
        <v>-13.149199218749999</v>
      </c>
      <c r="AS31" s="111">
        <f t="shared" si="45"/>
        <v>14.414859374999999</v>
      </c>
      <c r="AT31" s="50">
        <f t="shared" si="39"/>
        <v>-14.207587017055344</v>
      </c>
      <c r="AU31" s="111">
        <f t="shared" si="46"/>
        <v>15.495279324747651</v>
      </c>
      <c r="AW31" s="50">
        <f t="shared" si="21"/>
        <v>-13.149199218749999</v>
      </c>
      <c r="AX31" s="111">
        <f t="shared" si="22"/>
        <v>14.414859374999999</v>
      </c>
      <c r="AY31" s="50">
        <f t="shared" si="23"/>
        <v>14.328004698920987</v>
      </c>
      <c r="AZ31" s="111">
        <f t="shared" si="24"/>
        <v>15.615697006613296</v>
      </c>
      <c r="BA31" s="156">
        <f t="shared" si="28"/>
        <v>1.0896484615192443</v>
      </c>
      <c r="BB31" s="155">
        <f t="shared" si="25"/>
        <v>1.0833055391227704</v>
      </c>
    </row>
    <row r="32" spans="1:55" x14ac:dyDescent="0.2">
      <c r="A32" s="8">
        <v>10.75</v>
      </c>
      <c r="B32" s="238">
        <v>8.75</v>
      </c>
      <c r="C32" s="44">
        <f t="shared" si="26"/>
        <v>0.10937499999999999</v>
      </c>
      <c r="D32" s="61">
        <f t="shared" si="29"/>
        <v>-1.26396484375</v>
      </c>
      <c r="E32" s="110">
        <f t="shared" si="30"/>
        <v>1.0111718749999998</v>
      </c>
      <c r="F32" s="61">
        <f t="shared" si="31"/>
        <v>-0.57781250000000006</v>
      </c>
      <c r="G32" s="101">
        <f t="shared" si="32"/>
        <v>0.46224999999999999</v>
      </c>
      <c r="H32" s="61">
        <v>-6.49</v>
      </c>
      <c r="I32" s="110">
        <v>7.32</v>
      </c>
      <c r="J32" s="12">
        <f t="shared" si="33"/>
        <v>-13.8041748046875</v>
      </c>
      <c r="K32" s="101">
        <f t="shared" si="33"/>
        <v>14.767339843750001</v>
      </c>
      <c r="L32" s="168" t="s">
        <v>101</v>
      </c>
      <c r="M32" s="168" t="s">
        <v>34</v>
      </c>
      <c r="N32" s="238">
        <v>0.31</v>
      </c>
      <c r="O32" s="298">
        <v>6.5</v>
      </c>
      <c r="P32" s="316">
        <f t="shared" si="34"/>
        <v>0.5723076923076923</v>
      </c>
      <c r="Q32" s="192">
        <f t="shared" si="27"/>
        <v>0.5723076923076923</v>
      </c>
      <c r="R32" s="257">
        <f t="shared" si="41"/>
        <v>5.9375</v>
      </c>
      <c r="S32" s="270">
        <f t="shared" si="47"/>
        <v>6.4375</v>
      </c>
      <c r="T32" s="41">
        <f t="shared" si="35"/>
        <v>8.0323886639676115E-3</v>
      </c>
      <c r="U32" s="117">
        <f t="shared" si="36"/>
        <v>7.4085138162808062E-3</v>
      </c>
      <c r="V32" s="164"/>
      <c r="W32" s="61">
        <f t="shared" si="3"/>
        <v>14.328004698920987</v>
      </c>
      <c r="X32" s="110">
        <f t="shared" si="4"/>
        <v>15.615697006613296</v>
      </c>
      <c r="Y32" s="61">
        <f t="shared" si="5"/>
        <v>14.207587017055344</v>
      </c>
      <c r="Z32" s="101">
        <f t="shared" si="6"/>
        <v>15.495279324747651</v>
      </c>
      <c r="AA32" s="61">
        <f t="shared" si="7"/>
        <v>14.424338844413507</v>
      </c>
      <c r="AB32" s="110">
        <f t="shared" si="8"/>
        <v>15.712031152105816</v>
      </c>
      <c r="AC32" s="9">
        <f t="shared" si="9"/>
        <v>10.75</v>
      </c>
      <c r="AD32" s="60">
        <f t="shared" si="10"/>
        <v>8.75</v>
      </c>
      <c r="AE32" s="11">
        <f t="shared" si="11"/>
        <v>-13.8041748046875</v>
      </c>
      <c r="AF32" s="107">
        <f t="shared" si="12"/>
        <v>14.767339843750001</v>
      </c>
      <c r="AG32" s="245">
        <v>67</v>
      </c>
      <c r="AH32" s="34">
        <f t="shared" si="13"/>
        <v>0.38344615384615383</v>
      </c>
      <c r="AI32" s="219" t="s">
        <v>32</v>
      </c>
      <c r="AJ32" s="44">
        <f t="shared" si="42"/>
        <v>0.46499999999999997</v>
      </c>
      <c r="AK32" s="44">
        <f t="shared" si="15"/>
        <v>8.8571428571428568E-3</v>
      </c>
      <c r="AL32" s="273" t="str">
        <f t="shared" si="16"/>
        <v>#5 @ 6.5</v>
      </c>
      <c r="AN32" s="8">
        <f t="shared" si="17"/>
        <v>10.75</v>
      </c>
      <c r="AO32" s="60">
        <f t="shared" si="18"/>
        <v>8.75</v>
      </c>
      <c r="AP32" s="172" t="str">
        <f t="shared" si="19"/>
        <v>#5 @ 6.5</v>
      </c>
      <c r="AQ32" s="175" t="str">
        <f t="shared" si="43"/>
        <v>#5 @ 8</v>
      </c>
      <c r="AR32" s="52">
        <f t="shared" si="44"/>
        <v>-13.8041748046875</v>
      </c>
      <c r="AS32" s="113">
        <f t="shared" si="45"/>
        <v>14.767339843750001</v>
      </c>
      <c r="AT32" s="52">
        <f t="shared" si="39"/>
        <v>-14.207587017055344</v>
      </c>
      <c r="AU32" s="113">
        <f t="shared" si="46"/>
        <v>15.495279324747651</v>
      </c>
      <c r="AW32" s="61">
        <f t="shared" si="21"/>
        <v>-13.8041748046875</v>
      </c>
      <c r="AX32" s="113">
        <f t="shared" si="22"/>
        <v>14.767339843750001</v>
      </c>
      <c r="AY32" s="61">
        <f t="shared" si="23"/>
        <v>14.328004698920987</v>
      </c>
      <c r="AZ32" s="113">
        <f t="shared" si="24"/>
        <v>15.615697006613296</v>
      </c>
      <c r="BA32" s="156">
        <f t="shared" si="28"/>
        <v>1.0379472081196486</v>
      </c>
      <c r="BB32" s="155">
        <f t="shared" si="25"/>
        <v>1.0574482047436828</v>
      </c>
      <c r="BC32" s="141" t="s">
        <v>138</v>
      </c>
    </row>
    <row r="33" spans="1:55" x14ac:dyDescent="0.2">
      <c r="A33" s="2">
        <v>11</v>
      </c>
      <c r="B33" s="236">
        <v>9</v>
      </c>
      <c r="C33" s="42">
        <f t="shared" si="26"/>
        <v>0.11249999999999999</v>
      </c>
      <c r="D33" s="253">
        <f t="shared" si="29"/>
        <v>-1.3612499999999998</v>
      </c>
      <c r="E33" s="108">
        <f t="shared" si="30"/>
        <v>1.089</v>
      </c>
      <c r="F33" s="253">
        <f t="shared" si="31"/>
        <v>-0.60500000000000009</v>
      </c>
      <c r="G33" s="99">
        <f t="shared" si="32"/>
        <v>0.48399999999999999</v>
      </c>
      <c r="H33" s="253">
        <v>-6.79</v>
      </c>
      <c r="I33" s="108">
        <v>7.46</v>
      </c>
      <c r="J33" s="6">
        <f t="shared" si="33"/>
        <v>-14.491562500000001</v>
      </c>
      <c r="K33" s="99">
        <f t="shared" si="33"/>
        <v>15.142250000000001</v>
      </c>
      <c r="L33" s="167" t="s">
        <v>101</v>
      </c>
      <c r="M33" s="167" t="s">
        <v>34</v>
      </c>
      <c r="N33" s="236">
        <v>0.31</v>
      </c>
      <c r="O33" s="297">
        <v>6.5</v>
      </c>
      <c r="P33" s="315">
        <f t="shared" si="34"/>
        <v>0.5723076923076923</v>
      </c>
      <c r="Q33" s="152">
        <f t="shared" si="27"/>
        <v>0.5723076923076923</v>
      </c>
      <c r="R33" s="256">
        <f t="shared" si="41"/>
        <v>6.1875</v>
      </c>
      <c r="S33" s="122">
        <f t="shared" si="47"/>
        <v>6.6875</v>
      </c>
      <c r="T33" s="39">
        <f t="shared" si="35"/>
        <v>7.7078477078477078E-3</v>
      </c>
      <c r="U33" s="115">
        <f t="shared" si="36"/>
        <v>7.1315600287562902E-3</v>
      </c>
      <c r="V33" s="164"/>
      <c r="W33" s="253">
        <f t="shared" si="3"/>
        <v>14.971850852767142</v>
      </c>
      <c r="X33" s="108">
        <f t="shared" si="4"/>
        <v>16.259543160459451</v>
      </c>
      <c r="Y33" s="253">
        <f t="shared" si="5"/>
        <v>14.851433170901496</v>
      </c>
      <c r="Z33" s="99">
        <f t="shared" si="6"/>
        <v>16.139125478593805</v>
      </c>
      <c r="AA33" s="255">
        <f t="shared" si="7"/>
        <v>15.06818499825966</v>
      </c>
      <c r="AB33" s="109">
        <f t="shared" si="8"/>
        <v>16.355877305951967</v>
      </c>
      <c r="AC33" s="3">
        <f t="shared" si="9"/>
        <v>11</v>
      </c>
      <c r="AD33" s="246">
        <f t="shared" si="10"/>
        <v>9</v>
      </c>
      <c r="AE33" s="5">
        <f t="shared" si="11"/>
        <v>-14.491562500000001</v>
      </c>
      <c r="AF33" s="105">
        <f t="shared" si="12"/>
        <v>15.142250000000001</v>
      </c>
      <c r="AG33" s="279">
        <v>67</v>
      </c>
      <c r="AH33" s="32">
        <f t="shared" si="13"/>
        <v>0.38344615384615383</v>
      </c>
      <c r="AI33" s="220" t="s">
        <v>32</v>
      </c>
      <c r="AJ33" s="42">
        <f>0.31*12/8</f>
        <v>0.46499999999999997</v>
      </c>
      <c r="AK33" s="42">
        <f t="shared" si="15"/>
        <v>8.611111111111111E-3</v>
      </c>
      <c r="AL33" s="274" t="str">
        <f t="shared" si="16"/>
        <v>#5 @ 6.5</v>
      </c>
      <c r="AN33" s="2">
        <f t="shared" si="17"/>
        <v>11</v>
      </c>
      <c r="AO33" s="246">
        <f t="shared" si="18"/>
        <v>9</v>
      </c>
      <c r="AP33" s="173" t="str">
        <f t="shared" si="19"/>
        <v>#5 @ 6.5</v>
      </c>
      <c r="AQ33" s="174" t="str">
        <f t="shared" si="43"/>
        <v>#5 @ 8</v>
      </c>
      <c r="AR33" s="51">
        <f t="shared" si="44"/>
        <v>-14.491562500000001</v>
      </c>
      <c r="AS33" s="112">
        <f t="shared" si="45"/>
        <v>15.142250000000001</v>
      </c>
      <c r="AT33" s="50">
        <f t="shared" si="39"/>
        <v>-14.851433170901496</v>
      </c>
      <c r="AU33" s="112">
        <f t="shared" si="46"/>
        <v>16.139125478593805</v>
      </c>
      <c r="AW33" s="50">
        <f t="shared" si="21"/>
        <v>-14.491562500000001</v>
      </c>
      <c r="AX33" s="111">
        <f t="shared" si="22"/>
        <v>15.142250000000001</v>
      </c>
      <c r="AY33" s="50">
        <f t="shared" si="23"/>
        <v>14.971850852767142</v>
      </c>
      <c r="AZ33" s="111">
        <f t="shared" si="24"/>
        <v>16.259543160459451</v>
      </c>
      <c r="BA33" s="156">
        <f t="shared" si="28"/>
        <v>1.0331426202500347</v>
      </c>
      <c r="BB33" s="155">
        <f t="shared" si="25"/>
        <v>1.0737864690161272</v>
      </c>
      <c r="BC33" t="s">
        <v>139</v>
      </c>
    </row>
    <row r="34" spans="1:55" x14ac:dyDescent="0.2">
      <c r="A34" s="2">
        <v>11.25</v>
      </c>
      <c r="B34" s="236">
        <v>9</v>
      </c>
      <c r="C34" s="43">
        <f t="shared" si="26"/>
        <v>0.11249999999999999</v>
      </c>
      <c r="D34" s="253">
        <f t="shared" si="29"/>
        <v>-1.423828125</v>
      </c>
      <c r="E34" s="108">
        <f t="shared" si="30"/>
        <v>1.1390624999999999</v>
      </c>
      <c r="F34" s="253">
        <f t="shared" si="31"/>
        <v>-0.63281250000000011</v>
      </c>
      <c r="G34" s="99">
        <f t="shared" si="32"/>
        <v>0.50624999999999998</v>
      </c>
      <c r="H34" s="253">
        <v>-7.08</v>
      </c>
      <c r="I34" s="108">
        <v>7.6</v>
      </c>
      <c r="J34" s="6">
        <f t="shared" si="33"/>
        <v>-15.119003906250001</v>
      </c>
      <c r="K34" s="99">
        <f t="shared" si="33"/>
        <v>15.483203124999999</v>
      </c>
      <c r="L34" s="167" t="s">
        <v>34</v>
      </c>
      <c r="M34" s="167" t="s">
        <v>34</v>
      </c>
      <c r="N34" s="236">
        <v>0.31</v>
      </c>
      <c r="O34" s="297">
        <v>6</v>
      </c>
      <c r="P34" s="315">
        <f t="shared" si="34"/>
        <v>0.62</v>
      </c>
      <c r="Q34" s="152">
        <f t="shared" si="27"/>
        <v>0.62</v>
      </c>
      <c r="R34" s="195">
        <f t="shared" si="41"/>
        <v>6.1875</v>
      </c>
      <c r="S34" s="122">
        <f t="shared" si="47"/>
        <v>6.6875</v>
      </c>
      <c r="T34" s="39">
        <f t="shared" si="35"/>
        <v>8.3501683501683507E-3</v>
      </c>
      <c r="U34" s="115">
        <f t="shared" si="36"/>
        <v>7.7258566978193142E-3</v>
      </c>
      <c r="V34" s="164"/>
      <c r="W34" s="253">
        <f t="shared" si="3"/>
        <v>16.132536764705883</v>
      </c>
      <c r="X34" s="108">
        <f t="shared" si="4"/>
        <v>17.527536764705882</v>
      </c>
      <c r="Y34" s="253">
        <f t="shared" si="5"/>
        <v>15.991213235294119</v>
      </c>
      <c r="Z34" s="99">
        <f t="shared" si="6"/>
        <v>17.386213235294118</v>
      </c>
      <c r="AA34" s="253">
        <f t="shared" si="7"/>
        <v>16.245595588235293</v>
      </c>
      <c r="AB34" s="108">
        <f t="shared" si="8"/>
        <v>17.640595588235296</v>
      </c>
      <c r="AC34" s="3">
        <f t="shared" si="9"/>
        <v>11.25</v>
      </c>
      <c r="AD34" s="246">
        <f t="shared" si="10"/>
        <v>9</v>
      </c>
      <c r="AE34" s="5">
        <f t="shared" si="11"/>
        <v>-15.119003906250001</v>
      </c>
      <c r="AF34" s="105">
        <f t="shared" si="12"/>
        <v>15.483203124999999</v>
      </c>
      <c r="AG34" s="279">
        <v>67</v>
      </c>
      <c r="AH34" s="32">
        <f t="shared" si="13"/>
        <v>0.41539999999999999</v>
      </c>
      <c r="AI34" s="218" t="s">
        <v>32</v>
      </c>
      <c r="AJ34" s="43">
        <f>0.31*12/8</f>
        <v>0.46499999999999997</v>
      </c>
      <c r="AK34" s="43">
        <f t="shared" si="15"/>
        <v>8.611111111111111E-3</v>
      </c>
      <c r="AL34" s="272" t="str">
        <f t="shared" si="16"/>
        <v>#5 @ 6</v>
      </c>
      <c r="AN34" s="2">
        <f t="shared" si="17"/>
        <v>11.25</v>
      </c>
      <c r="AO34" s="246">
        <f t="shared" si="18"/>
        <v>9</v>
      </c>
      <c r="AP34" s="167" t="str">
        <f t="shared" si="19"/>
        <v>#5 @ 6</v>
      </c>
      <c r="AQ34" s="169" t="str">
        <f t="shared" si="43"/>
        <v>#5 @ 8</v>
      </c>
      <c r="AR34" s="50">
        <f t="shared" si="44"/>
        <v>-15.119003906250001</v>
      </c>
      <c r="AS34" s="111">
        <f t="shared" si="45"/>
        <v>15.483203124999999</v>
      </c>
      <c r="AT34" s="50">
        <f t="shared" si="39"/>
        <v>-15.991213235294119</v>
      </c>
      <c r="AU34" s="111">
        <f t="shared" si="46"/>
        <v>17.386213235294118</v>
      </c>
      <c r="AW34" s="50">
        <f t="shared" si="21"/>
        <v>-15.119003906250001</v>
      </c>
      <c r="AX34" s="111">
        <f t="shared" si="22"/>
        <v>15.483203124999999</v>
      </c>
      <c r="AY34" s="50">
        <f t="shared" si="23"/>
        <v>16.132536764705883</v>
      </c>
      <c r="AZ34" s="111">
        <f t="shared" si="24"/>
        <v>17.527536764705882</v>
      </c>
      <c r="BA34" s="156">
        <f t="shared" si="28"/>
        <v>1.067037012804587</v>
      </c>
      <c r="BB34" s="155">
        <f t="shared" si="25"/>
        <v>1.1320355757914842</v>
      </c>
    </row>
    <row r="35" spans="1:55" x14ac:dyDescent="0.2">
      <c r="A35" s="2">
        <v>11.5</v>
      </c>
      <c r="B35" s="236">
        <v>9.25</v>
      </c>
      <c r="C35" s="43">
        <f t="shared" si="26"/>
        <v>0.11562500000000001</v>
      </c>
      <c r="D35" s="253">
        <f t="shared" si="29"/>
        <v>-1.5291406250000001</v>
      </c>
      <c r="E35" s="108">
        <f t="shared" si="30"/>
        <v>1.2233125000000002</v>
      </c>
      <c r="F35" s="253">
        <f t="shared" si="31"/>
        <v>-0.66125000000000012</v>
      </c>
      <c r="G35" s="99">
        <f t="shared" si="32"/>
        <v>0.52900000000000003</v>
      </c>
      <c r="H35" s="253">
        <v>-7.37</v>
      </c>
      <c r="I35" s="108">
        <v>7.74</v>
      </c>
      <c r="J35" s="6">
        <f t="shared" si="33"/>
        <v>-15.80080078125</v>
      </c>
      <c r="K35" s="99">
        <f t="shared" si="33"/>
        <v>15.867640625</v>
      </c>
      <c r="L35" s="167" t="s">
        <v>34</v>
      </c>
      <c r="M35" s="167" t="s">
        <v>34</v>
      </c>
      <c r="N35" s="236">
        <v>0.31</v>
      </c>
      <c r="O35" s="297">
        <v>6</v>
      </c>
      <c r="P35" s="315">
        <f t="shared" si="34"/>
        <v>0.62</v>
      </c>
      <c r="Q35" s="152">
        <f t="shared" si="27"/>
        <v>0.62</v>
      </c>
      <c r="R35" s="195">
        <f t="shared" si="41"/>
        <v>6.4375</v>
      </c>
      <c r="S35" s="122">
        <f t="shared" si="47"/>
        <v>6.9375</v>
      </c>
      <c r="T35" s="39">
        <f t="shared" si="35"/>
        <v>8.0258899676375409E-3</v>
      </c>
      <c r="U35" s="115">
        <f t="shared" si="36"/>
        <v>7.4474474474474474E-3</v>
      </c>
      <c r="V35" s="164"/>
      <c r="W35" s="253">
        <f t="shared" si="3"/>
        <v>16.830036764705884</v>
      </c>
      <c r="X35" s="108">
        <f t="shared" si="4"/>
        <v>18.225036764705884</v>
      </c>
      <c r="Y35" s="253">
        <f t="shared" si="5"/>
        <v>16.68871323529412</v>
      </c>
      <c r="Z35" s="99">
        <f t="shared" si="6"/>
        <v>18.08371323529412</v>
      </c>
      <c r="AA35" s="253">
        <f t="shared" si="7"/>
        <v>16.943095588235295</v>
      </c>
      <c r="AB35" s="108">
        <f t="shared" si="8"/>
        <v>18.338095588235298</v>
      </c>
      <c r="AC35" s="3">
        <f t="shared" si="9"/>
        <v>11.5</v>
      </c>
      <c r="AD35" s="246">
        <f t="shared" si="10"/>
        <v>9.25</v>
      </c>
      <c r="AE35" s="5">
        <f t="shared" si="11"/>
        <v>-15.80080078125</v>
      </c>
      <c r="AF35" s="105">
        <f t="shared" si="12"/>
        <v>15.867640625</v>
      </c>
      <c r="AG35" s="279">
        <v>67</v>
      </c>
      <c r="AH35" s="32">
        <f t="shared" si="13"/>
        <v>0.41539999999999999</v>
      </c>
      <c r="AI35" s="218" t="s">
        <v>32</v>
      </c>
      <c r="AJ35" s="43">
        <f>0.31*12/8</f>
        <v>0.46499999999999997</v>
      </c>
      <c r="AK35" s="43">
        <f t="shared" si="15"/>
        <v>8.3783783783783778E-3</v>
      </c>
      <c r="AL35" s="272" t="str">
        <f t="shared" si="16"/>
        <v>#5 @ 6</v>
      </c>
      <c r="AN35" s="2">
        <f t="shared" si="17"/>
        <v>11.5</v>
      </c>
      <c r="AO35" s="246">
        <f t="shared" si="18"/>
        <v>9.25</v>
      </c>
      <c r="AP35" s="167" t="str">
        <f t="shared" si="19"/>
        <v>#5 @ 6</v>
      </c>
      <c r="AQ35" s="169" t="str">
        <f t="shared" si="43"/>
        <v>#5 @ 8</v>
      </c>
      <c r="AR35" s="50">
        <f t="shared" si="44"/>
        <v>-15.80080078125</v>
      </c>
      <c r="AS35" s="111">
        <f t="shared" si="45"/>
        <v>15.867640625</v>
      </c>
      <c r="AT35" s="50">
        <f t="shared" si="39"/>
        <v>-16.68871323529412</v>
      </c>
      <c r="AU35" s="111">
        <f t="shared" si="46"/>
        <v>18.08371323529412</v>
      </c>
      <c r="AW35" s="50">
        <f t="shared" si="21"/>
        <v>-15.80080078125</v>
      </c>
      <c r="AX35" s="111">
        <f t="shared" si="22"/>
        <v>15.867640625</v>
      </c>
      <c r="AY35" s="50">
        <f t="shared" si="23"/>
        <v>16.830036764705884</v>
      </c>
      <c r="AZ35" s="111">
        <f t="shared" si="24"/>
        <v>18.225036764705884</v>
      </c>
      <c r="BA35" s="156">
        <f t="shared" si="28"/>
        <v>1.0651382165818599</v>
      </c>
      <c r="BB35" s="155">
        <f t="shared" si="25"/>
        <v>1.1485662673751085</v>
      </c>
    </row>
    <row r="36" spans="1:55" x14ac:dyDescent="0.2">
      <c r="A36" s="2">
        <v>11.75</v>
      </c>
      <c r="B36" s="236">
        <v>9.25</v>
      </c>
      <c r="C36" s="43">
        <f t="shared" si="26"/>
        <v>0.11562500000000001</v>
      </c>
      <c r="D36" s="253">
        <f t="shared" si="29"/>
        <v>-1.5963476562500003</v>
      </c>
      <c r="E36" s="108">
        <f t="shared" si="30"/>
        <v>1.2770781250000003</v>
      </c>
      <c r="F36" s="253">
        <f t="shared" si="31"/>
        <v>-0.69031250000000011</v>
      </c>
      <c r="G36" s="99">
        <f t="shared" si="32"/>
        <v>0.55225000000000002</v>
      </c>
      <c r="H36" s="253">
        <v>-7.65</v>
      </c>
      <c r="I36" s="108">
        <v>7.88</v>
      </c>
      <c r="J36" s="6">
        <f t="shared" si="33"/>
        <v>-16.4184033203125</v>
      </c>
      <c r="K36" s="99">
        <f t="shared" si="33"/>
        <v>16.21472265625</v>
      </c>
      <c r="L36" s="167" t="s">
        <v>34</v>
      </c>
      <c r="M36" s="167" t="s">
        <v>34</v>
      </c>
      <c r="N36" s="236">
        <v>0.31</v>
      </c>
      <c r="O36" s="297">
        <v>6</v>
      </c>
      <c r="P36" s="315">
        <f t="shared" si="34"/>
        <v>0.62</v>
      </c>
      <c r="Q36" s="152">
        <f t="shared" si="27"/>
        <v>0.62</v>
      </c>
      <c r="R36" s="195">
        <f t="shared" si="41"/>
        <v>6.4375</v>
      </c>
      <c r="S36" s="122">
        <f t="shared" si="47"/>
        <v>6.9375</v>
      </c>
      <c r="T36" s="39">
        <f t="shared" si="35"/>
        <v>8.0258899676375409E-3</v>
      </c>
      <c r="U36" s="115">
        <f t="shared" si="36"/>
        <v>7.4474474474474474E-3</v>
      </c>
      <c r="V36" s="164"/>
      <c r="W36" s="253">
        <f t="shared" si="3"/>
        <v>16.830036764705884</v>
      </c>
      <c r="X36" s="108">
        <f t="shared" si="4"/>
        <v>18.225036764705884</v>
      </c>
      <c r="Y36" s="253">
        <f t="shared" si="5"/>
        <v>16.68871323529412</v>
      </c>
      <c r="Z36" s="99">
        <f t="shared" si="6"/>
        <v>18.08371323529412</v>
      </c>
      <c r="AA36" s="253">
        <f t="shared" si="7"/>
        <v>16.943095588235295</v>
      </c>
      <c r="AB36" s="108">
        <f t="shared" si="8"/>
        <v>18.338095588235298</v>
      </c>
      <c r="AC36" s="3">
        <f t="shared" si="9"/>
        <v>11.75</v>
      </c>
      <c r="AD36" s="246">
        <f t="shared" si="10"/>
        <v>9.25</v>
      </c>
      <c r="AE36" s="5">
        <f t="shared" si="11"/>
        <v>-16.4184033203125</v>
      </c>
      <c r="AF36" s="105">
        <f t="shared" si="12"/>
        <v>16.21472265625</v>
      </c>
      <c r="AG36" s="279">
        <v>67</v>
      </c>
      <c r="AH36" s="32">
        <f t="shared" si="13"/>
        <v>0.41539999999999999</v>
      </c>
      <c r="AI36" s="218" t="s">
        <v>32</v>
      </c>
      <c r="AJ36" s="43">
        <f>0.31*12/8</f>
        <v>0.46499999999999997</v>
      </c>
      <c r="AK36" s="43">
        <f t="shared" si="15"/>
        <v>8.3783783783783778E-3</v>
      </c>
      <c r="AL36" s="272" t="str">
        <f t="shared" si="16"/>
        <v>#5 @ 6</v>
      </c>
      <c r="AN36" s="2">
        <f t="shared" si="17"/>
        <v>11.75</v>
      </c>
      <c r="AO36" s="246">
        <f t="shared" si="18"/>
        <v>9.25</v>
      </c>
      <c r="AP36" s="167" t="str">
        <f t="shared" si="19"/>
        <v>#5 @ 6</v>
      </c>
      <c r="AQ36" s="169" t="str">
        <f t="shared" si="43"/>
        <v>#5 @ 8</v>
      </c>
      <c r="AR36" s="50">
        <f t="shared" si="44"/>
        <v>-16.4184033203125</v>
      </c>
      <c r="AS36" s="111">
        <f t="shared" si="45"/>
        <v>16.21472265625</v>
      </c>
      <c r="AT36" s="50">
        <f t="shared" si="39"/>
        <v>-16.68871323529412</v>
      </c>
      <c r="AU36" s="111">
        <f t="shared" si="46"/>
        <v>18.08371323529412</v>
      </c>
      <c r="AW36" s="50">
        <f t="shared" si="21"/>
        <v>-16.4184033203125</v>
      </c>
      <c r="AX36" s="111">
        <f t="shared" si="22"/>
        <v>16.21472265625</v>
      </c>
      <c r="AY36" s="50">
        <f t="shared" si="23"/>
        <v>16.830036764705884</v>
      </c>
      <c r="AZ36" s="111">
        <f t="shared" si="24"/>
        <v>18.225036764705884</v>
      </c>
      <c r="BA36" s="156">
        <f t="shared" si="28"/>
        <v>1.0250714662298568</v>
      </c>
      <c r="BB36" s="155">
        <f t="shared" si="25"/>
        <v>1.1239807890072671</v>
      </c>
    </row>
    <row r="37" spans="1:55" x14ac:dyDescent="0.2">
      <c r="A37" s="8">
        <v>12</v>
      </c>
      <c r="B37" s="238">
        <v>9.5</v>
      </c>
      <c r="C37" s="44">
        <f t="shared" si="26"/>
        <v>0.11874999999999999</v>
      </c>
      <c r="D37" s="61">
        <f t="shared" si="29"/>
        <v>-1.71</v>
      </c>
      <c r="E37" s="110">
        <f t="shared" si="30"/>
        <v>1.3679999999999999</v>
      </c>
      <c r="F37" s="61">
        <f t="shared" si="31"/>
        <v>-0.7200000000000002</v>
      </c>
      <c r="G37" s="101">
        <f t="shared" si="32"/>
        <v>0.57600000000000007</v>
      </c>
      <c r="H37" s="61">
        <v>-7.92</v>
      </c>
      <c r="I37" s="110">
        <v>8.01</v>
      </c>
      <c r="J37" s="12">
        <f t="shared" si="33"/>
        <v>-17.077500000000001</v>
      </c>
      <c r="K37" s="101">
        <f t="shared" si="33"/>
        <v>16.5915</v>
      </c>
      <c r="L37" s="168" t="s">
        <v>34</v>
      </c>
      <c r="M37" s="168" t="s">
        <v>34</v>
      </c>
      <c r="N37" s="238">
        <v>0.31</v>
      </c>
      <c r="O37" s="298">
        <v>6</v>
      </c>
      <c r="P37" s="316">
        <f t="shared" si="34"/>
        <v>0.62</v>
      </c>
      <c r="Q37" s="192">
        <f t="shared" si="27"/>
        <v>0.62</v>
      </c>
      <c r="R37" s="257">
        <f t="shared" si="41"/>
        <v>6.6875</v>
      </c>
      <c r="S37" s="270">
        <f t="shared" si="47"/>
        <v>7.1875</v>
      </c>
      <c r="T37" s="41">
        <f t="shared" si="35"/>
        <v>7.7258566978193142E-3</v>
      </c>
      <c r="U37" s="117">
        <f t="shared" si="36"/>
        <v>7.1884057971014492E-3</v>
      </c>
      <c r="V37" s="164"/>
      <c r="W37" s="61">
        <f t="shared" si="3"/>
        <v>17.527536764705882</v>
      </c>
      <c r="X37" s="110">
        <f t="shared" si="4"/>
        <v>18.922536764705885</v>
      </c>
      <c r="Y37" s="61">
        <f t="shared" si="5"/>
        <v>17.386213235294118</v>
      </c>
      <c r="Z37" s="101">
        <f t="shared" si="6"/>
        <v>18.781213235294121</v>
      </c>
      <c r="AA37" s="61">
        <f t="shared" si="7"/>
        <v>17.640595588235296</v>
      </c>
      <c r="AB37" s="110">
        <f t="shared" si="8"/>
        <v>19.035595588235299</v>
      </c>
      <c r="AC37" s="9">
        <f t="shared" si="9"/>
        <v>12</v>
      </c>
      <c r="AD37" s="60">
        <f t="shared" si="10"/>
        <v>9.5</v>
      </c>
      <c r="AE37" s="11">
        <f t="shared" si="11"/>
        <v>-17.077500000000001</v>
      </c>
      <c r="AF37" s="107">
        <f t="shared" si="12"/>
        <v>16.5915</v>
      </c>
      <c r="AG37" s="280">
        <v>67</v>
      </c>
      <c r="AH37" s="34">
        <f t="shared" si="13"/>
        <v>0.41539999999999999</v>
      </c>
      <c r="AI37" s="219" t="s">
        <v>32</v>
      </c>
      <c r="AJ37" s="44">
        <f>0.31*12/8</f>
        <v>0.46499999999999997</v>
      </c>
      <c r="AK37" s="44">
        <f t="shared" si="15"/>
        <v>8.1578947368421053E-3</v>
      </c>
      <c r="AL37" s="273" t="str">
        <f t="shared" si="16"/>
        <v>#5 @ 6</v>
      </c>
      <c r="AN37" s="8">
        <f t="shared" si="17"/>
        <v>12</v>
      </c>
      <c r="AO37" s="60">
        <f t="shared" si="18"/>
        <v>9.5</v>
      </c>
      <c r="AP37" s="168" t="str">
        <f t="shared" si="19"/>
        <v>#5 @ 6</v>
      </c>
      <c r="AQ37" s="175" t="str">
        <f t="shared" si="43"/>
        <v>#5 @ 8</v>
      </c>
      <c r="AR37" s="52">
        <f t="shared" si="44"/>
        <v>-17.077500000000001</v>
      </c>
      <c r="AS37" s="113">
        <f t="shared" si="45"/>
        <v>16.5915</v>
      </c>
      <c r="AT37" s="61">
        <f t="shared" si="39"/>
        <v>-17.386213235294118</v>
      </c>
      <c r="AU37" s="113">
        <f t="shared" si="46"/>
        <v>18.781213235294121</v>
      </c>
      <c r="AW37" s="61">
        <f t="shared" si="21"/>
        <v>-17.077500000000001</v>
      </c>
      <c r="AX37" s="113">
        <f t="shared" si="22"/>
        <v>16.5915</v>
      </c>
      <c r="AY37" s="61">
        <f t="shared" si="23"/>
        <v>17.527536764705882</v>
      </c>
      <c r="AZ37" s="113">
        <f t="shared" si="24"/>
        <v>18.922536764705885</v>
      </c>
      <c r="BA37" s="156">
        <f t="shared" si="28"/>
        <v>1.0263526139485217</v>
      </c>
      <c r="BB37" s="155">
        <f t="shared" si="25"/>
        <v>1.140495842130361</v>
      </c>
    </row>
    <row r="38" spans="1:55" x14ac:dyDescent="0.2">
      <c r="AP38" s="140" t="s">
        <v>113</v>
      </c>
      <c r="AQ38" s="140" t="s">
        <v>113</v>
      </c>
      <c r="AR38" s="140" t="s">
        <v>113</v>
      </c>
      <c r="AS38" s="140" t="s">
        <v>113</v>
      </c>
      <c r="AT38" s="140" t="s">
        <v>113</v>
      </c>
      <c r="AU38" s="140" t="s">
        <v>113</v>
      </c>
    </row>
    <row r="39" spans="1:55" x14ac:dyDescent="0.2">
      <c r="B39" s="141"/>
      <c r="M39" s="166"/>
      <c r="Q39" s="153"/>
      <c r="S39" s="141" t="s">
        <v>124</v>
      </c>
      <c r="AO39" s="134"/>
    </row>
    <row r="40" spans="1:55" x14ac:dyDescent="0.2">
      <c r="M40" s="166"/>
      <c r="Q40" s="153"/>
      <c r="S40" s="141" t="s">
        <v>146</v>
      </c>
      <c r="AO40" s="59"/>
      <c r="AP40" s="59"/>
      <c r="AQ40" s="59"/>
    </row>
    <row r="41" spans="1:55" x14ac:dyDescent="0.2">
      <c r="Q41" s="153"/>
    </row>
    <row r="42" spans="1:55" x14ac:dyDescent="0.2">
      <c r="A42" s="181"/>
      <c r="Q42" s="153"/>
      <c r="W42" s="141" t="s">
        <v>126</v>
      </c>
      <c r="AB42" s="141" t="s">
        <v>127</v>
      </c>
    </row>
    <row r="43" spans="1:55" x14ac:dyDescent="0.2">
      <c r="Q43" s="153"/>
      <c r="W43">
        <v>4000</v>
      </c>
      <c r="X43">
        <v>4500</v>
      </c>
      <c r="AB43" s="141" t="s">
        <v>128</v>
      </c>
      <c r="AJ43" s="148"/>
    </row>
    <row r="44" spans="1:55" x14ac:dyDescent="0.2">
      <c r="Q44" s="153"/>
      <c r="W44">
        <v>4500</v>
      </c>
      <c r="X44">
        <v>5000</v>
      </c>
      <c r="AB44" s="141" t="s">
        <v>129</v>
      </c>
      <c r="AD44" s="141" t="s">
        <v>130</v>
      </c>
      <c r="AF44" s="141" t="s">
        <v>131</v>
      </c>
    </row>
    <row r="45" spans="1:55" x14ac:dyDescent="0.2">
      <c r="Q45" s="153"/>
      <c r="W45" s="144">
        <f>X7-Z7</f>
        <v>5.0121823877478988E-2</v>
      </c>
      <c r="X45" s="144">
        <f>AB7-X7</f>
        <v>4.0097459101984256E-2</v>
      </c>
      <c r="AB45" s="177">
        <f t="shared" ref="AB45:AB75" si="48">-Y7/AE7</f>
        <v>2.1183048676516272</v>
      </c>
      <c r="AC45" s="156">
        <f>Z7/AF7</f>
        <v>1.0802527430070417</v>
      </c>
      <c r="AD45" s="144">
        <f>-W7/AE7</f>
        <v>2.1311401618584083</v>
      </c>
      <c r="AE45" s="144">
        <f>X7/AF7</f>
        <v>1.0862008619030814</v>
      </c>
      <c r="AF45" s="144">
        <f>AD45-AB45</f>
        <v>1.2835294206781089E-2</v>
      </c>
      <c r="AG45" s="144">
        <f>AE45-AC45</f>
        <v>5.9481188960397446E-3</v>
      </c>
    </row>
    <row r="46" spans="1:55" x14ac:dyDescent="0.2">
      <c r="Q46" s="153"/>
      <c r="W46" s="144">
        <f t="shared" ref="W46:W75" si="49">X8-Z8</f>
        <v>5.0121823877478988E-2</v>
      </c>
      <c r="X46" s="144">
        <f t="shared" ref="X46:X75" si="50">AB8-X8</f>
        <v>4.0097459101984256E-2</v>
      </c>
      <c r="AB46" s="177">
        <f t="shared" si="48"/>
        <v>1.9310138332488131</v>
      </c>
      <c r="AC46" s="156">
        <f t="shared" ref="AC46:AC75" si="51">Z8/AF8</f>
        <v>1.0733108995341158</v>
      </c>
      <c r="AD46" s="144">
        <f t="shared" ref="AD46:AD75" si="52">-W8/AE8</f>
        <v>1.9427142881954091</v>
      </c>
      <c r="AE46" s="144">
        <f t="shared" ref="AE46:AE75" si="53">X8/AF8</f>
        <v>1.0792207950508566</v>
      </c>
      <c r="AF46" s="144">
        <f t="shared" ref="AF46:AF75" si="54">AD46-AB46</f>
        <v>1.1700454946595995E-2</v>
      </c>
      <c r="AG46" s="144">
        <f t="shared" ref="AG46:AG75" si="55">AE46-AC46</f>
        <v>5.9098955167407041E-3</v>
      </c>
    </row>
    <row r="47" spans="1:55" x14ac:dyDescent="0.2">
      <c r="Q47" s="153"/>
      <c r="W47" s="144">
        <f t="shared" si="49"/>
        <v>5.0121823877478988E-2</v>
      </c>
      <c r="X47" s="144">
        <f t="shared" si="50"/>
        <v>4.0097459101984256E-2</v>
      </c>
      <c r="AB47" s="177">
        <f t="shared" si="48"/>
        <v>1.7732005376590791</v>
      </c>
      <c r="AC47" s="156">
        <f t="shared" si="51"/>
        <v>1.0662078757187508</v>
      </c>
      <c r="AD47" s="144">
        <f t="shared" si="52"/>
        <v>1.7839447657142733</v>
      </c>
      <c r="AE47" s="144">
        <f t="shared" si="53"/>
        <v>1.0720786603603294</v>
      </c>
      <c r="AF47" s="144">
        <f t="shared" si="54"/>
        <v>1.0744228055194149E-2</v>
      </c>
      <c r="AG47" s="144">
        <f t="shared" si="55"/>
        <v>5.8707846415786413E-3</v>
      </c>
    </row>
    <row r="48" spans="1:55" x14ac:dyDescent="0.2">
      <c r="Q48" s="153"/>
      <c r="W48" s="144">
        <f t="shared" si="49"/>
        <v>5.0121823877478988E-2</v>
      </c>
      <c r="X48" s="144">
        <f t="shared" si="50"/>
        <v>4.0097459101984256E-2</v>
      </c>
      <c r="AB48" s="177">
        <f t="shared" si="48"/>
        <v>1.6384214920880622</v>
      </c>
      <c r="AC48" s="156">
        <f t="shared" si="51"/>
        <v>1.0568003412026279</v>
      </c>
      <c r="AD48" s="144">
        <f t="shared" si="52"/>
        <v>1.6483490630467115</v>
      </c>
      <c r="AE48" s="144">
        <f t="shared" si="53"/>
        <v>1.0626193258055743</v>
      </c>
      <c r="AF48" s="144">
        <f t="shared" si="54"/>
        <v>9.9275709586492678E-3</v>
      </c>
      <c r="AG48" s="144">
        <f t="shared" si="55"/>
        <v>5.8189846029463865E-3</v>
      </c>
    </row>
    <row r="49" spans="17:33" x14ac:dyDescent="0.2">
      <c r="Q49" s="153"/>
      <c r="W49" s="144">
        <f t="shared" si="49"/>
        <v>5.0121823877478988E-2</v>
      </c>
      <c r="X49" s="144">
        <f t="shared" si="50"/>
        <v>4.0097459101984256E-2</v>
      </c>
      <c r="AB49" s="177">
        <f t="shared" si="48"/>
        <v>1.5219835341636805</v>
      </c>
      <c r="AC49" s="156">
        <f t="shared" si="51"/>
        <v>1.0431157667964059</v>
      </c>
      <c r="AD49" s="144">
        <f t="shared" si="52"/>
        <v>1.5312055808752685</v>
      </c>
      <c r="AE49" s="144">
        <f t="shared" si="53"/>
        <v>1.0488594009999788</v>
      </c>
      <c r="AF49" s="144">
        <f t="shared" si="54"/>
        <v>9.2220467115879945E-3</v>
      </c>
      <c r="AG49" s="144">
        <f t="shared" si="55"/>
        <v>5.7436342035728227E-3</v>
      </c>
    </row>
    <row r="50" spans="17:33" x14ac:dyDescent="0.2">
      <c r="Q50" s="153"/>
      <c r="W50" s="144">
        <f t="shared" si="49"/>
        <v>5.0121823877478988E-2</v>
      </c>
      <c r="X50" s="144">
        <f t="shared" si="50"/>
        <v>4.0097459101984256E-2</v>
      </c>
      <c r="AB50" s="177">
        <f t="shared" si="48"/>
        <v>1.433308296847235</v>
      </c>
      <c r="AC50" s="156">
        <f t="shared" si="51"/>
        <v>1.0254886203964215</v>
      </c>
      <c r="AD50" s="144">
        <f t="shared" si="52"/>
        <v>1.4419930399925642</v>
      </c>
      <c r="AE50" s="144">
        <f t="shared" si="53"/>
        <v>1.0311351954966839</v>
      </c>
      <c r="AF50" s="144">
        <f t="shared" si="54"/>
        <v>8.6847431453291879E-3</v>
      </c>
      <c r="AG50" s="144">
        <f t="shared" si="55"/>
        <v>5.646575100262341E-3</v>
      </c>
    </row>
    <row r="51" spans="17:33" x14ac:dyDescent="0.2">
      <c r="Q51" s="153"/>
      <c r="W51" s="144">
        <f t="shared" si="49"/>
        <v>5.0121823877478988E-2</v>
      </c>
      <c r="X51" s="144">
        <f t="shared" si="50"/>
        <v>4.0097459101984256E-2</v>
      </c>
      <c r="AB51" s="177">
        <f t="shared" si="48"/>
        <v>1.3499764191235586</v>
      </c>
      <c r="AC51" s="156">
        <f t="shared" si="51"/>
        <v>1.0082239285538943</v>
      </c>
      <c r="AD51" s="144">
        <f t="shared" si="52"/>
        <v>1.3581562353418337</v>
      </c>
      <c r="AE51" s="144">
        <f t="shared" si="53"/>
        <v>1.0137754403086132</v>
      </c>
      <c r="AF51" s="144">
        <f t="shared" si="54"/>
        <v>8.1798162182751266E-3</v>
      </c>
      <c r="AG51" s="144">
        <f t="shared" si="55"/>
        <v>5.5515117547189075E-3</v>
      </c>
    </row>
    <row r="52" spans="17:33" x14ac:dyDescent="0.2">
      <c r="Q52" s="153"/>
      <c r="W52" s="144">
        <f t="shared" si="49"/>
        <v>5.8823529411764497E-2</v>
      </c>
      <c r="X52" s="144">
        <f t="shared" si="50"/>
        <v>4.7058823529411598E-2</v>
      </c>
      <c r="AB52" s="178">
        <f t="shared" si="48"/>
        <v>1.3827689572244326</v>
      </c>
      <c r="AC52" s="156">
        <f t="shared" si="51"/>
        <v>1.0654286124539321</v>
      </c>
      <c r="AD52" s="144">
        <f t="shared" si="52"/>
        <v>1.3918871171797536</v>
      </c>
      <c r="AE52" s="144">
        <f t="shared" si="53"/>
        <v>1.0718103351999873</v>
      </c>
      <c r="AF52" s="144">
        <f t="shared" si="54"/>
        <v>9.118159955320948E-3</v>
      </c>
      <c r="AG52" s="144">
        <f t="shared" si="55"/>
        <v>6.3817227460551962E-3</v>
      </c>
    </row>
    <row r="53" spans="17:33" x14ac:dyDescent="0.2">
      <c r="Q53" s="153"/>
      <c r="W53" s="144">
        <f t="shared" si="49"/>
        <v>5.8823529411764497E-2</v>
      </c>
      <c r="X53" s="144">
        <f t="shared" si="50"/>
        <v>4.7058823529411598E-2</v>
      </c>
      <c r="AB53" s="178">
        <f t="shared" si="48"/>
        <v>1.3196136442742783</v>
      </c>
      <c r="AC53" s="156">
        <f t="shared" si="51"/>
        <v>1.0418616842026436</v>
      </c>
      <c r="AD53" s="144">
        <f t="shared" si="52"/>
        <v>1.3283153498085629</v>
      </c>
      <c r="AE53" s="144">
        <f t="shared" si="53"/>
        <v>1.0481022453539024</v>
      </c>
      <c r="AF53" s="144">
        <f t="shared" si="54"/>
        <v>8.7017055342846206E-3</v>
      </c>
      <c r="AG53" s="144">
        <f t="shared" si="55"/>
        <v>6.2405611512588166E-3</v>
      </c>
    </row>
    <row r="54" spans="17:33" x14ac:dyDescent="0.2">
      <c r="Q54" s="153"/>
      <c r="W54" s="144">
        <f t="shared" si="49"/>
        <v>5.8823529411764497E-2</v>
      </c>
      <c r="X54" s="144">
        <f t="shared" si="50"/>
        <v>4.7058823529411598E-2</v>
      </c>
      <c r="AB54" s="178">
        <f t="shared" si="48"/>
        <v>1.2646589736373022</v>
      </c>
      <c r="AC54" s="156">
        <f t="shared" si="51"/>
        <v>1.0172558768690823</v>
      </c>
      <c r="AD54" s="144">
        <f t="shared" si="52"/>
        <v>1.2729983008620784</v>
      </c>
      <c r="AE54" s="144">
        <f t="shared" si="53"/>
        <v>1.0233490537296339</v>
      </c>
      <c r="AF54" s="144">
        <f t="shared" si="54"/>
        <v>8.3393272247762606E-3</v>
      </c>
      <c r="AG54" s="144">
        <f t="shared" si="55"/>
        <v>6.0931768605516634E-3</v>
      </c>
    </row>
    <row r="55" spans="17:33" x14ac:dyDescent="0.2">
      <c r="Q55" s="153"/>
      <c r="W55" s="144">
        <f t="shared" si="49"/>
        <v>7.0004861448712319E-2</v>
      </c>
      <c r="X55" s="144">
        <f t="shared" si="50"/>
        <v>5.6003889158969145E-2</v>
      </c>
      <c r="AB55" s="178">
        <f t="shared" si="48"/>
        <v>1.2598824804493984</v>
      </c>
      <c r="AC55" s="156">
        <f t="shared" si="51"/>
        <v>1.0766919494895406</v>
      </c>
      <c r="AD55" s="144">
        <f t="shared" si="52"/>
        <v>1.268994730556618</v>
      </c>
      <c r="AE55" s="144">
        <f t="shared" si="53"/>
        <v>1.0837620763843254</v>
      </c>
      <c r="AF55" s="144">
        <f t="shared" si="54"/>
        <v>9.1122501072196105E-3</v>
      </c>
      <c r="AG55" s="144">
        <f t="shared" si="55"/>
        <v>7.0701268947848117E-3</v>
      </c>
    </row>
    <row r="56" spans="17:33" x14ac:dyDescent="0.2">
      <c r="Q56" s="153"/>
      <c r="W56" s="144">
        <f t="shared" si="49"/>
        <v>7.0004861448712319E-2</v>
      </c>
      <c r="X56" s="144">
        <f t="shared" si="50"/>
        <v>5.6003889158969145E-2</v>
      </c>
      <c r="AB56" s="178">
        <f t="shared" si="48"/>
        <v>1.2153881219340767</v>
      </c>
      <c r="AC56" s="156">
        <f t="shared" si="51"/>
        <v>1.0502280896336014</v>
      </c>
      <c r="AD56" s="144">
        <f t="shared" si="52"/>
        <v>1.2241785612935134</v>
      </c>
      <c r="AE56" s="144">
        <f t="shared" si="53"/>
        <v>1.0571244408747316</v>
      </c>
      <c r="AF56" s="144">
        <f t="shared" si="54"/>
        <v>8.7904393594366859E-3</v>
      </c>
      <c r="AG56" s="144">
        <f t="shared" si="55"/>
        <v>6.8963512411301942E-3</v>
      </c>
    </row>
    <row r="57" spans="17:33" x14ac:dyDescent="0.2">
      <c r="Q57" s="153"/>
      <c r="W57" s="144">
        <f t="shared" si="49"/>
        <v>7.0004861448712319E-2</v>
      </c>
      <c r="X57" s="144">
        <f t="shared" si="50"/>
        <v>5.6003889158969145E-2</v>
      </c>
      <c r="AB57" s="178">
        <f t="shared" si="48"/>
        <v>1.1760689132506081</v>
      </c>
      <c r="AC57" s="156">
        <f t="shared" si="51"/>
        <v>1.0231156754194515</v>
      </c>
      <c r="AD57" s="144">
        <f t="shared" si="52"/>
        <v>1.1845749717498444</v>
      </c>
      <c r="AE57" s="144">
        <f t="shared" si="53"/>
        <v>1.02983399225714</v>
      </c>
      <c r="AF57" s="144">
        <f t="shared" si="54"/>
        <v>8.5060584992362465E-3</v>
      </c>
      <c r="AG57" s="144">
        <f t="shared" si="55"/>
        <v>6.7183168376885316E-3</v>
      </c>
    </row>
    <row r="58" spans="17:33" x14ac:dyDescent="0.2">
      <c r="Q58" s="153"/>
      <c r="W58" s="144">
        <f t="shared" si="49"/>
        <v>7.0004861448712319E-2</v>
      </c>
      <c r="X58" s="144">
        <f t="shared" si="50"/>
        <v>5.6003889158969145E-2</v>
      </c>
      <c r="AB58" s="178">
        <f t="shared" si="48"/>
        <v>1.1412288466974214</v>
      </c>
      <c r="AC58" s="156">
        <f t="shared" si="51"/>
        <v>0.99718130557204077</v>
      </c>
      <c r="AD58" s="144">
        <f t="shared" si="52"/>
        <v>1.1494829202654349</v>
      </c>
      <c r="AE58" s="144">
        <f t="shared" si="53"/>
        <v>1.0037293236665794</v>
      </c>
      <c r="AF58" s="144">
        <f t="shared" si="54"/>
        <v>8.2540735680134425E-3</v>
      </c>
      <c r="AG58" s="144">
        <f t="shared" si="55"/>
        <v>6.5480180945386435E-3</v>
      </c>
    </row>
    <row r="59" spans="17:33" x14ac:dyDescent="0.2">
      <c r="Q59" s="153"/>
      <c r="W59" s="144">
        <f t="shared" si="49"/>
        <v>9.0447058823530213E-2</v>
      </c>
      <c r="X59" s="144">
        <f t="shared" si="50"/>
        <v>7.2357647058822749E-2</v>
      </c>
      <c r="AB59" s="178">
        <f t="shared" si="48"/>
        <v>1.2323384625744973</v>
      </c>
      <c r="AC59" s="156">
        <f t="shared" si="51"/>
        <v>1.0818628120555693</v>
      </c>
      <c r="AD59" s="144">
        <f t="shared" si="52"/>
        <v>1.2426930199670023</v>
      </c>
      <c r="AE59" s="144">
        <f t="shared" si="53"/>
        <v>1.0900991239276752</v>
      </c>
      <c r="AF59" s="144">
        <f t="shared" si="54"/>
        <v>1.0354557392505015E-2</v>
      </c>
      <c r="AG59" s="144">
        <f t="shared" si="55"/>
        <v>8.2363118721058282E-3</v>
      </c>
    </row>
    <row r="60" spans="17:33" x14ac:dyDescent="0.2">
      <c r="Q60" s="153"/>
      <c r="W60" s="144">
        <f t="shared" si="49"/>
        <v>9.0447058823530213E-2</v>
      </c>
      <c r="X60" s="144">
        <f t="shared" si="50"/>
        <v>7.2357647058822749E-2</v>
      </c>
      <c r="AB60" s="178">
        <f t="shared" si="48"/>
        <v>1.2018954886909401</v>
      </c>
      <c r="AC60" s="156">
        <f t="shared" si="51"/>
        <v>1.052161047742836</v>
      </c>
      <c r="AD60" s="144">
        <f t="shared" si="52"/>
        <v>1.2119942531094783</v>
      </c>
      <c r="AE60" s="144">
        <f t="shared" si="53"/>
        <v>1.0601712376045489</v>
      </c>
      <c r="AF60" s="144">
        <f t="shared" si="54"/>
        <v>1.0098764418538186E-2</v>
      </c>
      <c r="AG60" s="144">
        <f t="shared" si="55"/>
        <v>8.0101898617128686E-3</v>
      </c>
    </row>
    <row r="61" spans="17:33" x14ac:dyDescent="0.2">
      <c r="Q61" s="153"/>
      <c r="W61" s="144">
        <f t="shared" si="49"/>
        <v>9.0447058823530213E-2</v>
      </c>
      <c r="X61" s="144">
        <f t="shared" si="50"/>
        <v>7.2357647058822749E-2</v>
      </c>
      <c r="AB61" s="178">
        <f t="shared" si="48"/>
        <v>1.1726009227220298</v>
      </c>
      <c r="AC61" s="156">
        <f t="shared" si="51"/>
        <v>1.0207910358369408</v>
      </c>
      <c r="AD61" s="144">
        <f t="shared" si="52"/>
        <v>1.182453543508907</v>
      </c>
      <c r="AE61" s="144">
        <f t="shared" si="53"/>
        <v>1.0285624031801146</v>
      </c>
      <c r="AF61" s="144">
        <f t="shared" si="54"/>
        <v>9.8526207868772087E-3</v>
      </c>
      <c r="AG61" s="144">
        <f t="shared" si="55"/>
        <v>7.7713673431738517E-3</v>
      </c>
    </row>
    <row r="62" spans="17:33" x14ac:dyDescent="0.2">
      <c r="Q62" s="153"/>
      <c r="W62" s="144">
        <f t="shared" si="49"/>
        <v>0.1038295318127247</v>
      </c>
      <c r="X62" s="144">
        <f t="shared" si="50"/>
        <v>8.3063625450179757E-2</v>
      </c>
      <c r="AB62" s="178">
        <f t="shared" si="48"/>
        <v>1.2195157398507572</v>
      </c>
      <c r="AC62" s="156">
        <f t="shared" si="51"/>
        <v>1.0582108783362969</v>
      </c>
      <c r="AD62" s="144">
        <f t="shared" si="52"/>
        <v>1.2305540953923095</v>
      </c>
      <c r="AE62" s="144">
        <f t="shared" si="53"/>
        <v>1.0668850246865662</v>
      </c>
      <c r="AF62" s="144">
        <f t="shared" si="54"/>
        <v>1.1038355541552303E-2</v>
      </c>
      <c r="AG62" s="144">
        <f t="shared" si="55"/>
        <v>8.6741463502693072E-3</v>
      </c>
    </row>
    <row r="63" spans="17:33" x14ac:dyDescent="0.2">
      <c r="Q63" s="153"/>
      <c r="W63" s="144">
        <f t="shared" si="49"/>
        <v>0.10382953181272825</v>
      </c>
      <c r="X63" s="144">
        <f t="shared" si="50"/>
        <v>8.3063625450179757E-2</v>
      </c>
      <c r="AB63" s="178">
        <f t="shared" si="48"/>
        <v>1.2530499777475168</v>
      </c>
      <c r="AC63" s="156">
        <f t="shared" si="51"/>
        <v>1.0759058389883547</v>
      </c>
      <c r="AD63" s="144">
        <f t="shared" si="52"/>
        <v>1.2638300240402769</v>
      </c>
      <c r="AE63" s="144">
        <f t="shared" si="53"/>
        <v>1.0843275366833052</v>
      </c>
      <c r="AF63" s="144">
        <f t="shared" si="54"/>
        <v>1.0780046292760082E-2</v>
      </c>
      <c r="AG63" s="144">
        <f t="shared" si="55"/>
        <v>8.4216976949504918E-3</v>
      </c>
    </row>
    <row r="64" spans="17:33" x14ac:dyDescent="0.2">
      <c r="Q64" s="153"/>
      <c r="W64" s="144">
        <f t="shared" si="49"/>
        <v>0.10382953181272825</v>
      </c>
      <c r="X64" s="144">
        <f t="shared" si="50"/>
        <v>8.3063625450179757E-2</v>
      </c>
      <c r="AB64" s="178">
        <f t="shared" si="48"/>
        <v>1.21912382881657</v>
      </c>
      <c r="AC64" s="156">
        <f t="shared" si="51"/>
        <v>1.0472852874418865</v>
      </c>
      <c r="AD64" s="144">
        <f t="shared" si="52"/>
        <v>1.2296120068977618</v>
      </c>
      <c r="AE64" s="144">
        <f t="shared" si="53"/>
        <v>1.0554829565794555</v>
      </c>
      <c r="AF64" s="144">
        <f t="shared" si="54"/>
        <v>1.0488178081191846E-2</v>
      </c>
      <c r="AG64" s="144">
        <f t="shared" si="55"/>
        <v>8.1976691375689192E-3</v>
      </c>
    </row>
    <row r="65" spans="17:33" x14ac:dyDescent="0.2">
      <c r="Q65" s="153"/>
      <c r="W65" s="144">
        <f t="shared" si="49"/>
        <v>0.10382953181272647</v>
      </c>
      <c r="X65" s="144">
        <f t="shared" si="50"/>
        <v>8.3063625450179757E-2</v>
      </c>
      <c r="AB65" s="156">
        <f t="shared" si="48"/>
        <v>1.2060149282770489</v>
      </c>
      <c r="AC65" s="156">
        <f t="shared" si="51"/>
        <v>1.0636536650756432</v>
      </c>
      <c r="AD65" s="144">
        <f t="shared" si="52"/>
        <v>1.2159006232766427</v>
      </c>
      <c r="AE65" s="144">
        <f t="shared" si="53"/>
        <v>1.0716203863748719</v>
      </c>
      <c r="AF65" s="144">
        <f t="shared" si="54"/>
        <v>9.885694999593797E-3</v>
      </c>
      <c r="AG65" s="144">
        <f t="shared" si="55"/>
        <v>7.9667212992287073E-3</v>
      </c>
    </row>
    <row r="66" spans="17:33" x14ac:dyDescent="0.2">
      <c r="Q66" s="153"/>
      <c r="W66" s="144">
        <f t="shared" si="49"/>
        <v>0.10382953181272647</v>
      </c>
      <c r="X66" s="144">
        <f t="shared" si="50"/>
        <v>8.3063625450179757E-2</v>
      </c>
      <c r="AB66" s="156">
        <f t="shared" si="48"/>
        <v>1.138278594975022</v>
      </c>
      <c r="AC66" s="156">
        <f t="shared" si="51"/>
        <v>1.0364164006156169</v>
      </c>
      <c r="AD66" s="144">
        <f t="shared" si="52"/>
        <v>1.1476090557766683</v>
      </c>
      <c r="AE66" s="144">
        <f t="shared" si="53"/>
        <v>1.0441791159474607</v>
      </c>
      <c r="AF66" s="144">
        <f t="shared" si="54"/>
        <v>9.3304608016462343E-3</v>
      </c>
      <c r="AG66" s="144">
        <f t="shared" si="55"/>
        <v>7.7627153318438058E-3</v>
      </c>
    </row>
    <row r="67" spans="17:33" x14ac:dyDescent="0.2">
      <c r="Q67" s="153"/>
      <c r="W67" s="144">
        <f t="shared" si="49"/>
        <v>0.10382953181272647</v>
      </c>
      <c r="X67" s="144">
        <f t="shared" si="50"/>
        <v>8.3063625450179757E-2</v>
      </c>
      <c r="AB67" s="156">
        <f t="shared" si="48"/>
        <v>1.0743098193425262</v>
      </c>
      <c r="AC67" s="156">
        <f t="shared" si="51"/>
        <v>1.0103861880028979</v>
      </c>
      <c r="AD67" s="144">
        <f t="shared" si="52"/>
        <v>1.0831159285871781</v>
      </c>
      <c r="AE67" s="144">
        <f t="shared" si="53"/>
        <v>1.0179539381350209</v>
      </c>
      <c r="AF67" s="144">
        <f t="shared" si="54"/>
        <v>8.8061092446518607E-3</v>
      </c>
      <c r="AG67" s="144">
        <f t="shared" si="55"/>
        <v>7.5677501321229634E-3</v>
      </c>
    </row>
    <row r="68" spans="17:33" x14ac:dyDescent="0.2">
      <c r="Q68" s="153"/>
      <c r="W68" s="144">
        <f t="shared" si="49"/>
        <v>0.12041768186564639</v>
      </c>
      <c r="X68" s="144">
        <f t="shared" si="50"/>
        <v>9.6334145492518175E-2</v>
      </c>
      <c r="AB68" s="156">
        <f t="shared" si="48"/>
        <v>1.0889471659564389</v>
      </c>
      <c r="AC68" s="156">
        <f t="shared" si="51"/>
        <v>1.0571044017161781</v>
      </c>
      <c r="AD68" s="144">
        <f t="shared" si="52"/>
        <v>1.0986147417912382</v>
      </c>
      <c r="AE68" s="144">
        <f t="shared" si="53"/>
        <v>1.0656755651910974</v>
      </c>
      <c r="AF68" s="144">
        <f t="shared" si="54"/>
        <v>9.6675758347992691E-3</v>
      </c>
      <c r="AG68" s="144">
        <f t="shared" si="55"/>
        <v>8.5711634749192633E-3</v>
      </c>
    </row>
    <row r="69" spans="17:33" x14ac:dyDescent="0.2">
      <c r="Q69" s="153"/>
      <c r="W69" s="144">
        <f t="shared" si="49"/>
        <v>0.12041768186564461</v>
      </c>
      <c r="X69" s="144">
        <f t="shared" si="50"/>
        <v>9.6334145492519951E-2</v>
      </c>
      <c r="AB69" s="156">
        <f t="shared" si="48"/>
        <v>1.0804906656822224</v>
      </c>
      <c r="AC69" s="156">
        <f t="shared" si="51"/>
        <v>1.074951820315462</v>
      </c>
      <c r="AD69" s="144">
        <f t="shared" si="52"/>
        <v>1.0896484615192443</v>
      </c>
      <c r="AE69" s="144">
        <f t="shared" si="53"/>
        <v>1.0833055391227704</v>
      </c>
      <c r="AF69" s="144">
        <f t="shared" si="54"/>
        <v>9.1577958370219203E-3</v>
      </c>
      <c r="AG69" s="144">
        <f t="shared" si="55"/>
        <v>8.3537188073083968E-3</v>
      </c>
    </row>
    <row r="70" spans="17:33" x14ac:dyDescent="0.2">
      <c r="Q70" s="153"/>
      <c r="W70" s="144">
        <f t="shared" si="49"/>
        <v>0.12041768186564461</v>
      </c>
      <c r="X70" s="144">
        <f t="shared" si="50"/>
        <v>9.6334145492519951E-2</v>
      </c>
      <c r="AB70" s="156">
        <f t="shared" si="48"/>
        <v>1.0292239281286744</v>
      </c>
      <c r="AC70" s="156">
        <f t="shared" si="51"/>
        <v>1.0492938801910039</v>
      </c>
      <c r="AD70" s="144">
        <f t="shared" si="52"/>
        <v>1.0379472081196486</v>
      </c>
      <c r="AE70" s="144">
        <f t="shared" si="53"/>
        <v>1.0574482047436828</v>
      </c>
      <c r="AF70" s="144">
        <f t="shared" si="54"/>
        <v>8.7232799909742198E-3</v>
      </c>
      <c r="AG70" s="144">
        <f t="shared" si="55"/>
        <v>8.1543245526789487E-3</v>
      </c>
    </row>
    <row r="71" spans="17:33" x14ac:dyDescent="0.2">
      <c r="Q71" s="153"/>
      <c r="W71" s="144">
        <f t="shared" si="49"/>
        <v>0.12041768186564639</v>
      </c>
      <c r="X71" s="144">
        <f t="shared" si="50"/>
        <v>9.6334145492516399E-2</v>
      </c>
      <c r="AB71" s="156">
        <f t="shared" si="48"/>
        <v>1.0248331172640284</v>
      </c>
      <c r="AC71" s="156">
        <f t="shared" si="51"/>
        <v>1.0658340391021019</v>
      </c>
      <c r="AD71" s="144">
        <f t="shared" si="52"/>
        <v>1.0331426202500347</v>
      </c>
      <c r="AE71" s="144">
        <f t="shared" si="53"/>
        <v>1.0737864690161272</v>
      </c>
      <c r="AF71" s="144">
        <f t="shared" si="54"/>
        <v>8.3095029860063008E-3</v>
      </c>
      <c r="AG71" s="144">
        <f t="shared" si="55"/>
        <v>7.9524299140252275E-3</v>
      </c>
    </row>
    <row r="72" spans="17:33" x14ac:dyDescent="0.2">
      <c r="Q72" s="153"/>
      <c r="W72" s="144">
        <f t="shared" si="49"/>
        <v>0.14132352941176407</v>
      </c>
      <c r="X72" s="144">
        <f t="shared" si="50"/>
        <v>0.1130588235294141</v>
      </c>
      <c r="AB72" s="156">
        <f t="shared" si="48"/>
        <v>1.0576896027312723</v>
      </c>
      <c r="AC72" s="156">
        <f t="shared" si="51"/>
        <v>1.1229080374991283</v>
      </c>
      <c r="AD72" s="144">
        <f t="shared" si="52"/>
        <v>1.067037012804587</v>
      </c>
      <c r="AE72" s="144">
        <f t="shared" si="53"/>
        <v>1.1320355757914842</v>
      </c>
      <c r="AF72" s="144">
        <f t="shared" si="54"/>
        <v>9.3474100733146326E-3</v>
      </c>
      <c r="AG72" s="144">
        <f t="shared" si="55"/>
        <v>9.1275382923559079E-3</v>
      </c>
    </row>
    <row r="73" spans="17:33" x14ac:dyDescent="0.2">
      <c r="Q73" s="153"/>
      <c r="W73" s="144">
        <f t="shared" si="49"/>
        <v>0.14132352941176407</v>
      </c>
      <c r="X73" s="144">
        <f t="shared" si="50"/>
        <v>0.1130588235294141</v>
      </c>
      <c r="AB73" s="156">
        <f t="shared" si="48"/>
        <v>1.0561941427106505</v>
      </c>
      <c r="AC73" s="156">
        <f t="shared" si="51"/>
        <v>1.1396598689538395</v>
      </c>
      <c r="AD73" s="144">
        <f t="shared" si="52"/>
        <v>1.0651382165818599</v>
      </c>
      <c r="AE73" s="144">
        <f t="shared" si="53"/>
        <v>1.1485662673751085</v>
      </c>
      <c r="AF73" s="144">
        <f t="shared" si="54"/>
        <v>8.9440738712094348E-3</v>
      </c>
      <c r="AG73" s="144">
        <f t="shared" si="55"/>
        <v>8.9063984212689462E-3</v>
      </c>
    </row>
    <row r="74" spans="17:33" x14ac:dyDescent="0.2">
      <c r="Q74" s="153"/>
      <c r="W74" s="144">
        <f>X36-Z36</f>
        <v>0.14132352941176407</v>
      </c>
      <c r="X74" s="144">
        <f t="shared" si="50"/>
        <v>0.1130588235294141</v>
      </c>
      <c r="AB74" s="156">
        <f t="shared" si="48"/>
        <v>1.0164638369339605</v>
      </c>
      <c r="AC74" s="156">
        <f t="shared" si="51"/>
        <v>1.1152650352809896</v>
      </c>
      <c r="AD74" s="144">
        <f t="shared" si="52"/>
        <v>1.0250714662298568</v>
      </c>
      <c r="AE74" s="144">
        <f t="shared" si="53"/>
        <v>1.1239807890072671</v>
      </c>
      <c r="AF74" s="144">
        <f t="shared" si="54"/>
        <v>8.607629295896313E-3</v>
      </c>
      <c r="AG74" s="144">
        <f t="shared" si="55"/>
        <v>8.7157537262774198E-3</v>
      </c>
    </row>
    <row r="75" spans="17:33" x14ac:dyDescent="0.2">
      <c r="Q75" s="153"/>
      <c r="W75" s="144">
        <f t="shared" si="49"/>
        <v>0.14132352941176407</v>
      </c>
      <c r="X75" s="144">
        <f t="shared" si="50"/>
        <v>0.1130588235294141</v>
      </c>
      <c r="AB75" s="156">
        <f t="shared" si="48"/>
        <v>1.0180771913508486</v>
      </c>
      <c r="AC75" s="156">
        <f t="shared" si="51"/>
        <v>1.1319780149651402</v>
      </c>
      <c r="AD75" s="144">
        <f t="shared" si="52"/>
        <v>1.0263526139485217</v>
      </c>
      <c r="AE75" s="144">
        <f t="shared" si="53"/>
        <v>1.140495842130361</v>
      </c>
      <c r="AF75" s="144">
        <f t="shared" si="54"/>
        <v>8.2754225976731099E-3</v>
      </c>
      <c r="AG75" s="144">
        <f t="shared" si="55"/>
        <v>8.5178271652208704E-3</v>
      </c>
    </row>
    <row r="76" spans="17:33" x14ac:dyDescent="0.2">
      <c r="Q76" s="153"/>
      <c r="W76" s="144"/>
    </row>
    <row r="77" spans="17:33" x14ac:dyDescent="0.2">
      <c r="Q77" s="153"/>
      <c r="W77" s="144"/>
      <c r="AB77" s="141" t="s">
        <v>132</v>
      </c>
    </row>
    <row r="78" spans="17:33" x14ac:dyDescent="0.2">
      <c r="Q78" s="153"/>
      <c r="W78" s="144"/>
    </row>
    <row r="79" spans="17:33" x14ac:dyDescent="0.2">
      <c r="Q79" s="153"/>
    </row>
    <row r="80" spans="17:33" x14ac:dyDescent="0.2">
      <c r="Q80" s="153"/>
    </row>
    <row r="81" spans="17:17" x14ac:dyDescent="0.2">
      <c r="Q81" s="153"/>
    </row>
    <row r="82" spans="17:17" x14ac:dyDescent="0.2">
      <c r="Q82" s="153"/>
    </row>
    <row r="83" spans="17:17" x14ac:dyDescent="0.2">
      <c r="Q83" s="153"/>
    </row>
    <row r="84" spans="17:17" x14ac:dyDescent="0.2">
      <c r="Q84" s="153"/>
    </row>
    <row r="85" spans="17:17" x14ac:dyDescent="0.2">
      <c r="Q85" s="153"/>
    </row>
    <row r="86" spans="17:17" x14ac:dyDescent="0.2">
      <c r="Q86" s="153"/>
    </row>
    <row r="87" spans="17:17" x14ac:dyDescent="0.2">
      <c r="Q87" s="153"/>
    </row>
    <row r="88" spans="17:17" x14ac:dyDescent="0.2">
      <c r="Q88" s="153"/>
    </row>
    <row r="89" spans="17:17" x14ac:dyDescent="0.2">
      <c r="Q89" s="153"/>
    </row>
    <row r="90" spans="17:17" x14ac:dyDescent="0.2">
      <c r="Q90" s="153"/>
    </row>
    <row r="91" spans="17:17" x14ac:dyDescent="0.2">
      <c r="Q91" s="153"/>
    </row>
    <row r="92" spans="17:17" x14ac:dyDescent="0.2">
      <c r="Q92" s="153"/>
    </row>
    <row r="93" spans="17:17" x14ac:dyDescent="0.2">
      <c r="Q93" s="153"/>
    </row>
    <row r="94" spans="17:17" x14ac:dyDescent="0.2">
      <c r="Q94" s="153"/>
    </row>
    <row r="95" spans="17:17" x14ac:dyDescent="0.2">
      <c r="Q95" s="153"/>
    </row>
    <row r="96" spans="17:17" x14ac:dyDescent="0.2">
      <c r="Q96" s="153"/>
    </row>
    <row r="97" spans="17:17" x14ac:dyDescent="0.2">
      <c r="Q97" s="153"/>
    </row>
    <row r="98" spans="17:17" x14ac:dyDescent="0.2">
      <c r="Q98" s="153"/>
    </row>
  </sheetData>
  <mergeCells count="10">
    <mergeCell ref="BA5:BB5"/>
    <mergeCell ref="AW5:AX5"/>
    <mergeCell ref="AY5:AZ5"/>
    <mergeCell ref="AN1:AU1"/>
    <mergeCell ref="AN2:AU2"/>
    <mergeCell ref="AP5:AQ5"/>
    <mergeCell ref="AR5:AS5"/>
    <mergeCell ref="AT5:AU5"/>
    <mergeCell ref="AN3:AU3"/>
    <mergeCell ref="AN4:AU4"/>
  </mergeCells>
  <phoneticPr fontId="2" type="noConversion"/>
  <pageMargins left="1" right="0.75" top="1" bottom="1" header="0.5" footer="0.5"/>
  <pageSetup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W43"/>
  <sheetViews>
    <sheetView tabSelected="1" topLeftCell="R1" zoomScaleNormal="100" workbookViewId="0">
      <selection activeCell="AB5" sqref="AB5"/>
    </sheetView>
  </sheetViews>
  <sheetFormatPr defaultRowHeight="12.75" x14ac:dyDescent="0.2"/>
  <cols>
    <col min="1" max="1" width="7.7109375" style="154" customWidth="1"/>
    <col min="2" max="2" width="5.7109375" style="154" customWidth="1"/>
    <col min="3" max="3" width="7.7109375" style="154" customWidth="1"/>
    <col min="4" max="9" width="6.7109375" style="154" customWidth="1"/>
    <col min="10" max="11" width="7.7109375" style="154" customWidth="1"/>
    <col min="12" max="12" width="9.7109375" style="154" customWidth="1"/>
    <col min="13" max="13" width="7.7109375" style="154" customWidth="1"/>
    <col min="14" max="14" width="6.85546875" style="154" customWidth="1"/>
    <col min="15" max="15" width="8.5703125" style="154" customWidth="1"/>
    <col min="16" max="20" width="6.7109375" style="154" customWidth="1"/>
    <col min="21" max="27" width="4.7109375" style="154" customWidth="1"/>
    <col min="28" max="29" width="6.7109375" style="154" customWidth="1"/>
    <col min="30" max="30" width="7.7109375" style="154" customWidth="1"/>
    <col min="31" max="31" width="1.7109375" style="154" customWidth="1"/>
    <col min="32" max="32" width="8.7109375" style="154" customWidth="1"/>
    <col min="33" max="33" width="6.7109375" style="154" customWidth="1"/>
    <col min="34" max="34" width="9.7109375" style="154" customWidth="1"/>
    <col min="35" max="35" width="4.7109375" style="154" customWidth="1"/>
    <col min="36" max="47" width="6.7109375" style="154" customWidth="1"/>
    <col min="48" max="49" width="7.7109375" style="154" customWidth="1"/>
    <col min="50" max="55" width="6.7109375" style="154" customWidth="1"/>
    <col min="56" max="56" width="1.7109375" style="154" customWidth="1"/>
    <col min="57" max="57" width="9.28515625" style="154" customWidth="1"/>
    <col min="58" max="58" width="6.7109375" style="154" customWidth="1"/>
    <col min="59" max="59" width="11.7109375" style="154" customWidth="1"/>
    <col min="60" max="60" width="6.7109375" style="154" customWidth="1"/>
    <col min="61" max="61" width="10.28515625" style="154" customWidth="1"/>
    <col min="62" max="63" width="7.28515625" style="154" customWidth="1"/>
    <col min="64" max="64" width="6.7109375" style="154" customWidth="1"/>
    <col min="65" max="65" width="7.28515625" style="154" customWidth="1"/>
    <col min="66" max="66" width="8.28515625" style="154" customWidth="1"/>
    <col min="67" max="67" width="1.7109375" style="154" customWidth="1"/>
    <col min="68" max="68" width="6.7109375" style="154" customWidth="1"/>
    <col min="69" max="69" width="10.28515625" style="154" customWidth="1"/>
    <col min="70" max="72" width="7.28515625" style="154" customWidth="1"/>
    <col min="73" max="73" width="8.28515625" style="154" customWidth="1"/>
    <col min="74" max="16384" width="9.140625" style="154"/>
  </cols>
  <sheetData>
    <row r="1" spans="1:75" ht="18" x14ac:dyDescent="0.25">
      <c r="A1" s="29" t="s">
        <v>36</v>
      </c>
      <c r="Q1" s="154" t="s">
        <v>99</v>
      </c>
      <c r="AF1" s="29" t="s">
        <v>36</v>
      </c>
      <c r="BE1" s="29" t="s">
        <v>36</v>
      </c>
      <c r="BF1" s="123"/>
      <c r="BG1" s="123"/>
    </row>
    <row r="2" spans="1:75" ht="15.75" x14ac:dyDescent="0.25">
      <c r="L2" s="140" t="s">
        <v>113</v>
      </c>
      <c r="M2" s="140"/>
      <c r="N2" s="140"/>
      <c r="O2" s="140"/>
      <c r="Q2" s="154" t="s">
        <v>98</v>
      </c>
      <c r="AF2" s="123" t="s">
        <v>184</v>
      </c>
      <c r="AV2" s="141" t="s">
        <v>123</v>
      </c>
      <c r="BE2" s="123" t="s">
        <v>155</v>
      </c>
      <c r="BF2" s="123"/>
      <c r="BG2" s="123"/>
    </row>
    <row r="3" spans="1:75" x14ac:dyDescent="0.2">
      <c r="D3" s="140" t="s">
        <v>113</v>
      </c>
      <c r="E3" s="140" t="s">
        <v>113</v>
      </c>
      <c r="F3" s="140" t="s">
        <v>113</v>
      </c>
      <c r="G3" s="140" t="s">
        <v>113</v>
      </c>
      <c r="H3" s="140" t="s">
        <v>113</v>
      </c>
      <c r="I3" s="140" t="s">
        <v>113</v>
      </c>
      <c r="J3" s="140" t="s">
        <v>113</v>
      </c>
      <c r="K3" s="140" t="s">
        <v>113</v>
      </c>
      <c r="L3" s="154" t="s">
        <v>103</v>
      </c>
      <c r="N3" s="140"/>
      <c r="O3" s="140"/>
      <c r="P3" s="140" t="s">
        <v>113</v>
      </c>
      <c r="Q3" s="140" t="s">
        <v>113</v>
      </c>
      <c r="R3" s="154" t="s">
        <v>104</v>
      </c>
      <c r="U3" s="140" t="s">
        <v>113</v>
      </c>
      <c r="V3" s="140" t="s">
        <v>113</v>
      </c>
      <c r="W3" s="140" t="s">
        <v>113</v>
      </c>
      <c r="X3" s="140" t="s">
        <v>113</v>
      </c>
      <c r="Y3" s="140" t="s">
        <v>113</v>
      </c>
      <c r="Z3" s="140" t="s">
        <v>113</v>
      </c>
      <c r="AA3" s="140" t="s">
        <v>113</v>
      </c>
      <c r="AB3" s="140" t="s">
        <v>113</v>
      </c>
      <c r="AC3" s="140" t="s">
        <v>113</v>
      </c>
      <c r="AD3" s="154" t="s">
        <v>119</v>
      </c>
      <c r="AF3" s="140" t="s">
        <v>113</v>
      </c>
      <c r="AG3" s="140" t="s">
        <v>113</v>
      </c>
      <c r="AH3" s="140" t="s">
        <v>113</v>
      </c>
      <c r="AI3" s="140" t="s">
        <v>113</v>
      </c>
      <c r="AJ3" s="140" t="s">
        <v>113</v>
      </c>
      <c r="AK3" s="140" t="s">
        <v>113</v>
      </c>
      <c r="AL3" s="140" t="s">
        <v>113</v>
      </c>
      <c r="AM3" s="140" t="s">
        <v>113</v>
      </c>
      <c r="AN3" s="140" t="s">
        <v>113</v>
      </c>
      <c r="AO3" s="140" t="s">
        <v>113</v>
      </c>
      <c r="AP3" s="140" t="s">
        <v>113</v>
      </c>
      <c r="AQ3" s="140" t="s">
        <v>113</v>
      </c>
      <c r="AR3" s="140" t="s">
        <v>113</v>
      </c>
      <c r="AS3" s="140" t="s">
        <v>113</v>
      </c>
      <c r="AT3" s="140" t="s">
        <v>113</v>
      </c>
      <c r="AU3" s="140" t="s">
        <v>113</v>
      </c>
      <c r="AV3" s="140" t="s">
        <v>113</v>
      </c>
      <c r="AW3" s="140" t="s">
        <v>113</v>
      </c>
      <c r="AX3" s="140" t="s">
        <v>113</v>
      </c>
      <c r="AY3" s="140" t="s">
        <v>113</v>
      </c>
      <c r="AZ3" s="140" t="s">
        <v>113</v>
      </c>
      <c r="BB3" s="140" t="s">
        <v>113</v>
      </c>
      <c r="BE3" s="140" t="s">
        <v>113</v>
      </c>
      <c r="BF3" s="140" t="s">
        <v>113</v>
      </c>
      <c r="BG3" s="140" t="s">
        <v>113</v>
      </c>
      <c r="BH3" s="140" t="s">
        <v>113</v>
      </c>
      <c r="BI3" s="140" t="s">
        <v>113</v>
      </c>
      <c r="BJ3" s="140" t="s">
        <v>113</v>
      </c>
      <c r="BK3" s="140" t="s">
        <v>113</v>
      </c>
      <c r="BL3" s="140" t="s">
        <v>113</v>
      </c>
      <c r="BM3" s="140" t="s">
        <v>113</v>
      </c>
      <c r="BN3" s="140" t="s">
        <v>113</v>
      </c>
      <c r="BP3" s="140" t="s">
        <v>113</v>
      </c>
      <c r="BQ3" s="140" t="s">
        <v>113</v>
      </c>
      <c r="BR3" s="140" t="s">
        <v>113</v>
      </c>
      <c r="BS3" s="140" t="s">
        <v>113</v>
      </c>
      <c r="BT3" s="140" t="s">
        <v>113</v>
      </c>
      <c r="BU3" s="140" t="s">
        <v>113</v>
      </c>
    </row>
    <row r="4" spans="1:75" ht="13.5" thickBot="1" x14ac:dyDescent="0.25">
      <c r="A4" s="159" t="s">
        <v>5</v>
      </c>
      <c r="B4" s="54" t="s">
        <v>10</v>
      </c>
      <c r="C4" s="54" t="s">
        <v>75</v>
      </c>
      <c r="D4" s="74" t="s">
        <v>2</v>
      </c>
      <c r="E4" s="91" t="s">
        <v>3</v>
      </c>
      <c r="F4" s="75" t="s">
        <v>6</v>
      </c>
      <c r="G4" s="95" t="s">
        <v>7</v>
      </c>
      <c r="H4" s="74" t="s">
        <v>37</v>
      </c>
      <c r="I4" s="91" t="s">
        <v>4</v>
      </c>
      <c r="J4" s="75" t="s">
        <v>1</v>
      </c>
      <c r="K4" s="95" t="s">
        <v>0</v>
      </c>
      <c r="L4" s="14" t="s">
        <v>8</v>
      </c>
      <c r="M4" s="54"/>
      <c r="N4" s="54"/>
      <c r="O4" s="54"/>
      <c r="P4" s="54" t="s">
        <v>9</v>
      </c>
      <c r="Q4" s="194" t="s">
        <v>13</v>
      </c>
      <c r="R4" s="95" t="s">
        <v>14</v>
      </c>
      <c r="S4" s="74" t="s">
        <v>28</v>
      </c>
      <c r="T4" s="91" t="s">
        <v>29</v>
      </c>
      <c r="U4" s="35" t="s">
        <v>21</v>
      </c>
      <c r="V4" s="16" t="s">
        <v>22</v>
      </c>
      <c r="W4" s="67"/>
      <c r="X4" s="15" t="s">
        <v>30</v>
      </c>
      <c r="Y4" s="35" t="s">
        <v>23</v>
      </c>
      <c r="Z4" s="16" t="s">
        <v>24</v>
      </c>
      <c r="AA4" s="15" t="s">
        <v>25</v>
      </c>
      <c r="AB4" s="248" t="s">
        <v>26</v>
      </c>
      <c r="AC4" s="182" t="s">
        <v>27</v>
      </c>
      <c r="AD4" s="16" t="s">
        <v>31</v>
      </c>
      <c r="AF4" s="159" t="s">
        <v>5</v>
      </c>
      <c r="AG4" s="54" t="s">
        <v>10</v>
      </c>
      <c r="AH4" s="14" t="s">
        <v>8</v>
      </c>
      <c r="AI4" s="67" t="s">
        <v>54</v>
      </c>
      <c r="AJ4" s="35" t="s">
        <v>55</v>
      </c>
      <c r="AK4" s="16" t="s">
        <v>56</v>
      </c>
      <c r="AL4" s="67" t="s">
        <v>57</v>
      </c>
      <c r="AM4" s="15" t="s">
        <v>58</v>
      </c>
      <c r="AN4" s="194" t="s">
        <v>1</v>
      </c>
      <c r="AO4" s="95" t="s">
        <v>0</v>
      </c>
      <c r="AP4" s="194" t="s">
        <v>59</v>
      </c>
      <c r="AQ4" s="194" t="s">
        <v>85</v>
      </c>
      <c r="AR4" s="74" t="s">
        <v>86</v>
      </c>
      <c r="AS4" s="196" t="s">
        <v>85</v>
      </c>
      <c r="AT4" s="196" t="s">
        <v>86</v>
      </c>
      <c r="AU4" s="95" t="s">
        <v>60</v>
      </c>
      <c r="AV4" s="194" t="s">
        <v>63</v>
      </c>
      <c r="AW4" s="95" t="s">
        <v>62</v>
      </c>
      <c r="AX4" s="194" t="s">
        <v>61</v>
      </c>
      <c r="AY4" s="91" t="s">
        <v>66</v>
      </c>
      <c r="AZ4" s="194" t="s">
        <v>64</v>
      </c>
      <c r="BA4" s="90"/>
      <c r="BB4" s="95" t="s">
        <v>65</v>
      </c>
      <c r="BC4" s="90"/>
      <c r="BE4" s="159" t="s">
        <v>5</v>
      </c>
      <c r="BF4" s="54" t="s">
        <v>10</v>
      </c>
      <c r="BG4" s="67" t="s">
        <v>80</v>
      </c>
      <c r="BH4" s="159" t="s">
        <v>77</v>
      </c>
      <c r="BI4" s="159" t="s">
        <v>84</v>
      </c>
      <c r="BJ4" s="90" t="s">
        <v>21</v>
      </c>
      <c r="BK4" s="126" t="s">
        <v>64</v>
      </c>
      <c r="BL4" s="90" t="s">
        <v>78</v>
      </c>
      <c r="BM4" s="90" t="s">
        <v>79</v>
      </c>
      <c r="BN4" s="86" t="s">
        <v>81</v>
      </c>
      <c r="BP4" s="159" t="s">
        <v>77</v>
      </c>
      <c r="BQ4" s="159" t="s">
        <v>84</v>
      </c>
      <c r="BR4" s="90" t="s">
        <v>22</v>
      </c>
      <c r="BS4" s="126" t="s">
        <v>65</v>
      </c>
      <c r="BT4" s="90" t="s">
        <v>83</v>
      </c>
      <c r="BU4" s="86" t="s">
        <v>82</v>
      </c>
    </row>
    <row r="5" spans="1:75" ht="13.5" thickTop="1" x14ac:dyDescent="0.2">
      <c r="A5" s="2">
        <v>5</v>
      </c>
      <c r="B5" s="236">
        <v>8</v>
      </c>
      <c r="C5" s="43">
        <f>B5/12*0.15</f>
        <v>9.9999999999999992E-2</v>
      </c>
      <c r="D5" s="5">
        <f>-0.1*C5*A5^2</f>
        <v>-0.25</v>
      </c>
      <c r="E5" s="92">
        <f>0.08*C5*A5^2</f>
        <v>0.2</v>
      </c>
      <c r="F5" s="76">
        <f>-0.1*0.05*A5^2</f>
        <v>-0.12500000000000003</v>
      </c>
      <c r="G5" s="96">
        <f>0.08*0.05*A5^2</f>
        <v>0.1</v>
      </c>
      <c r="H5" s="157">
        <v>-2.38</v>
      </c>
      <c r="I5" s="99">
        <v>4.6500000000000004</v>
      </c>
      <c r="J5" s="36">
        <f>D5+F5+H5</f>
        <v>-2.7549999999999999</v>
      </c>
      <c r="K5" s="102">
        <f>E5+G5+I5</f>
        <v>4.95</v>
      </c>
      <c r="L5" s="167" t="s">
        <v>42</v>
      </c>
      <c r="M5" s="285">
        <v>0.2</v>
      </c>
      <c r="N5" s="236">
        <v>6.5</v>
      </c>
      <c r="O5" s="315">
        <f>M5*12/N5</f>
        <v>0.36923076923076931</v>
      </c>
      <c r="P5" s="224">
        <f>O5</f>
        <v>0.36923076923076931</v>
      </c>
      <c r="Q5" s="195">
        <f t="shared" ref="Q5:Q16" si="0">B5-2.5-0.5/2</f>
        <v>5.25</v>
      </c>
      <c r="R5" s="102">
        <f t="shared" ref="R5:R16" si="1">B5-1.5-0.5/2-0.5</f>
        <v>5.75</v>
      </c>
      <c r="S5" s="252">
        <f>J5*12/(P5*0.905*Q5)</f>
        <v>-18.845040778742433</v>
      </c>
      <c r="T5" s="105">
        <f>K5*12/(P5*0.905*R5)</f>
        <v>30.915205380735042</v>
      </c>
      <c r="U5" s="68">
        <v>2</v>
      </c>
      <c r="V5" s="69">
        <v>1.5</v>
      </c>
      <c r="W5" s="241">
        <f>12/N5</f>
        <v>1.8461538461538463</v>
      </c>
      <c r="X5" s="239">
        <f>12/6.5</f>
        <v>1.8461538461538463</v>
      </c>
      <c r="Y5" s="243">
        <f>12*2*U5/X5</f>
        <v>26</v>
      </c>
      <c r="Z5" s="24">
        <f>12*2*V5/X5</f>
        <v>19.5</v>
      </c>
      <c r="AA5" s="3">
        <v>130</v>
      </c>
      <c r="AB5" s="249">
        <f>AA5/(U5*Y5)^0.333</f>
        <v>34.875001814422049</v>
      </c>
      <c r="AC5" s="183">
        <f>AA5/(V5*Z5)^0.333</f>
        <v>42.239954086110011</v>
      </c>
      <c r="AD5" s="24">
        <v>36</v>
      </c>
      <c r="AF5" s="2">
        <f t="shared" ref="AF5:AF33" si="2">A5</f>
        <v>5</v>
      </c>
      <c r="AG5" s="246">
        <f t="shared" ref="AG5:AG33" si="3">B5</f>
        <v>8</v>
      </c>
      <c r="AH5" s="169" t="str">
        <f t="shared" ref="AH5:AH33" si="4">L5</f>
        <v>#4 @ 6.5</v>
      </c>
      <c r="AI5" s="55">
        <v>8</v>
      </c>
      <c r="AJ5" s="2">
        <f>0.4*4500</f>
        <v>1800</v>
      </c>
      <c r="AK5" s="47">
        <v>36000</v>
      </c>
      <c r="AL5" s="43">
        <f>AJ5/((AK5/AI5)+AJ5)</f>
        <v>0.2857142857142857</v>
      </c>
      <c r="AM5" s="4">
        <f>1-AL5/3</f>
        <v>0.90476190476190477</v>
      </c>
      <c r="AN5" s="253">
        <f t="shared" ref="AN5:AN33" si="5">J5</f>
        <v>-2.7549999999999999</v>
      </c>
      <c r="AO5" s="108">
        <f t="shared" ref="AO5:AO33" si="6">K5</f>
        <v>4.95</v>
      </c>
      <c r="AP5" s="195">
        <f>(-AQ5+(AQ5^2-4*1*AR5)^0.5)/(2*1)</f>
        <v>1.3802554198649246</v>
      </c>
      <c r="AQ5" s="253">
        <f>P5*AI5/6</f>
        <v>0.49230769230769239</v>
      </c>
      <c r="AR5" s="157">
        <f>-P5*AI5*Q5/6</f>
        <v>-2.5846153846153852</v>
      </c>
      <c r="AS5" s="111">
        <f>P5*AI5/6</f>
        <v>0.49230769230769239</v>
      </c>
      <c r="AT5" s="111">
        <f>-P5*AI5*R5/6</f>
        <v>-2.8307692307692314</v>
      </c>
      <c r="AU5" s="102">
        <f>(-AS5+(AS5^2-4*1*AT5)^0.5)/(2*1)</f>
        <v>1.4542463851874585</v>
      </c>
      <c r="AV5" s="253">
        <f t="shared" ref="AV5:AV33" si="7">12*AN5/(Q5-AP5/3)</f>
        <v>-6.9020015941764026</v>
      </c>
      <c r="AW5" s="108">
        <f t="shared" ref="AW5:AW33" si="8">12*AO5/(R5-AU5/3)</f>
        <v>11.28151301580775</v>
      </c>
      <c r="AX5" s="195">
        <f>AV5/(6*AP5)</f>
        <v>-0.83342081651957955</v>
      </c>
      <c r="AY5" s="105">
        <f>AW5/(6*AU5)</f>
        <v>1.292939207862579</v>
      </c>
      <c r="AZ5" s="253">
        <f>AX5*AI5*(Q5-AP5)/AP5</f>
        <v>-18.692920984227754</v>
      </c>
      <c r="BA5" s="258">
        <f>AV5/P5</f>
        <v>-18.692920984227754</v>
      </c>
      <c r="BB5" s="108">
        <f>AY5*AI5*(R5-AU5)/AU5</f>
        <v>30.554097751145985</v>
      </c>
      <c r="BC5" s="258">
        <f>AW5/P5</f>
        <v>30.554097751145985</v>
      </c>
      <c r="BE5" s="2">
        <f t="shared" ref="BE5:BE33" si="9">A5</f>
        <v>5</v>
      </c>
      <c r="BF5" s="138">
        <f t="shared" ref="BF5:BF33" si="10">B5</f>
        <v>8</v>
      </c>
      <c r="BG5" s="169" t="str">
        <f t="shared" ref="BG5:BG33" si="11">L5</f>
        <v>#4 @ 6.5</v>
      </c>
      <c r="BH5" s="66">
        <f>BM5*BK5*(BN5+2*BJ5)/700</f>
        <v>0.5065122652590841</v>
      </c>
      <c r="BI5" s="223">
        <f>0.017*BH5/0.75</f>
        <v>1.1480944679205907E-2</v>
      </c>
      <c r="BJ5" s="191">
        <f>2+0.5</f>
        <v>2.5</v>
      </c>
      <c r="BK5" s="22">
        <f>-AZ5</f>
        <v>18.692920984227754</v>
      </c>
      <c r="BL5" s="55">
        <f t="shared" ref="BL5:BL33" si="12">B5</f>
        <v>8</v>
      </c>
      <c r="BM5" s="87">
        <f>1+BJ5/(0.7*(BL5-BJ5))</f>
        <v>1.6493506493506493</v>
      </c>
      <c r="BN5" s="227">
        <v>6.5</v>
      </c>
      <c r="BP5" s="66">
        <f>BT5*BS5*(BU5+2*BR5)/700</f>
        <v>0.7485347284020768</v>
      </c>
      <c r="BQ5" s="129">
        <f>0.017*BP5</f>
        <v>1.2725090382835307E-2</v>
      </c>
      <c r="BR5" s="266">
        <f>1.5+0.5+0.5/2</f>
        <v>2.25</v>
      </c>
      <c r="BS5" s="22">
        <f>BB5</f>
        <v>30.554097751145985</v>
      </c>
      <c r="BT5" s="87">
        <f>1+BR5/(0.7*(BL5-BR5))</f>
        <v>1.5590062111801242</v>
      </c>
      <c r="BU5" s="230">
        <f>BN5</f>
        <v>6.5</v>
      </c>
      <c r="BW5" s="155"/>
    </row>
    <row r="6" spans="1:75" x14ac:dyDescent="0.2">
      <c r="A6" s="2">
        <v>5.25</v>
      </c>
      <c r="B6" s="236">
        <v>8</v>
      </c>
      <c r="C6" s="43">
        <f t="shared" ref="C6:C33" si="13">B6/12*0.15</f>
        <v>9.9999999999999992E-2</v>
      </c>
      <c r="D6" s="5">
        <f t="shared" ref="D6:D33" si="14">-0.1*C6*A6^2</f>
        <v>-0.27562500000000001</v>
      </c>
      <c r="E6" s="92">
        <f t="shared" ref="E6:E33" si="15">0.08*C6*A6^2</f>
        <v>0.2205</v>
      </c>
      <c r="F6" s="76">
        <f t="shared" ref="F6:F33" si="16">-0.1*0.05*A6^2</f>
        <v>-0.13781250000000003</v>
      </c>
      <c r="G6" s="96">
        <f t="shared" ref="G6:G33" si="17">0.08*0.05*A6^2</f>
        <v>0.11025</v>
      </c>
      <c r="H6" s="157">
        <v>-2.57</v>
      </c>
      <c r="I6" s="99">
        <v>4.67</v>
      </c>
      <c r="J6" s="36">
        <f t="shared" ref="J6:K33" si="18">D6+F6+H6</f>
        <v>-2.9834375</v>
      </c>
      <c r="K6" s="102">
        <f t="shared" si="18"/>
        <v>5.00075</v>
      </c>
      <c r="L6" s="167" t="s">
        <v>42</v>
      </c>
      <c r="M6" s="236">
        <v>0.2</v>
      </c>
      <c r="N6" s="236">
        <v>6.5</v>
      </c>
      <c r="O6" s="315">
        <f t="shared" ref="O6:O33" si="19">M6*12/N6</f>
        <v>0.36923076923076931</v>
      </c>
      <c r="P6" s="224">
        <f t="shared" ref="P6:P33" si="20">O6</f>
        <v>0.36923076923076931</v>
      </c>
      <c r="Q6" s="195">
        <f t="shared" si="0"/>
        <v>5.25</v>
      </c>
      <c r="R6" s="102">
        <f t="shared" si="1"/>
        <v>5.75</v>
      </c>
      <c r="S6" s="253">
        <f t="shared" ref="S6:S33" si="21">J6*12/(P6*0.905*Q6)</f>
        <v>-20.407622993948952</v>
      </c>
      <c r="T6" s="105">
        <f t="shared" ref="T6:T33" si="22">K6*12/(P6*0.905*R6)</f>
        <v>31.232164304588029</v>
      </c>
      <c r="U6" s="68">
        <v>2</v>
      </c>
      <c r="V6" s="69">
        <v>1.5</v>
      </c>
      <c r="W6" s="131">
        <f t="shared" ref="W6:W33" si="23">12/N6</f>
        <v>1.8461538461538463</v>
      </c>
      <c r="X6" s="239">
        <f>12/6.5</f>
        <v>1.8461538461538463</v>
      </c>
      <c r="Y6" s="201">
        <f t="shared" ref="Y6:Y33" si="24">12*2*U6/X6</f>
        <v>26</v>
      </c>
      <c r="Z6" s="24">
        <f t="shared" ref="Z6:Z33" si="25">12*2*V6/X6</f>
        <v>19.5</v>
      </c>
      <c r="AA6" s="3">
        <v>130</v>
      </c>
      <c r="AB6" s="249">
        <f t="shared" ref="AB6:AB33" si="26">AA6/(U6*Y6)^0.333</f>
        <v>34.875001814422049</v>
      </c>
      <c r="AC6" s="183">
        <f t="shared" ref="AC6:AC33" si="27">AA6/(V6*Z6)^0.333</f>
        <v>42.239954086110011</v>
      </c>
      <c r="AD6" s="24">
        <v>36</v>
      </c>
      <c r="AF6" s="2">
        <f t="shared" si="2"/>
        <v>5.25</v>
      </c>
      <c r="AG6" s="246">
        <f t="shared" si="3"/>
        <v>8</v>
      </c>
      <c r="AH6" s="169" t="str">
        <f t="shared" si="4"/>
        <v>#4 @ 6.5</v>
      </c>
      <c r="AI6" s="55">
        <v>8</v>
      </c>
      <c r="AJ6" s="2">
        <f t="shared" ref="AJ6:AJ33" si="28">0.4*4500</f>
        <v>1800</v>
      </c>
      <c r="AK6" s="47">
        <v>36000</v>
      </c>
      <c r="AL6" s="43">
        <f t="shared" ref="AL6:AL33" si="29">AJ6/((AK6/AI6)+AJ6)</f>
        <v>0.2857142857142857</v>
      </c>
      <c r="AM6" s="4">
        <f t="shared" ref="AM6:AM33" si="30">1-AL6/3</f>
        <v>0.90476190476190477</v>
      </c>
      <c r="AN6" s="253">
        <f t="shared" si="5"/>
        <v>-2.9834375</v>
      </c>
      <c r="AO6" s="108">
        <f t="shared" si="6"/>
        <v>5.00075</v>
      </c>
      <c r="AP6" s="195">
        <f t="shared" ref="AP6:AP33" si="31">(-AQ6+(AQ6^2-4*1*AR6)^0.5)/(2*1)</f>
        <v>1.3802554198649246</v>
      </c>
      <c r="AQ6" s="253">
        <f t="shared" ref="AQ6:AQ33" si="32">P6*AI6/6</f>
        <v>0.49230769230769239</v>
      </c>
      <c r="AR6" s="157">
        <f t="shared" ref="AR6:AR33" si="33">-P6*AI6*Q6/6</f>
        <v>-2.5846153846153852</v>
      </c>
      <c r="AS6" s="111">
        <f t="shared" ref="AS6:AS33" si="34">P6*AI6/6</f>
        <v>0.49230769230769239</v>
      </c>
      <c r="AT6" s="111">
        <f t="shared" ref="AT6:AT33" si="35">-P6*AI6*R6/6</f>
        <v>-2.8307692307692314</v>
      </c>
      <c r="AU6" s="102">
        <f t="shared" ref="AU6:AU33" si="36">(-AS6+(AS6^2-4*1*AT6)^0.5)/(2*1)</f>
        <v>1.4542463851874585</v>
      </c>
      <c r="AV6" s="253">
        <f t="shared" si="7"/>
        <v>-7.4742977789929794</v>
      </c>
      <c r="AW6" s="108">
        <f t="shared" si="8"/>
        <v>11.39717701288901</v>
      </c>
      <c r="AX6" s="195">
        <f t="shared" ref="AX6:AX33" si="37">AV6/(6*AP6)</f>
        <v>-0.90252592278952182</v>
      </c>
      <c r="AY6" s="105">
        <f t="shared" ref="AY6:AY33" si="38">AW6/(6*AU6)</f>
        <v>1.30619509974117</v>
      </c>
      <c r="AZ6" s="253">
        <f t="shared" ref="AZ6:AZ33" si="39">AX6*AI6*(Q6-AP6)/AP6</f>
        <v>-20.242889818105979</v>
      </c>
      <c r="BA6" s="258">
        <f t="shared" ref="BA6:BA33" si="40">AV6/P6</f>
        <v>-20.242889818105983</v>
      </c>
      <c r="BB6" s="108">
        <f t="shared" ref="BB6:BB33" si="41">AY6*AI6*(R6-AU6)/AU6</f>
        <v>30.86735440990773</v>
      </c>
      <c r="BC6" s="258">
        <f t="shared" ref="BC6:BC33" si="42">AW6/P6</f>
        <v>30.86735440990773</v>
      </c>
      <c r="BE6" s="2">
        <f t="shared" si="9"/>
        <v>5.25</v>
      </c>
      <c r="BF6" s="138">
        <f t="shared" si="10"/>
        <v>8</v>
      </c>
      <c r="BG6" s="169" t="str">
        <f t="shared" si="11"/>
        <v>#4 @ 6.5</v>
      </c>
      <c r="BH6" s="66">
        <f t="shared" ref="BH6:BH33" si="43">BM6*BK6*(BN6+2*BJ6)/700</f>
        <v>0.54851095694515362</v>
      </c>
      <c r="BI6" s="43">
        <f t="shared" ref="BI6:BI16" si="44">0.017*BH6/0.75</f>
        <v>1.2432915024090149E-2</v>
      </c>
      <c r="BJ6" s="191">
        <f t="shared" ref="BJ6:BJ16" si="45">2+0.5</f>
        <v>2.5</v>
      </c>
      <c r="BK6" s="22">
        <f t="shared" ref="BK6:BK33" si="46">-AZ6</f>
        <v>20.242889818105979</v>
      </c>
      <c r="BL6" s="55">
        <f t="shared" si="12"/>
        <v>8</v>
      </c>
      <c r="BM6" s="87">
        <f t="shared" ref="BM6:BM33" si="47">1+BJ6/(0.7*(BL6-BJ6))</f>
        <v>1.6493506493506493</v>
      </c>
      <c r="BN6" s="227">
        <v>6.5</v>
      </c>
      <c r="BP6" s="66">
        <f t="shared" ref="BP6:BP33" si="48">BT6*BS6*(BU6+2*BR6)/700</f>
        <v>0.75620909960741101</v>
      </c>
      <c r="BQ6" s="129">
        <f t="shared" ref="BQ6:BQ33" si="49">0.017*BP6</f>
        <v>1.2855554693325989E-2</v>
      </c>
      <c r="BR6" s="191">
        <f t="shared" ref="BR6:BR16" si="50">1.5+0.5+0.5/2</f>
        <v>2.25</v>
      </c>
      <c r="BS6" s="22">
        <f t="shared" ref="BS6:BS33" si="51">BB6</f>
        <v>30.86735440990773</v>
      </c>
      <c r="BT6" s="87">
        <f t="shared" ref="BT6:BT33" si="52">1+BR6/(0.7*(BL6-BR6))</f>
        <v>1.5590062111801242</v>
      </c>
      <c r="BU6" s="230">
        <f t="shared" ref="BU6:BU33" si="53">BN6</f>
        <v>6.5</v>
      </c>
      <c r="BW6" s="155"/>
    </row>
    <row r="7" spans="1:75" x14ac:dyDescent="0.2">
      <c r="A7" s="2">
        <v>5.5</v>
      </c>
      <c r="B7" s="236">
        <v>8</v>
      </c>
      <c r="C7" s="43">
        <f t="shared" si="13"/>
        <v>9.9999999999999992E-2</v>
      </c>
      <c r="D7" s="5">
        <f t="shared" si="14"/>
        <v>-0.30249999999999999</v>
      </c>
      <c r="E7" s="92">
        <f t="shared" si="15"/>
        <v>0.24199999999999999</v>
      </c>
      <c r="F7" s="76">
        <f t="shared" si="16"/>
        <v>-0.15125000000000002</v>
      </c>
      <c r="G7" s="96">
        <f t="shared" si="17"/>
        <v>0.121</v>
      </c>
      <c r="H7" s="157">
        <v>-2.76</v>
      </c>
      <c r="I7" s="99">
        <v>4.71</v>
      </c>
      <c r="J7" s="36">
        <f t="shared" si="18"/>
        <v>-3.2137499999999997</v>
      </c>
      <c r="K7" s="102">
        <f t="shared" si="18"/>
        <v>5.0730000000000004</v>
      </c>
      <c r="L7" s="167" t="s">
        <v>42</v>
      </c>
      <c r="M7" s="236">
        <v>0.2</v>
      </c>
      <c r="N7" s="236">
        <v>6.5</v>
      </c>
      <c r="O7" s="315">
        <f t="shared" si="19"/>
        <v>0.36923076923076931</v>
      </c>
      <c r="P7" s="224">
        <f t="shared" si="20"/>
        <v>0.36923076923076931</v>
      </c>
      <c r="Q7" s="195">
        <f t="shared" si="0"/>
        <v>5.25</v>
      </c>
      <c r="R7" s="102">
        <f t="shared" si="1"/>
        <v>5.75</v>
      </c>
      <c r="S7" s="253">
        <f t="shared" si="21"/>
        <v>-21.983030781373316</v>
      </c>
      <c r="T7" s="105">
        <f t="shared" si="22"/>
        <v>31.683401393226031</v>
      </c>
      <c r="U7" s="68">
        <v>2</v>
      </c>
      <c r="V7" s="69">
        <v>1.5</v>
      </c>
      <c r="W7" s="131">
        <f t="shared" si="23"/>
        <v>1.8461538461538463</v>
      </c>
      <c r="X7" s="239">
        <f>12/6.5</f>
        <v>1.8461538461538463</v>
      </c>
      <c r="Y7" s="201">
        <f t="shared" si="24"/>
        <v>26</v>
      </c>
      <c r="Z7" s="24">
        <f t="shared" si="25"/>
        <v>19.5</v>
      </c>
      <c r="AA7" s="3">
        <v>130</v>
      </c>
      <c r="AB7" s="249">
        <f t="shared" si="26"/>
        <v>34.875001814422049</v>
      </c>
      <c r="AC7" s="183">
        <f t="shared" si="27"/>
        <v>42.239954086110011</v>
      </c>
      <c r="AD7" s="24">
        <v>36</v>
      </c>
      <c r="AF7" s="2">
        <f t="shared" si="2"/>
        <v>5.5</v>
      </c>
      <c r="AG7" s="246">
        <f t="shared" si="3"/>
        <v>8</v>
      </c>
      <c r="AH7" s="169" t="str">
        <f t="shared" si="4"/>
        <v>#4 @ 6.5</v>
      </c>
      <c r="AI7" s="55">
        <v>8</v>
      </c>
      <c r="AJ7" s="2">
        <f t="shared" si="28"/>
        <v>1800</v>
      </c>
      <c r="AK7" s="47">
        <v>36000</v>
      </c>
      <c r="AL7" s="43">
        <f t="shared" si="29"/>
        <v>0.2857142857142857</v>
      </c>
      <c r="AM7" s="4">
        <f t="shared" si="30"/>
        <v>0.90476190476190477</v>
      </c>
      <c r="AN7" s="253">
        <f t="shared" si="5"/>
        <v>-3.2137499999999997</v>
      </c>
      <c r="AO7" s="108">
        <f t="shared" si="6"/>
        <v>5.0730000000000004</v>
      </c>
      <c r="AP7" s="195">
        <f t="shared" si="31"/>
        <v>1.3802554198649246</v>
      </c>
      <c r="AQ7" s="253">
        <f t="shared" si="32"/>
        <v>0.49230769230769239</v>
      </c>
      <c r="AR7" s="157">
        <f t="shared" si="33"/>
        <v>-2.5846153846153852</v>
      </c>
      <c r="AS7" s="111">
        <f t="shared" si="34"/>
        <v>0.49230769230769239</v>
      </c>
      <c r="AT7" s="111">
        <f t="shared" si="35"/>
        <v>-2.8307692307692314</v>
      </c>
      <c r="AU7" s="102">
        <f t="shared" si="36"/>
        <v>1.4542463851874585</v>
      </c>
      <c r="AV7" s="253">
        <f t="shared" si="7"/>
        <v>-8.0512913333155751</v>
      </c>
      <c r="AW7" s="108">
        <f t="shared" si="8"/>
        <v>11.561841521049033</v>
      </c>
      <c r="AX7" s="195">
        <f t="shared" si="37"/>
        <v>-0.97219823923404658</v>
      </c>
      <c r="AY7" s="105">
        <f t="shared" si="38"/>
        <v>1.3250667881791642</v>
      </c>
      <c r="AZ7" s="253">
        <f t="shared" si="39"/>
        <v>-21.805580694396344</v>
      </c>
      <c r="BA7" s="258">
        <f t="shared" si="40"/>
        <v>-21.805580694396344</v>
      </c>
      <c r="BB7" s="108">
        <f t="shared" si="41"/>
        <v>31.313320786174458</v>
      </c>
      <c r="BC7" s="258">
        <f t="shared" si="42"/>
        <v>31.313320786174458</v>
      </c>
      <c r="BE7" s="2">
        <f t="shared" si="9"/>
        <v>5.5</v>
      </c>
      <c r="BF7" s="138">
        <f t="shared" si="10"/>
        <v>8</v>
      </c>
      <c r="BG7" s="169" t="str">
        <f t="shared" si="11"/>
        <v>#4 @ 6.5</v>
      </c>
      <c r="BH7" s="66">
        <f t="shared" si="43"/>
        <v>0.59085437113480266</v>
      </c>
      <c r="BI7" s="43">
        <f t="shared" si="44"/>
        <v>1.3392699079055527E-2</v>
      </c>
      <c r="BJ7" s="191">
        <f t="shared" si="45"/>
        <v>2.5</v>
      </c>
      <c r="BK7" s="22">
        <f t="shared" si="46"/>
        <v>21.805580694396344</v>
      </c>
      <c r="BL7" s="55">
        <f t="shared" si="12"/>
        <v>8</v>
      </c>
      <c r="BM7" s="87">
        <f t="shared" si="47"/>
        <v>1.6493506493506493</v>
      </c>
      <c r="BN7" s="227">
        <v>6.5</v>
      </c>
      <c r="BP7" s="66">
        <f t="shared" si="48"/>
        <v>0.76713468225934056</v>
      </c>
      <c r="BQ7" s="129">
        <f t="shared" si="49"/>
        <v>1.3041289598408791E-2</v>
      </c>
      <c r="BR7" s="191">
        <f t="shared" si="50"/>
        <v>2.25</v>
      </c>
      <c r="BS7" s="22">
        <f t="shared" si="51"/>
        <v>31.313320786174458</v>
      </c>
      <c r="BT7" s="87">
        <f t="shared" si="52"/>
        <v>1.5590062111801242</v>
      </c>
      <c r="BU7" s="230">
        <f t="shared" si="53"/>
        <v>6.5</v>
      </c>
      <c r="BW7" s="155"/>
    </row>
    <row r="8" spans="1:75" x14ac:dyDescent="0.2">
      <c r="A8" s="2">
        <v>5.75</v>
      </c>
      <c r="B8" s="236">
        <v>8</v>
      </c>
      <c r="C8" s="43">
        <f t="shared" si="13"/>
        <v>9.9999999999999992E-2</v>
      </c>
      <c r="D8" s="5">
        <f t="shared" si="14"/>
        <v>-0.330625</v>
      </c>
      <c r="E8" s="92">
        <f t="shared" si="15"/>
        <v>0.26450000000000001</v>
      </c>
      <c r="F8" s="76">
        <f t="shared" si="16"/>
        <v>-0.16531250000000003</v>
      </c>
      <c r="G8" s="96">
        <f t="shared" si="17"/>
        <v>0.13225000000000001</v>
      </c>
      <c r="H8" s="157">
        <v>-2.92</v>
      </c>
      <c r="I8" s="99">
        <v>4.7699999999999996</v>
      </c>
      <c r="J8" s="36">
        <f t="shared" si="18"/>
        <v>-3.4159375000000001</v>
      </c>
      <c r="K8" s="102">
        <f t="shared" si="18"/>
        <v>5.1667499999999995</v>
      </c>
      <c r="L8" s="167" t="s">
        <v>42</v>
      </c>
      <c r="M8" s="238">
        <v>0.2</v>
      </c>
      <c r="N8" s="236">
        <v>6.5</v>
      </c>
      <c r="O8" s="316">
        <f t="shared" si="19"/>
        <v>0.36923076923076931</v>
      </c>
      <c r="P8" s="225">
        <f t="shared" si="20"/>
        <v>0.36923076923076931</v>
      </c>
      <c r="Q8" s="195">
        <f t="shared" si="0"/>
        <v>5.25</v>
      </c>
      <c r="R8" s="102">
        <f t="shared" si="1"/>
        <v>5.75</v>
      </c>
      <c r="S8" s="61">
        <f t="shared" si="21"/>
        <v>-23.366054985530116</v>
      </c>
      <c r="T8" s="254">
        <f t="shared" si="22"/>
        <v>32.268916646649039</v>
      </c>
      <c r="U8" s="68">
        <v>2</v>
      </c>
      <c r="V8" s="69">
        <v>1.5</v>
      </c>
      <c r="W8" s="132">
        <f t="shared" si="23"/>
        <v>1.8461538461538463</v>
      </c>
      <c r="X8" s="239">
        <f>12/6.5</f>
        <v>1.8461538461538463</v>
      </c>
      <c r="Y8" s="201">
        <f t="shared" si="24"/>
        <v>26</v>
      </c>
      <c r="Z8" s="24">
        <f t="shared" si="25"/>
        <v>19.5</v>
      </c>
      <c r="AA8" s="3">
        <v>130</v>
      </c>
      <c r="AB8" s="249">
        <f t="shared" si="26"/>
        <v>34.875001814422049</v>
      </c>
      <c r="AC8" s="183">
        <f t="shared" si="27"/>
        <v>42.239954086110011</v>
      </c>
      <c r="AD8" s="24">
        <v>36</v>
      </c>
      <c r="AF8" s="2">
        <f t="shared" si="2"/>
        <v>5.75</v>
      </c>
      <c r="AG8" s="246">
        <f t="shared" si="3"/>
        <v>8</v>
      </c>
      <c r="AH8" s="169" t="str">
        <f t="shared" si="4"/>
        <v>#4 @ 6.5</v>
      </c>
      <c r="AI8" s="55">
        <v>8</v>
      </c>
      <c r="AJ8" s="8">
        <f t="shared" si="28"/>
        <v>1800</v>
      </c>
      <c r="AK8" s="47">
        <v>36000</v>
      </c>
      <c r="AL8" s="43">
        <f t="shared" si="29"/>
        <v>0.2857142857142857</v>
      </c>
      <c r="AM8" s="4">
        <f t="shared" si="30"/>
        <v>0.90476190476190477</v>
      </c>
      <c r="AN8" s="253">
        <f t="shared" si="5"/>
        <v>-3.4159375000000001</v>
      </c>
      <c r="AO8" s="108">
        <f t="shared" si="6"/>
        <v>5.1667499999999995</v>
      </c>
      <c r="AP8" s="195">
        <f t="shared" si="31"/>
        <v>1.3802554198649246</v>
      </c>
      <c r="AQ8" s="253">
        <f t="shared" si="32"/>
        <v>0.49230769230769239</v>
      </c>
      <c r="AR8" s="157">
        <f t="shared" si="33"/>
        <v>-2.5846153846153852</v>
      </c>
      <c r="AS8" s="111">
        <f t="shared" si="34"/>
        <v>0.49230769230769239</v>
      </c>
      <c r="AT8" s="111">
        <f t="shared" si="35"/>
        <v>-2.8307692307692314</v>
      </c>
      <c r="AU8" s="102">
        <f t="shared" si="36"/>
        <v>1.4542463851874585</v>
      </c>
      <c r="AV8" s="253">
        <f t="shared" si="7"/>
        <v>-8.5578243450478961</v>
      </c>
      <c r="AW8" s="108">
        <f t="shared" si="8"/>
        <v>11.775506540287815</v>
      </c>
      <c r="AX8" s="195">
        <f t="shared" si="37"/>
        <v>-1.033362403059837</v>
      </c>
      <c r="AY8" s="105">
        <f t="shared" si="38"/>
        <v>1.3495542731765613</v>
      </c>
      <c r="AZ8" s="253">
        <f t="shared" si="39"/>
        <v>-23.177440934504713</v>
      </c>
      <c r="BA8" s="259">
        <f t="shared" si="40"/>
        <v>-23.177440934504713</v>
      </c>
      <c r="BB8" s="108">
        <f t="shared" si="41"/>
        <v>31.891996879946156</v>
      </c>
      <c r="BC8" s="259">
        <f t="shared" si="42"/>
        <v>31.891996879946159</v>
      </c>
      <c r="BE8" s="2">
        <f t="shared" si="9"/>
        <v>5.75</v>
      </c>
      <c r="BF8" s="138">
        <f t="shared" si="10"/>
        <v>8</v>
      </c>
      <c r="BG8" s="175" t="str">
        <f t="shared" si="11"/>
        <v>#4 @ 6.5</v>
      </c>
      <c r="BH8" s="66">
        <f t="shared" si="43"/>
        <v>0.62802694777076318</v>
      </c>
      <c r="BI8" s="44">
        <f t="shared" si="44"/>
        <v>1.4235277482803966E-2</v>
      </c>
      <c r="BJ8" s="234">
        <f t="shared" si="45"/>
        <v>2.5</v>
      </c>
      <c r="BK8" s="25">
        <f t="shared" si="46"/>
        <v>23.177440934504713</v>
      </c>
      <c r="BL8" s="57">
        <f t="shared" si="12"/>
        <v>8</v>
      </c>
      <c r="BM8" s="89">
        <f t="shared" si="47"/>
        <v>1.6493506493506493</v>
      </c>
      <c r="BN8" s="228">
        <v>6.5</v>
      </c>
      <c r="BP8" s="66">
        <f t="shared" si="48"/>
        <v>0.78131147635786447</v>
      </c>
      <c r="BQ8" s="129">
        <f t="shared" si="49"/>
        <v>1.3282295098083697E-2</v>
      </c>
      <c r="BR8" s="234">
        <f t="shared" si="50"/>
        <v>2.25</v>
      </c>
      <c r="BS8" s="22">
        <f t="shared" si="51"/>
        <v>31.891996879946156</v>
      </c>
      <c r="BT8" s="87">
        <f t="shared" si="52"/>
        <v>1.5590062111801242</v>
      </c>
      <c r="BU8" s="230">
        <f t="shared" si="53"/>
        <v>6.5</v>
      </c>
      <c r="BW8" s="155"/>
    </row>
    <row r="9" spans="1:75" x14ac:dyDescent="0.2">
      <c r="A9" s="17">
        <v>6</v>
      </c>
      <c r="B9" s="237">
        <v>8</v>
      </c>
      <c r="C9" s="42">
        <f t="shared" si="13"/>
        <v>9.9999999999999992E-2</v>
      </c>
      <c r="D9" s="20">
        <f t="shared" si="14"/>
        <v>-0.36</v>
      </c>
      <c r="E9" s="93">
        <f t="shared" si="15"/>
        <v>0.28800000000000003</v>
      </c>
      <c r="F9" s="77">
        <f t="shared" si="16"/>
        <v>-0.18000000000000005</v>
      </c>
      <c r="G9" s="97">
        <f t="shared" si="17"/>
        <v>0.14400000000000002</v>
      </c>
      <c r="H9" s="160">
        <v>-3.09</v>
      </c>
      <c r="I9" s="100">
        <v>4.83</v>
      </c>
      <c r="J9" s="37">
        <f t="shared" si="18"/>
        <v>-3.63</v>
      </c>
      <c r="K9" s="103">
        <f t="shared" si="18"/>
        <v>5.2620000000000005</v>
      </c>
      <c r="L9" s="173" t="s">
        <v>42</v>
      </c>
      <c r="M9" s="237">
        <v>0.2</v>
      </c>
      <c r="N9" s="237">
        <v>6.5</v>
      </c>
      <c r="O9" s="315">
        <f t="shared" si="19"/>
        <v>0.36923076923076931</v>
      </c>
      <c r="P9" s="224">
        <f t="shared" si="20"/>
        <v>0.36923076923076931</v>
      </c>
      <c r="Q9" s="256">
        <f t="shared" si="0"/>
        <v>5.25</v>
      </c>
      <c r="R9" s="103">
        <f t="shared" si="1"/>
        <v>5.75</v>
      </c>
      <c r="S9" s="253">
        <f t="shared" si="21"/>
        <v>-24.830307813733224</v>
      </c>
      <c r="T9" s="105">
        <f t="shared" si="22"/>
        <v>32.863800144126827</v>
      </c>
      <c r="U9" s="70">
        <v>2</v>
      </c>
      <c r="V9" s="71">
        <v>1.5</v>
      </c>
      <c r="W9" s="131">
        <f t="shared" si="23"/>
        <v>1.8461538461538463</v>
      </c>
      <c r="X9" s="240">
        <f>12/6</f>
        <v>2</v>
      </c>
      <c r="Y9" s="244">
        <f t="shared" si="24"/>
        <v>24</v>
      </c>
      <c r="Z9" s="28">
        <f t="shared" si="25"/>
        <v>18</v>
      </c>
      <c r="AA9" s="18">
        <v>130</v>
      </c>
      <c r="AB9" s="250">
        <f t="shared" si="26"/>
        <v>35.817067077850069</v>
      </c>
      <c r="AC9" s="184">
        <f t="shared" si="27"/>
        <v>43.380966025982168</v>
      </c>
      <c r="AD9" s="28">
        <v>36</v>
      </c>
      <c r="AF9" s="56">
        <f t="shared" si="2"/>
        <v>6</v>
      </c>
      <c r="AG9" s="247">
        <f t="shared" si="3"/>
        <v>8</v>
      </c>
      <c r="AH9" s="174" t="str">
        <f t="shared" si="4"/>
        <v>#4 @ 6.5</v>
      </c>
      <c r="AI9" s="56">
        <v>8</v>
      </c>
      <c r="AJ9" s="2">
        <f t="shared" si="28"/>
        <v>1800</v>
      </c>
      <c r="AK9" s="48">
        <v>36000</v>
      </c>
      <c r="AL9" s="42">
        <f t="shared" si="29"/>
        <v>0.2857142857142857</v>
      </c>
      <c r="AM9" s="19">
        <f t="shared" si="30"/>
        <v>0.90476190476190477</v>
      </c>
      <c r="AN9" s="255">
        <f t="shared" si="5"/>
        <v>-3.63</v>
      </c>
      <c r="AO9" s="109">
        <f t="shared" si="6"/>
        <v>5.2620000000000005</v>
      </c>
      <c r="AP9" s="256">
        <f t="shared" si="31"/>
        <v>1.3802554198649246</v>
      </c>
      <c r="AQ9" s="255">
        <f t="shared" si="32"/>
        <v>0.49230769230769239</v>
      </c>
      <c r="AR9" s="160">
        <f t="shared" si="33"/>
        <v>-2.5846153846153852</v>
      </c>
      <c r="AS9" s="112">
        <f t="shared" si="34"/>
        <v>0.49230769230769239</v>
      </c>
      <c r="AT9" s="112">
        <f t="shared" si="35"/>
        <v>-2.8307692307692314</v>
      </c>
      <c r="AU9" s="103">
        <f t="shared" si="36"/>
        <v>1.4542463851874585</v>
      </c>
      <c r="AV9" s="255">
        <f t="shared" si="7"/>
        <v>-9.0941073636516663</v>
      </c>
      <c r="AW9" s="109">
        <f t="shared" si="8"/>
        <v>11.992590199834421</v>
      </c>
      <c r="AX9" s="256">
        <f t="shared" si="37"/>
        <v>-1.0981188979913152</v>
      </c>
      <c r="AY9" s="106">
        <f t="shared" si="38"/>
        <v>1.3744335579339173</v>
      </c>
      <c r="AZ9" s="255">
        <f t="shared" si="39"/>
        <v>-24.629874109889922</v>
      </c>
      <c r="BA9" s="258">
        <f t="shared" si="40"/>
        <v>-24.629874109889926</v>
      </c>
      <c r="BB9" s="109">
        <f t="shared" si="41"/>
        <v>32.479931791218213</v>
      </c>
      <c r="BC9" s="258">
        <f t="shared" si="42"/>
        <v>32.479931791218213</v>
      </c>
      <c r="BE9" s="56">
        <f t="shared" si="9"/>
        <v>6</v>
      </c>
      <c r="BF9" s="150">
        <f t="shared" si="10"/>
        <v>8</v>
      </c>
      <c r="BG9" s="174" t="str">
        <f t="shared" si="11"/>
        <v>#4 @ 6.5</v>
      </c>
      <c r="BH9" s="88">
        <f t="shared" si="43"/>
        <v>0.66738276692939202</v>
      </c>
      <c r="BI9" s="129">
        <f t="shared" si="44"/>
        <v>1.5127342717066221E-2</v>
      </c>
      <c r="BJ9" s="191">
        <f t="shared" si="45"/>
        <v>2.5</v>
      </c>
      <c r="BK9" s="27">
        <f t="shared" si="46"/>
        <v>24.629874109889922</v>
      </c>
      <c r="BL9" s="56">
        <f t="shared" si="12"/>
        <v>8</v>
      </c>
      <c r="BM9" s="88">
        <f t="shared" si="47"/>
        <v>1.6493506493506493</v>
      </c>
      <c r="BN9" s="229">
        <v>6.5</v>
      </c>
      <c r="BP9" s="88">
        <f t="shared" si="48"/>
        <v>0.79571509916196514</v>
      </c>
      <c r="BQ9" s="42">
        <f t="shared" si="49"/>
        <v>1.3527156685753409E-2</v>
      </c>
      <c r="BR9" s="191">
        <f t="shared" si="50"/>
        <v>2.25</v>
      </c>
      <c r="BS9" s="27">
        <f t="shared" si="51"/>
        <v>32.479931791218213</v>
      </c>
      <c r="BT9" s="88">
        <f t="shared" si="52"/>
        <v>1.5590062111801242</v>
      </c>
      <c r="BU9" s="231">
        <f t="shared" si="53"/>
        <v>6.5</v>
      </c>
      <c r="BW9" s="155"/>
    </row>
    <row r="10" spans="1:75" x14ac:dyDescent="0.2">
      <c r="A10" s="2">
        <v>6.25</v>
      </c>
      <c r="B10" s="236">
        <v>8</v>
      </c>
      <c r="C10" s="43">
        <f t="shared" si="13"/>
        <v>9.9999999999999992E-2</v>
      </c>
      <c r="D10" s="5">
        <f t="shared" si="14"/>
        <v>-0.390625</v>
      </c>
      <c r="E10" s="92">
        <f t="shared" si="15"/>
        <v>0.3125</v>
      </c>
      <c r="F10" s="76">
        <f t="shared" si="16"/>
        <v>-0.19531250000000003</v>
      </c>
      <c r="G10" s="96">
        <f t="shared" si="17"/>
        <v>0.15625</v>
      </c>
      <c r="H10" s="157">
        <v>-3.24</v>
      </c>
      <c r="I10" s="99">
        <v>4.91</v>
      </c>
      <c r="J10" s="36">
        <f t="shared" si="18"/>
        <v>-3.8259375000000002</v>
      </c>
      <c r="K10" s="102">
        <f t="shared" si="18"/>
        <v>5.3787500000000001</v>
      </c>
      <c r="L10" s="167" t="s">
        <v>11</v>
      </c>
      <c r="M10" s="236">
        <v>0.2</v>
      </c>
      <c r="N10" s="236">
        <v>6</v>
      </c>
      <c r="O10" s="315">
        <f t="shared" si="19"/>
        <v>0.40000000000000008</v>
      </c>
      <c r="P10" s="224">
        <f t="shared" si="20"/>
        <v>0.40000000000000008</v>
      </c>
      <c r="Q10" s="195">
        <f t="shared" si="0"/>
        <v>5.25</v>
      </c>
      <c r="R10" s="102">
        <f t="shared" si="1"/>
        <v>5.75</v>
      </c>
      <c r="S10" s="253">
        <f t="shared" si="21"/>
        <v>-24.157458563535908</v>
      </c>
      <c r="T10" s="105">
        <f t="shared" si="22"/>
        <v>31.00888782128272</v>
      </c>
      <c r="U10" s="68">
        <v>2</v>
      </c>
      <c r="V10" s="69">
        <v>1.5</v>
      </c>
      <c r="W10" s="131">
        <f t="shared" si="23"/>
        <v>2</v>
      </c>
      <c r="X10" s="239">
        <f>12/6</f>
        <v>2</v>
      </c>
      <c r="Y10" s="201">
        <f t="shared" si="24"/>
        <v>24</v>
      </c>
      <c r="Z10" s="24">
        <f t="shared" si="25"/>
        <v>18</v>
      </c>
      <c r="AA10" s="3">
        <v>130</v>
      </c>
      <c r="AB10" s="249">
        <f t="shared" si="26"/>
        <v>35.817067077850069</v>
      </c>
      <c r="AC10" s="183">
        <f t="shared" si="27"/>
        <v>43.380966025982168</v>
      </c>
      <c r="AD10" s="24">
        <v>36</v>
      </c>
      <c r="AF10" s="55">
        <f t="shared" si="2"/>
        <v>6.25</v>
      </c>
      <c r="AG10" s="246">
        <f t="shared" si="3"/>
        <v>8</v>
      </c>
      <c r="AH10" s="169" t="str">
        <f t="shared" si="4"/>
        <v>#4 @ 6</v>
      </c>
      <c r="AI10" s="55">
        <v>8</v>
      </c>
      <c r="AJ10" s="2">
        <f t="shared" si="28"/>
        <v>1800</v>
      </c>
      <c r="AK10" s="47">
        <v>36000</v>
      </c>
      <c r="AL10" s="43">
        <f t="shared" si="29"/>
        <v>0.2857142857142857</v>
      </c>
      <c r="AM10" s="4">
        <f t="shared" si="30"/>
        <v>0.90476190476190477</v>
      </c>
      <c r="AN10" s="253">
        <f t="shared" si="5"/>
        <v>-3.8259375000000002</v>
      </c>
      <c r="AO10" s="108">
        <f t="shared" si="6"/>
        <v>5.3787500000000001</v>
      </c>
      <c r="AP10" s="195">
        <f t="shared" si="31"/>
        <v>1.427768670285178</v>
      </c>
      <c r="AQ10" s="253">
        <f t="shared" si="32"/>
        <v>0.53333333333333344</v>
      </c>
      <c r="AR10" s="157">
        <f t="shared" si="33"/>
        <v>-2.8000000000000007</v>
      </c>
      <c r="AS10" s="111">
        <f t="shared" si="34"/>
        <v>0.53333333333333344</v>
      </c>
      <c r="AT10" s="111">
        <f t="shared" si="35"/>
        <v>-3.0666666666666669</v>
      </c>
      <c r="AU10" s="102">
        <f t="shared" si="36"/>
        <v>1.5047107007448561</v>
      </c>
      <c r="AV10" s="253">
        <f t="shared" si="7"/>
        <v>-9.6167801531203523</v>
      </c>
      <c r="AW10" s="108">
        <f t="shared" si="8"/>
        <v>12.297963938278366</v>
      </c>
      <c r="AX10" s="195">
        <f t="shared" si="37"/>
        <v>-1.1225885015858963</v>
      </c>
      <c r="AY10" s="105">
        <f t="shared" si="38"/>
        <v>1.3621626106367906</v>
      </c>
      <c r="AZ10" s="253">
        <f t="shared" si="39"/>
        <v>-24.041950382800884</v>
      </c>
      <c r="BA10" s="258">
        <f t="shared" si="40"/>
        <v>-24.041950382800877</v>
      </c>
      <c r="BB10" s="108">
        <f t="shared" si="41"/>
        <v>30.744909845695926</v>
      </c>
      <c r="BC10" s="258">
        <f t="shared" si="42"/>
        <v>30.744909845695911</v>
      </c>
      <c r="BE10" s="55">
        <f t="shared" si="9"/>
        <v>6.25</v>
      </c>
      <c r="BF10" s="149">
        <f t="shared" si="10"/>
        <v>8</v>
      </c>
      <c r="BG10" s="169" t="str">
        <f t="shared" si="11"/>
        <v>#4 @ 6</v>
      </c>
      <c r="BH10" s="87">
        <f t="shared" si="43"/>
        <v>0.62312810175830868</v>
      </c>
      <c r="BI10" s="129">
        <f t="shared" si="44"/>
        <v>1.4124236973188332E-2</v>
      </c>
      <c r="BJ10" s="191">
        <f t="shared" si="45"/>
        <v>2.5</v>
      </c>
      <c r="BK10" s="22">
        <f t="shared" si="46"/>
        <v>24.041950382800884</v>
      </c>
      <c r="BL10" s="55">
        <f t="shared" si="12"/>
        <v>8</v>
      </c>
      <c r="BM10" s="87">
        <f t="shared" si="47"/>
        <v>1.6493506493506493</v>
      </c>
      <c r="BN10" s="227">
        <v>6</v>
      </c>
      <c r="BP10" s="87">
        <f t="shared" si="48"/>
        <v>0.71897258117419349</v>
      </c>
      <c r="BQ10" s="43">
        <f t="shared" si="49"/>
        <v>1.222253387996129E-2</v>
      </c>
      <c r="BR10" s="191">
        <f t="shared" si="50"/>
        <v>2.25</v>
      </c>
      <c r="BS10" s="22">
        <f t="shared" si="51"/>
        <v>30.744909845695926</v>
      </c>
      <c r="BT10" s="87">
        <f t="shared" si="52"/>
        <v>1.5590062111801242</v>
      </c>
      <c r="BU10" s="232">
        <f t="shared" si="53"/>
        <v>6</v>
      </c>
      <c r="BW10" s="155"/>
    </row>
    <row r="11" spans="1:75" x14ac:dyDescent="0.2">
      <c r="A11" s="2">
        <v>6.5</v>
      </c>
      <c r="B11" s="236">
        <v>8</v>
      </c>
      <c r="C11" s="43">
        <f t="shared" si="13"/>
        <v>9.9999999999999992E-2</v>
      </c>
      <c r="D11" s="5">
        <f t="shared" si="14"/>
        <v>-0.42249999999999999</v>
      </c>
      <c r="E11" s="92">
        <f t="shared" si="15"/>
        <v>0.33800000000000002</v>
      </c>
      <c r="F11" s="76">
        <f t="shared" si="16"/>
        <v>-0.21125000000000005</v>
      </c>
      <c r="G11" s="96">
        <f t="shared" si="17"/>
        <v>0.16900000000000001</v>
      </c>
      <c r="H11" s="157">
        <v>-3.38</v>
      </c>
      <c r="I11" s="99">
        <v>5</v>
      </c>
      <c r="J11" s="36">
        <f t="shared" si="18"/>
        <v>-4.0137499999999999</v>
      </c>
      <c r="K11" s="102">
        <f t="shared" si="18"/>
        <v>5.5069999999999997</v>
      </c>
      <c r="L11" s="167" t="s">
        <v>11</v>
      </c>
      <c r="M11" s="236">
        <v>0.2</v>
      </c>
      <c r="N11" s="236">
        <v>6</v>
      </c>
      <c r="O11" s="315">
        <f t="shared" si="19"/>
        <v>0.40000000000000008</v>
      </c>
      <c r="P11" s="224">
        <f t="shared" si="20"/>
        <v>0.40000000000000008</v>
      </c>
      <c r="Q11" s="195">
        <f t="shared" si="0"/>
        <v>5.25</v>
      </c>
      <c r="R11" s="102">
        <f t="shared" si="1"/>
        <v>5.75</v>
      </c>
      <c r="S11" s="253">
        <f t="shared" si="21"/>
        <v>-25.343330702446718</v>
      </c>
      <c r="T11" s="105">
        <f t="shared" si="22"/>
        <v>31.74825846745135</v>
      </c>
      <c r="U11" s="68">
        <v>2</v>
      </c>
      <c r="V11" s="69">
        <v>1.5</v>
      </c>
      <c r="W11" s="131">
        <f t="shared" si="23"/>
        <v>2</v>
      </c>
      <c r="X11" s="239">
        <f>12/N11</f>
        <v>2</v>
      </c>
      <c r="Y11" s="201">
        <f t="shared" si="24"/>
        <v>24</v>
      </c>
      <c r="Z11" s="24">
        <f t="shared" si="25"/>
        <v>18</v>
      </c>
      <c r="AA11" s="3">
        <v>130</v>
      </c>
      <c r="AB11" s="249">
        <f t="shared" si="26"/>
        <v>35.817067077850069</v>
      </c>
      <c r="AC11" s="183">
        <f t="shared" si="27"/>
        <v>43.380966025982168</v>
      </c>
      <c r="AD11" s="24">
        <v>36</v>
      </c>
      <c r="AF11" s="55">
        <f t="shared" si="2"/>
        <v>6.5</v>
      </c>
      <c r="AG11" s="246">
        <f t="shared" si="3"/>
        <v>8</v>
      </c>
      <c r="AH11" s="169" t="str">
        <f t="shared" si="4"/>
        <v>#4 @ 6</v>
      </c>
      <c r="AI11" s="55">
        <v>8</v>
      </c>
      <c r="AJ11" s="2">
        <f t="shared" si="28"/>
        <v>1800</v>
      </c>
      <c r="AK11" s="47">
        <v>36000</v>
      </c>
      <c r="AL11" s="43">
        <f t="shared" si="29"/>
        <v>0.2857142857142857</v>
      </c>
      <c r="AM11" s="4">
        <f t="shared" si="30"/>
        <v>0.90476190476190477</v>
      </c>
      <c r="AN11" s="253">
        <f t="shared" si="5"/>
        <v>-4.0137499999999999</v>
      </c>
      <c r="AO11" s="108">
        <f t="shared" si="6"/>
        <v>5.5069999999999997</v>
      </c>
      <c r="AP11" s="195">
        <f t="shared" si="31"/>
        <v>1.427768670285178</v>
      </c>
      <c r="AQ11" s="253">
        <f t="shared" si="32"/>
        <v>0.53333333333333344</v>
      </c>
      <c r="AR11" s="157">
        <f t="shared" si="33"/>
        <v>-2.8000000000000007</v>
      </c>
      <c r="AS11" s="111">
        <f t="shared" si="34"/>
        <v>0.53333333333333344</v>
      </c>
      <c r="AT11" s="111">
        <f t="shared" si="35"/>
        <v>-3.0666666666666669</v>
      </c>
      <c r="AU11" s="102">
        <f t="shared" si="36"/>
        <v>1.5047107007448561</v>
      </c>
      <c r="AV11" s="253">
        <f t="shared" si="7"/>
        <v>-10.088860923521834</v>
      </c>
      <c r="AW11" s="108">
        <f t="shared" si="8"/>
        <v>12.591194498368388</v>
      </c>
      <c r="AX11" s="195">
        <f t="shared" si="37"/>
        <v>-1.1776955578182839</v>
      </c>
      <c r="AY11" s="105">
        <f t="shared" si="38"/>
        <v>1.3946417842020555</v>
      </c>
      <c r="AZ11" s="253">
        <f t="shared" si="39"/>
        <v>-25.222152308804581</v>
      </c>
      <c r="BA11" s="258">
        <f t="shared" si="40"/>
        <v>-25.222152308804578</v>
      </c>
      <c r="BB11" s="108">
        <f t="shared" si="41"/>
        <v>31.477986245920981</v>
      </c>
      <c r="BC11" s="258">
        <f t="shared" si="42"/>
        <v>31.477986245920963</v>
      </c>
      <c r="BE11" s="55">
        <f t="shared" si="9"/>
        <v>6.5</v>
      </c>
      <c r="BF11" s="149">
        <f t="shared" si="10"/>
        <v>8</v>
      </c>
      <c r="BG11" s="169" t="str">
        <f t="shared" si="11"/>
        <v>#4 @ 6</v>
      </c>
      <c r="BH11" s="87">
        <f t="shared" si="43"/>
        <v>0.65371700882003703</v>
      </c>
      <c r="BI11" s="129">
        <f t="shared" si="44"/>
        <v>1.4817585533254173E-2</v>
      </c>
      <c r="BJ11" s="191">
        <f t="shared" si="45"/>
        <v>2.5</v>
      </c>
      <c r="BK11" s="22">
        <f t="shared" si="46"/>
        <v>25.222152308804581</v>
      </c>
      <c r="BL11" s="55">
        <f t="shared" si="12"/>
        <v>8</v>
      </c>
      <c r="BM11" s="87">
        <f t="shared" si="47"/>
        <v>1.6493506493506493</v>
      </c>
      <c r="BN11" s="227">
        <v>6</v>
      </c>
      <c r="BP11" s="87">
        <f t="shared" si="48"/>
        <v>0.73611564109249994</v>
      </c>
      <c r="BQ11" s="43">
        <f t="shared" si="49"/>
        <v>1.25139658985725E-2</v>
      </c>
      <c r="BR11" s="191">
        <f t="shared" si="50"/>
        <v>2.25</v>
      </c>
      <c r="BS11" s="22">
        <f t="shared" si="51"/>
        <v>31.477986245920981</v>
      </c>
      <c r="BT11" s="87">
        <f t="shared" si="52"/>
        <v>1.5590062111801242</v>
      </c>
      <c r="BU11" s="232">
        <f t="shared" si="53"/>
        <v>6</v>
      </c>
      <c r="BW11" s="155"/>
    </row>
    <row r="12" spans="1:75" x14ac:dyDescent="0.2">
      <c r="A12" s="8">
        <v>6.75</v>
      </c>
      <c r="B12" s="238">
        <v>8</v>
      </c>
      <c r="C12" s="44">
        <f t="shared" si="13"/>
        <v>9.9999999999999992E-2</v>
      </c>
      <c r="D12" s="11">
        <f t="shared" si="14"/>
        <v>-0.455625</v>
      </c>
      <c r="E12" s="94">
        <f t="shared" si="15"/>
        <v>0.36449999999999999</v>
      </c>
      <c r="F12" s="78">
        <f t="shared" si="16"/>
        <v>-0.22781250000000006</v>
      </c>
      <c r="G12" s="98">
        <f t="shared" si="17"/>
        <v>0.18225</v>
      </c>
      <c r="H12" s="158">
        <v>-3.51</v>
      </c>
      <c r="I12" s="101">
        <v>5.0999999999999996</v>
      </c>
      <c r="J12" s="38">
        <f t="shared" si="18"/>
        <v>-4.1934374999999999</v>
      </c>
      <c r="K12" s="104">
        <f t="shared" si="18"/>
        <v>5.6467499999999999</v>
      </c>
      <c r="L12" s="168" t="s">
        <v>11</v>
      </c>
      <c r="M12" s="238">
        <v>0.2</v>
      </c>
      <c r="N12" s="238">
        <v>6</v>
      </c>
      <c r="O12" s="316">
        <f t="shared" si="19"/>
        <v>0.40000000000000008</v>
      </c>
      <c r="P12" s="225">
        <f t="shared" si="20"/>
        <v>0.40000000000000008</v>
      </c>
      <c r="Q12" s="257">
        <f t="shared" si="0"/>
        <v>5.25</v>
      </c>
      <c r="R12" s="104">
        <f t="shared" si="1"/>
        <v>5.75</v>
      </c>
      <c r="S12" s="61">
        <f t="shared" si="21"/>
        <v>-26.477900552486179</v>
      </c>
      <c r="T12" s="254">
        <f t="shared" si="22"/>
        <v>32.553927456161411</v>
      </c>
      <c r="U12" s="72">
        <v>2</v>
      </c>
      <c r="V12" s="73">
        <v>1.5</v>
      </c>
      <c r="W12" s="132">
        <f t="shared" si="23"/>
        <v>2</v>
      </c>
      <c r="X12" s="242">
        <f t="shared" ref="X12:X33" si="54">12/N12</f>
        <v>2</v>
      </c>
      <c r="Y12" s="245">
        <f t="shared" si="24"/>
        <v>24</v>
      </c>
      <c r="Z12" s="26">
        <f t="shared" si="25"/>
        <v>18</v>
      </c>
      <c r="AA12" s="9">
        <v>130</v>
      </c>
      <c r="AB12" s="251">
        <f t="shared" si="26"/>
        <v>35.817067077850069</v>
      </c>
      <c r="AC12" s="185">
        <f t="shared" si="27"/>
        <v>43.380966025982168</v>
      </c>
      <c r="AD12" s="26">
        <v>36</v>
      </c>
      <c r="AF12" s="57">
        <f t="shared" si="2"/>
        <v>6.75</v>
      </c>
      <c r="AG12" s="60">
        <f t="shared" si="3"/>
        <v>8</v>
      </c>
      <c r="AH12" s="175" t="str">
        <f t="shared" si="4"/>
        <v>#4 @ 6</v>
      </c>
      <c r="AI12" s="57">
        <v>8</v>
      </c>
      <c r="AJ12" s="8">
        <f t="shared" si="28"/>
        <v>1800</v>
      </c>
      <c r="AK12" s="49">
        <v>36000</v>
      </c>
      <c r="AL12" s="44">
        <f t="shared" si="29"/>
        <v>0.2857142857142857</v>
      </c>
      <c r="AM12" s="10">
        <f t="shared" si="30"/>
        <v>0.90476190476190477</v>
      </c>
      <c r="AN12" s="61">
        <f t="shared" si="5"/>
        <v>-4.1934374999999999</v>
      </c>
      <c r="AO12" s="110">
        <f t="shared" si="6"/>
        <v>5.6467499999999999</v>
      </c>
      <c r="AP12" s="257">
        <f t="shared" si="31"/>
        <v>1.427768670285178</v>
      </c>
      <c r="AQ12" s="61">
        <f t="shared" si="32"/>
        <v>0.53333333333333344</v>
      </c>
      <c r="AR12" s="158">
        <f t="shared" si="33"/>
        <v>-2.8000000000000007</v>
      </c>
      <c r="AS12" s="113">
        <f t="shared" si="34"/>
        <v>0.53333333333333344</v>
      </c>
      <c r="AT12" s="113">
        <f t="shared" si="35"/>
        <v>-3.0666666666666669</v>
      </c>
      <c r="AU12" s="104">
        <f t="shared" si="36"/>
        <v>1.5047107007448561</v>
      </c>
      <c r="AV12" s="61">
        <f t="shared" si="7"/>
        <v>-10.54051889853157</v>
      </c>
      <c r="AW12" s="110">
        <f t="shared" si="8"/>
        <v>12.910718636946012</v>
      </c>
      <c r="AX12" s="257">
        <f t="shared" si="37"/>
        <v>-1.2304186149457765</v>
      </c>
      <c r="AY12" s="107">
        <f t="shared" si="38"/>
        <v>1.4300333203092348</v>
      </c>
      <c r="AZ12" s="61">
        <f t="shared" si="39"/>
        <v>-26.351297246328926</v>
      </c>
      <c r="BA12" s="259">
        <f t="shared" si="40"/>
        <v>-26.351297246328919</v>
      </c>
      <c r="BB12" s="110">
        <f t="shared" si="41"/>
        <v>32.276796592365038</v>
      </c>
      <c r="BC12" s="259">
        <f t="shared" si="42"/>
        <v>32.276796592365024</v>
      </c>
      <c r="BE12" s="57">
        <f t="shared" si="9"/>
        <v>6.75</v>
      </c>
      <c r="BF12" s="151">
        <f t="shared" si="10"/>
        <v>8</v>
      </c>
      <c r="BG12" s="175" t="str">
        <f t="shared" si="11"/>
        <v>#4 @ 6</v>
      </c>
      <c r="BH12" s="89">
        <f t="shared" si="43"/>
        <v>0.6829826020987293</v>
      </c>
      <c r="BI12" s="44">
        <f t="shared" si="44"/>
        <v>1.5480938980904531E-2</v>
      </c>
      <c r="BJ12" s="234">
        <f t="shared" si="45"/>
        <v>2.5</v>
      </c>
      <c r="BK12" s="22">
        <f t="shared" si="46"/>
        <v>26.351297246328926</v>
      </c>
      <c r="BL12" s="55">
        <f t="shared" si="12"/>
        <v>8</v>
      </c>
      <c r="BM12" s="87">
        <f t="shared" si="47"/>
        <v>1.6493506493506493</v>
      </c>
      <c r="BN12" s="227">
        <v>6</v>
      </c>
      <c r="BP12" s="89">
        <f t="shared" si="48"/>
        <v>0.75479589546741843</v>
      </c>
      <c r="BQ12" s="44">
        <f t="shared" si="49"/>
        <v>1.2831530222946114E-2</v>
      </c>
      <c r="BR12" s="234">
        <f t="shared" si="50"/>
        <v>2.25</v>
      </c>
      <c r="BS12" s="25">
        <f t="shared" si="51"/>
        <v>32.276796592365038</v>
      </c>
      <c r="BT12" s="89">
        <f t="shared" si="52"/>
        <v>1.5590062111801242</v>
      </c>
      <c r="BU12" s="233">
        <f t="shared" si="53"/>
        <v>6</v>
      </c>
      <c r="BW12" s="155"/>
    </row>
    <row r="13" spans="1:75" x14ac:dyDescent="0.2">
      <c r="A13" s="2">
        <v>7</v>
      </c>
      <c r="B13" s="236">
        <v>8</v>
      </c>
      <c r="C13" s="43">
        <f t="shared" si="13"/>
        <v>9.9999999999999992E-2</v>
      </c>
      <c r="D13" s="5">
        <f t="shared" si="14"/>
        <v>-0.49</v>
      </c>
      <c r="E13" s="92">
        <f t="shared" si="15"/>
        <v>0.39200000000000002</v>
      </c>
      <c r="F13" s="76">
        <f t="shared" si="16"/>
        <v>-0.24500000000000005</v>
      </c>
      <c r="G13" s="96">
        <f t="shared" si="17"/>
        <v>0.19600000000000001</v>
      </c>
      <c r="H13" s="157">
        <v>-3.83</v>
      </c>
      <c r="I13" s="99">
        <v>5.21</v>
      </c>
      <c r="J13" s="36">
        <f t="shared" si="18"/>
        <v>-4.5650000000000004</v>
      </c>
      <c r="K13" s="102">
        <f t="shared" si="18"/>
        <v>5.798</v>
      </c>
      <c r="L13" s="167" t="s">
        <v>12</v>
      </c>
      <c r="M13" s="237">
        <v>0.2</v>
      </c>
      <c r="N13" s="236">
        <v>5.5</v>
      </c>
      <c r="O13" s="315">
        <f t="shared" si="19"/>
        <v>0.43636363636363645</v>
      </c>
      <c r="P13" s="224">
        <f t="shared" si="20"/>
        <v>0.43636363636363645</v>
      </c>
      <c r="Q13" s="195">
        <f t="shared" si="0"/>
        <v>5.25</v>
      </c>
      <c r="R13" s="102">
        <f t="shared" si="1"/>
        <v>5.75</v>
      </c>
      <c r="S13" s="253">
        <f t="shared" si="21"/>
        <v>-26.421994212049459</v>
      </c>
      <c r="T13" s="105">
        <f t="shared" si="22"/>
        <v>30.640403555128504</v>
      </c>
      <c r="U13" s="68">
        <v>2</v>
      </c>
      <c r="V13" s="69">
        <v>1.5</v>
      </c>
      <c r="W13" s="131">
        <f t="shared" si="23"/>
        <v>2.1818181818181817</v>
      </c>
      <c r="X13" s="239">
        <f t="shared" si="54"/>
        <v>2.1818181818181817</v>
      </c>
      <c r="Y13" s="201">
        <f t="shared" si="24"/>
        <v>22</v>
      </c>
      <c r="Z13" s="24">
        <f t="shared" si="25"/>
        <v>16.5</v>
      </c>
      <c r="AA13" s="3">
        <v>130</v>
      </c>
      <c r="AB13" s="249">
        <f t="shared" si="26"/>
        <v>36.870040192552679</v>
      </c>
      <c r="AC13" s="183">
        <f>AA13/(V13*Z13)^0.333</f>
        <v>44.656307494224144</v>
      </c>
      <c r="AD13" s="24">
        <v>36</v>
      </c>
      <c r="AF13" s="2">
        <f t="shared" si="2"/>
        <v>7</v>
      </c>
      <c r="AG13" s="246">
        <f t="shared" si="3"/>
        <v>8</v>
      </c>
      <c r="AH13" s="169" t="str">
        <f t="shared" si="4"/>
        <v>#4 @ 5.5</v>
      </c>
      <c r="AI13" s="55">
        <v>8</v>
      </c>
      <c r="AJ13" s="2">
        <f t="shared" si="28"/>
        <v>1800</v>
      </c>
      <c r="AK13" s="47">
        <v>36000</v>
      </c>
      <c r="AL13" s="43">
        <f t="shared" si="29"/>
        <v>0.2857142857142857</v>
      </c>
      <c r="AM13" s="4">
        <f t="shared" si="30"/>
        <v>0.90476190476190477</v>
      </c>
      <c r="AN13" s="253">
        <f t="shared" si="5"/>
        <v>-4.5650000000000004</v>
      </c>
      <c r="AO13" s="108">
        <f t="shared" si="6"/>
        <v>5.798</v>
      </c>
      <c r="AP13" s="195">
        <f t="shared" si="31"/>
        <v>1.4808622131025213</v>
      </c>
      <c r="AQ13" s="253">
        <f t="shared" si="32"/>
        <v>0.5818181818181819</v>
      </c>
      <c r="AR13" s="157">
        <f t="shared" si="33"/>
        <v>-3.0545454545454551</v>
      </c>
      <c r="AS13" s="111">
        <f t="shared" si="34"/>
        <v>0.5818181818181819</v>
      </c>
      <c r="AT13" s="111">
        <f t="shared" si="35"/>
        <v>-3.3454545454545461</v>
      </c>
      <c r="AU13" s="102">
        <f t="shared" si="36"/>
        <v>1.5611391386540865</v>
      </c>
      <c r="AV13" s="253">
        <f t="shared" si="7"/>
        <v>-11.517163997876866</v>
      </c>
      <c r="AW13" s="108">
        <f t="shared" si="8"/>
        <v>13.304216401986348</v>
      </c>
      <c r="AX13" s="195">
        <f t="shared" si="37"/>
        <v>-1.2962227788619975</v>
      </c>
      <c r="AY13" s="105">
        <f t="shared" si="38"/>
        <v>1.4203534748624207</v>
      </c>
      <c r="AZ13" s="253">
        <f t="shared" si="39"/>
        <v>-26.393500828467811</v>
      </c>
      <c r="BA13" s="258">
        <f t="shared" si="40"/>
        <v>-26.393500828467811</v>
      </c>
      <c r="BB13" s="108">
        <f t="shared" si="41"/>
        <v>30.488829254552041</v>
      </c>
      <c r="BC13" s="258">
        <f t="shared" si="42"/>
        <v>30.488829254552041</v>
      </c>
      <c r="BE13" s="2">
        <f t="shared" si="9"/>
        <v>7</v>
      </c>
      <c r="BF13" s="138">
        <f t="shared" si="10"/>
        <v>8</v>
      </c>
      <c r="BG13" s="174" t="str">
        <f t="shared" si="11"/>
        <v>#4 @ 5.5</v>
      </c>
      <c r="BH13" s="66">
        <f t="shared" si="43"/>
        <v>0.65298206595105435</v>
      </c>
      <c r="BI13" s="129">
        <f t="shared" si="44"/>
        <v>1.48009268282239E-2</v>
      </c>
      <c r="BJ13" s="191">
        <f t="shared" si="45"/>
        <v>2.5</v>
      </c>
      <c r="BK13" s="27">
        <f t="shared" si="46"/>
        <v>26.393500828467811</v>
      </c>
      <c r="BL13" s="56">
        <f t="shared" si="12"/>
        <v>8</v>
      </c>
      <c r="BM13" s="88">
        <f t="shared" si="47"/>
        <v>1.6493506493506493</v>
      </c>
      <c r="BN13" s="229">
        <v>5.5</v>
      </c>
      <c r="BP13" s="66">
        <f t="shared" si="48"/>
        <v>0.67903248827795581</v>
      </c>
      <c r="BQ13" s="129">
        <f t="shared" si="49"/>
        <v>1.1543552300725249E-2</v>
      </c>
      <c r="BR13" s="191">
        <f t="shared" si="50"/>
        <v>2.25</v>
      </c>
      <c r="BS13" s="22">
        <f t="shared" si="51"/>
        <v>30.488829254552041</v>
      </c>
      <c r="BT13" s="87">
        <f t="shared" si="52"/>
        <v>1.5590062111801242</v>
      </c>
      <c r="BU13" s="230">
        <f t="shared" si="53"/>
        <v>5.5</v>
      </c>
      <c r="BW13" s="155"/>
    </row>
    <row r="14" spans="1:75" x14ac:dyDescent="0.2">
      <c r="A14" s="2">
        <v>7.25</v>
      </c>
      <c r="B14" s="236">
        <v>8</v>
      </c>
      <c r="C14" s="43">
        <f t="shared" si="13"/>
        <v>9.9999999999999992E-2</v>
      </c>
      <c r="D14" s="5">
        <f t="shared" si="14"/>
        <v>-0.52562500000000001</v>
      </c>
      <c r="E14" s="92">
        <f t="shared" si="15"/>
        <v>0.42049999999999998</v>
      </c>
      <c r="F14" s="76">
        <f t="shared" si="16"/>
        <v>-0.26281250000000006</v>
      </c>
      <c r="G14" s="96">
        <f t="shared" si="17"/>
        <v>0.21024999999999999</v>
      </c>
      <c r="H14" s="157">
        <v>-3.95</v>
      </c>
      <c r="I14" s="99">
        <v>5.32</v>
      </c>
      <c r="J14" s="36">
        <f t="shared" si="18"/>
        <v>-4.7384374999999999</v>
      </c>
      <c r="K14" s="102">
        <f t="shared" si="18"/>
        <v>5.9507500000000002</v>
      </c>
      <c r="L14" s="167" t="s">
        <v>12</v>
      </c>
      <c r="M14" s="236">
        <v>0.2</v>
      </c>
      <c r="N14" s="236">
        <v>5.5</v>
      </c>
      <c r="O14" s="315">
        <f t="shared" si="19"/>
        <v>0.43636363636363645</v>
      </c>
      <c r="P14" s="224">
        <f t="shared" si="20"/>
        <v>0.43636363636363645</v>
      </c>
      <c r="Q14" s="195">
        <f t="shared" si="0"/>
        <v>5.25</v>
      </c>
      <c r="R14" s="102">
        <f t="shared" si="1"/>
        <v>5.75</v>
      </c>
      <c r="S14" s="253">
        <f t="shared" si="21"/>
        <v>-27.425841883714806</v>
      </c>
      <c r="T14" s="105">
        <f t="shared" si="22"/>
        <v>31.447633917847703</v>
      </c>
      <c r="U14" s="68">
        <v>2</v>
      </c>
      <c r="V14" s="69">
        <v>1.5</v>
      </c>
      <c r="W14" s="131">
        <f t="shared" si="23"/>
        <v>2.1818181818181817</v>
      </c>
      <c r="X14" s="239">
        <f t="shared" si="54"/>
        <v>2.1818181818181817</v>
      </c>
      <c r="Y14" s="201">
        <f t="shared" si="24"/>
        <v>22</v>
      </c>
      <c r="Z14" s="24">
        <f t="shared" si="25"/>
        <v>16.5</v>
      </c>
      <c r="AA14" s="3">
        <v>130</v>
      </c>
      <c r="AB14" s="249">
        <f t="shared" si="26"/>
        <v>36.870040192552679</v>
      </c>
      <c r="AC14" s="183">
        <f t="shared" si="27"/>
        <v>44.656307494224144</v>
      </c>
      <c r="AD14" s="24">
        <v>36</v>
      </c>
      <c r="AF14" s="2">
        <f t="shared" si="2"/>
        <v>7.25</v>
      </c>
      <c r="AG14" s="246">
        <f t="shared" si="3"/>
        <v>8</v>
      </c>
      <c r="AH14" s="169" t="str">
        <f t="shared" si="4"/>
        <v>#4 @ 5.5</v>
      </c>
      <c r="AI14" s="55">
        <v>8</v>
      </c>
      <c r="AJ14" s="2">
        <f t="shared" si="28"/>
        <v>1800</v>
      </c>
      <c r="AK14" s="47">
        <v>36000</v>
      </c>
      <c r="AL14" s="43">
        <f t="shared" si="29"/>
        <v>0.2857142857142857</v>
      </c>
      <c r="AM14" s="4">
        <f t="shared" si="30"/>
        <v>0.90476190476190477</v>
      </c>
      <c r="AN14" s="253">
        <f t="shared" si="5"/>
        <v>-4.7384374999999999</v>
      </c>
      <c r="AO14" s="108">
        <f t="shared" si="6"/>
        <v>5.9507500000000002</v>
      </c>
      <c r="AP14" s="195">
        <f t="shared" si="31"/>
        <v>1.4808622131025213</v>
      </c>
      <c r="AQ14" s="253">
        <f t="shared" si="32"/>
        <v>0.5818181818181819</v>
      </c>
      <c r="AR14" s="157">
        <f t="shared" si="33"/>
        <v>-3.0545454545454551</v>
      </c>
      <c r="AS14" s="111">
        <f t="shared" si="34"/>
        <v>0.5818181818181819</v>
      </c>
      <c r="AT14" s="111">
        <f t="shared" si="35"/>
        <v>-3.3454545454545461</v>
      </c>
      <c r="AU14" s="102">
        <f t="shared" si="36"/>
        <v>1.5611391386540865</v>
      </c>
      <c r="AV14" s="253">
        <f t="shared" si="7"/>
        <v>-11.954734234652719</v>
      </c>
      <c r="AW14" s="108">
        <f t="shared" si="8"/>
        <v>13.654719861007292</v>
      </c>
      <c r="AX14" s="195">
        <f t="shared" si="37"/>
        <v>-1.3454700161476225</v>
      </c>
      <c r="AY14" s="105">
        <f t="shared" si="38"/>
        <v>1.4577731011620474</v>
      </c>
      <c r="AZ14" s="253">
        <f t="shared" si="39"/>
        <v>-27.396265954412474</v>
      </c>
      <c r="BA14" s="258">
        <f t="shared" si="40"/>
        <v>-27.396265954412474</v>
      </c>
      <c r="BB14" s="108">
        <f t="shared" si="41"/>
        <v>31.292066348141702</v>
      </c>
      <c r="BC14" s="258">
        <f t="shared" si="42"/>
        <v>31.292066348141706</v>
      </c>
      <c r="BE14" s="2">
        <f t="shared" si="9"/>
        <v>7.25</v>
      </c>
      <c r="BF14" s="138">
        <f t="shared" si="10"/>
        <v>8</v>
      </c>
      <c r="BG14" s="169" t="str">
        <f t="shared" si="11"/>
        <v>#4 @ 5.5</v>
      </c>
      <c r="BH14" s="66">
        <f t="shared" si="43"/>
        <v>0.6777907356253996</v>
      </c>
      <c r="BI14" s="129">
        <f t="shared" si="44"/>
        <v>1.5363256674175726E-2</v>
      </c>
      <c r="BJ14" s="191">
        <f t="shared" si="45"/>
        <v>2.5</v>
      </c>
      <c r="BK14" s="22">
        <f t="shared" si="46"/>
        <v>27.396265954412474</v>
      </c>
      <c r="BL14" s="55">
        <f t="shared" si="12"/>
        <v>8</v>
      </c>
      <c r="BM14" s="87">
        <f t="shared" si="47"/>
        <v>1.6493506493506493</v>
      </c>
      <c r="BN14" s="227">
        <v>5.5</v>
      </c>
      <c r="BP14" s="66">
        <f t="shared" si="48"/>
        <v>0.69692179710590652</v>
      </c>
      <c r="BQ14" s="129">
        <f t="shared" si="49"/>
        <v>1.1847670550800412E-2</v>
      </c>
      <c r="BR14" s="191">
        <f t="shared" si="50"/>
        <v>2.25</v>
      </c>
      <c r="BS14" s="22">
        <f t="shared" si="51"/>
        <v>31.292066348141702</v>
      </c>
      <c r="BT14" s="87">
        <f t="shared" si="52"/>
        <v>1.5590062111801242</v>
      </c>
      <c r="BU14" s="230">
        <f t="shared" si="53"/>
        <v>5.5</v>
      </c>
      <c r="BW14" s="155"/>
    </row>
    <row r="15" spans="1:75" x14ac:dyDescent="0.2">
      <c r="A15" s="2">
        <v>7.5</v>
      </c>
      <c r="B15" s="236">
        <v>8</v>
      </c>
      <c r="C15" s="43">
        <f t="shared" si="13"/>
        <v>9.9999999999999992E-2</v>
      </c>
      <c r="D15" s="5">
        <f t="shared" si="14"/>
        <v>-0.5625</v>
      </c>
      <c r="E15" s="92">
        <f t="shared" si="15"/>
        <v>0.45</v>
      </c>
      <c r="F15" s="76">
        <f t="shared" si="16"/>
        <v>-0.28125000000000006</v>
      </c>
      <c r="G15" s="96">
        <f t="shared" si="17"/>
        <v>0.22500000000000001</v>
      </c>
      <c r="H15" s="157">
        <v>-4.0599999999999996</v>
      </c>
      <c r="I15" s="99">
        <v>5.44</v>
      </c>
      <c r="J15" s="36">
        <f t="shared" si="18"/>
        <v>-4.9037499999999996</v>
      </c>
      <c r="K15" s="102">
        <f t="shared" si="18"/>
        <v>6.1150000000000002</v>
      </c>
      <c r="L15" s="167" t="s">
        <v>12</v>
      </c>
      <c r="M15" s="236">
        <v>0.2</v>
      </c>
      <c r="N15" s="236">
        <v>5.5</v>
      </c>
      <c r="O15" s="315">
        <f t="shared" si="19"/>
        <v>0.43636363636363645</v>
      </c>
      <c r="P15" s="224">
        <f t="shared" si="20"/>
        <v>0.43636363636363645</v>
      </c>
      <c r="Q15" s="195">
        <f t="shared" si="0"/>
        <v>5.25</v>
      </c>
      <c r="R15" s="102">
        <f t="shared" si="1"/>
        <v>5.75</v>
      </c>
      <c r="S15" s="253">
        <f t="shared" si="21"/>
        <v>-28.382662457248088</v>
      </c>
      <c r="T15" s="105">
        <f t="shared" si="22"/>
        <v>32.315637761229873</v>
      </c>
      <c r="U15" s="68">
        <v>2</v>
      </c>
      <c r="V15" s="69">
        <v>1.5</v>
      </c>
      <c r="W15" s="131">
        <f t="shared" si="23"/>
        <v>2.1818181818181817</v>
      </c>
      <c r="X15" s="239">
        <f t="shared" si="54"/>
        <v>2.1818181818181817</v>
      </c>
      <c r="Y15" s="201">
        <f t="shared" si="24"/>
        <v>22</v>
      </c>
      <c r="Z15" s="24">
        <f t="shared" si="25"/>
        <v>16.5</v>
      </c>
      <c r="AA15" s="3">
        <v>130</v>
      </c>
      <c r="AB15" s="249">
        <f t="shared" si="26"/>
        <v>36.870040192552679</v>
      </c>
      <c r="AC15" s="183">
        <f t="shared" si="27"/>
        <v>44.656307494224144</v>
      </c>
      <c r="AD15" s="24">
        <v>36</v>
      </c>
      <c r="AF15" s="2">
        <f t="shared" si="2"/>
        <v>7.5</v>
      </c>
      <c r="AG15" s="246">
        <f t="shared" si="3"/>
        <v>8</v>
      </c>
      <c r="AH15" s="169" t="str">
        <f t="shared" si="4"/>
        <v>#4 @ 5.5</v>
      </c>
      <c r="AI15" s="55">
        <v>8</v>
      </c>
      <c r="AJ15" s="2">
        <f t="shared" si="28"/>
        <v>1800</v>
      </c>
      <c r="AK15" s="47">
        <v>36000</v>
      </c>
      <c r="AL15" s="43">
        <f t="shared" si="29"/>
        <v>0.2857142857142857</v>
      </c>
      <c r="AM15" s="4">
        <f t="shared" si="30"/>
        <v>0.90476190476190477</v>
      </c>
      <c r="AN15" s="253">
        <f t="shared" si="5"/>
        <v>-4.9037499999999996</v>
      </c>
      <c r="AO15" s="108">
        <f t="shared" si="6"/>
        <v>6.1150000000000002</v>
      </c>
      <c r="AP15" s="195">
        <f t="shared" si="31"/>
        <v>1.4808622131025213</v>
      </c>
      <c r="AQ15" s="253">
        <f t="shared" si="32"/>
        <v>0.5818181818181819</v>
      </c>
      <c r="AR15" s="157">
        <f t="shared" si="33"/>
        <v>-3.0545454545454551</v>
      </c>
      <c r="AS15" s="111">
        <f t="shared" si="34"/>
        <v>0.5818181818181819</v>
      </c>
      <c r="AT15" s="111">
        <f t="shared" si="35"/>
        <v>-3.3454545454545461</v>
      </c>
      <c r="AU15" s="102">
        <f t="shared" si="36"/>
        <v>1.5611391386540865</v>
      </c>
      <c r="AV15" s="253">
        <f t="shared" si="7"/>
        <v>-12.371805685561593</v>
      </c>
      <c r="AW15" s="108">
        <f t="shared" si="8"/>
        <v>14.031611469152557</v>
      </c>
      <c r="AX15" s="260">
        <f t="shared" si="37"/>
        <v>-1.3924101756504972</v>
      </c>
      <c r="AY15" s="105">
        <f t="shared" si="38"/>
        <v>1.4980099170030532</v>
      </c>
      <c r="AZ15" s="253">
        <f t="shared" si="39"/>
        <v>-28.352054696078643</v>
      </c>
      <c r="BA15" s="258">
        <f t="shared" si="40"/>
        <v>-28.352054696078646</v>
      </c>
      <c r="BB15" s="108">
        <f t="shared" si="41"/>
        <v>32.155776283474601</v>
      </c>
      <c r="BC15" s="258">
        <f t="shared" si="42"/>
        <v>32.155776283474601</v>
      </c>
      <c r="BE15" s="2">
        <f t="shared" si="9"/>
        <v>7.5</v>
      </c>
      <c r="BF15" s="138">
        <f t="shared" si="10"/>
        <v>8</v>
      </c>
      <c r="BG15" s="169" t="str">
        <f t="shared" si="11"/>
        <v>#4 @ 5.5</v>
      </c>
      <c r="BH15" s="66">
        <f t="shared" si="43"/>
        <v>0.7014371973510366</v>
      </c>
      <c r="BI15" s="129">
        <f t="shared" si="44"/>
        <v>1.5899243139956831E-2</v>
      </c>
      <c r="BJ15" s="191">
        <f t="shared" si="45"/>
        <v>2.5</v>
      </c>
      <c r="BK15" s="22">
        <f t="shared" si="46"/>
        <v>28.352054696078643</v>
      </c>
      <c r="BL15" s="55">
        <f t="shared" si="12"/>
        <v>8</v>
      </c>
      <c r="BM15" s="87">
        <f t="shared" si="47"/>
        <v>1.6493506493506493</v>
      </c>
      <c r="BN15" s="227">
        <v>5.5</v>
      </c>
      <c r="BP15" s="66">
        <f t="shared" si="48"/>
        <v>0.7161579278750777</v>
      </c>
      <c r="BQ15" s="129">
        <f t="shared" si="49"/>
        <v>1.2174684773876322E-2</v>
      </c>
      <c r="BR15" s="191">
        <f t="shared" si="50"/>
        <v>2.25</v>
      </c>
      <c r="BS15" s="22">
        <f t="shared" si="51"/>
        <v>32.155776283474601</v>
      </c>
      <c r="BT15" s="87">
        <f t="shared" si="52"/>
        <v>1.5590062111801242</v>
      </c>
      <c r="BU15" s="230">
        <f t="shared" si="53"/>
        <v>5.5</v>
      </c>
      <c r="BW15" s="155"/>
    </row>
    <row r="16" spans="1:75" x14ac:dyDescent="0.2">
      <c r="A16" s="2">
        <v>7.75</v>
      </c>
      <c r="B16" s="236">
        <v>8</v>
      </c>
      <c r="C16" s="43">
        <f t="shared" si="13"/>
        <v>9.9999999999999992E-2</v>
      </c>
      <c r="D16" s="5">
        <f t="shared" si="14"/>
        <v>-0.60062499999999996</v>
      </c>
      <c r="E16" s="92">
        <f t="shared" si="15"/>
        <v>0.48049999999999998</v>
      </c>
      <c r="F16" s="76">
        <f t="shared" si="16"/>
        <v>-0.30031250000000004</v>
      </c>
      <c r="G16" s="96">
        <f t="shared" si="17"/>
        <v>0.24024999999999999</v>
      </c>
      <c r="H16" s="157">
        <v>-4.16</v>
      </c>
      <c r="I16" s="99">
        <v>5.56</v>
      </c>
      <c r="J16" s="36">
        <f t="shared" si="18"/>
        <v>-5.0609374999999996</v>
      </c>
      <c r="K16" s="102">
        <f t="shared" si="18"/>
        <v>6.2807499999999994</v>
      </c>
      <c r="L16" s="167" t="s">
        <v>12</v>
      </c>
      <c r="M16" s="238">
        <v>0.2</v>
      </c>
      <c r="N16" s="236">
        <v>5.5</v>
      </c>
      <c r="O16" s="316">
        <f t="shared" si="19"/>
        <v>0.43636363636363645</v>
      </c>
      <c r="P16" s="225">
        <f t="shared" si="20"/>
        <v>0.43636363636363645</v>
      </c>
      <c r="Q16" s="195">
        <f t="shared" si="0"/>
        <v>5.25</v>
      </c>
      <c r="R16" s="102">
        <f t="shared" si="1"/>
        <v>5.75</v>
      </c>
      <c r="S16" s="61">
        <f t="shared" si="21"/>
        <v>-29.292455932649297</v>
      </c>
      <c r="T16" s="254">
        <f t="shared" si="22"/>
        <v>33.191568580350705</v>
      </c>
      <c r="U16" s="68">
        <v>2</v>
      </c>
      <c r="V16" s="69">
        <v>1.5</v>
      </c>
      <c r="W16" s="132">
        <f t="shared" si="23"/>
        <v>2.1818181818181817</v>
      </c>
      <c r="X16" s="242">
        <f>12/N16</f>
        <v>2.1818181818181817</v>
      </c>
      <c r="Y16" s="201">
        <f t="shared" si="24"/>
        <v>22</v>
      </c>
      <c r="Z16" s="24">
        <f t="shared" si="25"/>
        <v>16.5</v>
      </c>
      <c r="AA16" s="3">
        <v>130</v>
      </c>
      <c r="AB16" s="249">
        <f t="shared" si="26"/>
        <v>36.870040192552679</v>
      </c>
      <c r="AC16" s="183">
        <f t="shared" si="27"/>
        <v>44.656307494224144</v>
      </c>
      <c r="AD16" s="24">
        <v>36</v>
      </c>
      <c r="AF16" s="2">
        <f t="shared" si="2"/>
        <v>7.75</v>
      </c>
      <c r="AG16" s="246">
        <f t="shared" si="3"/>
        <v>8</v>
      </c>
      <c r="AH16" s="169" t="str">
        <f t="shared" si="4"/>
        <v>#4 @ 5.5</v>
      </c>
      <c r="AI16" s="55">
        <v>8</v>
      </c>
      <c r="AJ16" s="8">
        <f t="shared" si="28"/>
        <v>1800</v>
      </c>
      <c r="AK16" s="47">
        <v>36000</v>
      </c>
      <c r="AL16" s="43">
        <f t="shared" si="29"/>
        <v>0.2857142857142857</v>
      </c>
      <c r="AM16" s="4">
        <f t="shared" si="30"/>
        <v>0.90476190476190477</v>
      </c>
      <c r="AN16" s="253">
        <f t="shared" si="5"/>
        <v>-5.0609374999999996</v>
      </c>
      <c r="AO16" s="108">
        <f t="shared" si="6"/>
        <v>6.2807499999999994</v>
      </c>
      <c r="AP16" s="195">
        <f t="shared" si="31"/>
        <v>1.4808622131025213</v>
      </c>
      <c r="AQ16" s="253">
        <f t="shared" si="32"/>
        <v>0.5818181818181819</v>
      </c>
      <c r="AR16" s="157">
        <f t="shared" si="33"/>
        <v>-3.0545454545454551</v>
      </c>
      <c r="AS16" s="111">
        <f t="shared" si="34"/>
        <v>0.5818181818181819</v>
      </c>
      <c r="AT16" s="111">
        <f t="shared" si="35"/>
        <v>-3.3454545454545461</v>
      </c>
      <c r="AU16" s="102">
        <f t="shared" si="36"/>
        <v>1.5611391386540865</v>
      </c>
      <c r="AV16" s="253">
        <f t="shared" si="7"/>
        <v>-12.768378350603493</v>
      </c>
      <c r="AW16" s="108">
        <f t="shared" si="8"/>
        <v>14.411945009792301</v>
      </c>
      <c r="AX16" s="260">
        <f t="shared" si="37"/>
        <v>-1.4370432573706222</v>
      </c>
      <c r="AY16" s="105">
        <f t="shared" si="38"/>
        <v>1.5386141923494565</v>
      </c>
      <c r="AZ16" s="253">
        <f t="shared" si="39"/>
        <v>-29.260867053466331</v>
      </c>
      <c r="BA16" s="259">
        <f t="shared" si="40"/>
        <v>-29.260867053466331</v>
      </c>
      <c r="BB16" s="108">
        <f t="shared" si="41"/>
        <v>33.027373980774016</v>
      </c>
      <c r="BC16" s="259">
        <f t="shared" si="42"/>
        <v>33.027373980774016</v>
      </c>
      <c r="BE16" s="2">
        <f t="shared" si="9"/>
        <v>7.75</v>
      </c>
      <c r="BF16" s="138">
        <f t="shared" si="10"/>
        <v>8</v>
      </c>
      <c r="BG16" s="175" t="str">
        <f t="shared" si="11"/>
        <v>#4 @ 5.5</v>
      </c>
      <c r="BH16" s="66">
        <f t="shared" si="43"/>
        <v>0.7239214511279658</v>
      </c>
      <c r="BI16" s="44">
        <f t="shared" si="44"/>
        <v>1.6408886225567226E-2</v>
      </c>
      <c r="BJ16" s="234">
        <f t="shared" si="45"/>
        <v>2.5</v>
      </c>
      <c r="BK16" s="25">
        <f t="shared" si="46"/>
        <v>29.260867053466331</v>
      </c>
      <c r="BL16" s="57">
        <f t="shared" si="12"/>
        <v>8</v>
      </c>
      <c r="BM16" s="89">
        <f t="shared" si="47"/>
        <v>1.6493506493506493</v>
      </c>
      <c r="BN16" s="228">
        <v>5.5</v>
      </c>
      <c r="BP16" s="66">
        <f t="shared" si="48"/>
        <v>0.73556973107136447</v>
      </c>
      <c r="BQ16" s="129">
        <f t="shared" si="49"/>
        <v>1.2504685428213197E-2</v>
      </c>
      <c r="BR16" s="234">
        <f t="shared" si="50"/>
        <v>2.25</v>
      </c>
      <c r="BS16" s="22">
        <f t="shared" si="51"/>
        <v>33.027373980774016</v>
      </c>
      <c r="BT16" s="87">
        <f t="shared" si="52"/>
        <v>1.5590062111801242</v>
      </c>
      <c r="BU16" s="230">
        <f t="shared" si="53"/>
        <v>5.5</v>
      </c>
      <c r="BW16" s="155"/>
    </row>
    <row r="17" spans="1:75" x14ac:dyDescent="0.2">
      <c r="A17" s="17">
        <v>8</v>
      </c>
      <c r="B17" s="237">
        <v>8</v>
      </c>
      <c r="C17" s="42">
        <f t="shared" si="13"/>
        <v>9.9999999999999992E-2</v>
      </c>
      <c r="D17" s="20">
        <f t="shared" si="14"/>
        <v>-0.64</v>
      </c>
      <c r="E17" s="93">
        <f t="shared" si="15"/>
        <v>0.51200000000000001</v>
      </c>
      <c r="F17" s="77">
        <f t="shared" si="16"/>
        <v>-0.32000000000000006</v>
      </c>
      <c r="G17" s="97">
        <f t="shared" si="17"/>
        <v>0.25600000000000001</v>
      </c>
      <c r="H17" s="160">
        <v>-4.26</v>
      </c>
      <c r="I17" s="100">
        <v>5.69</v>
      </c>
      <c r="J17" s="37">
        <f t="shared" si="18"/>
        <v>-5.22</v>
      </c>
      <c r="K17" s="103">
        <f t="shared" si="18"/>
        <v>6.4580000000000002</v>
      </c>
      <c r="L17" s="173" t="s">
        <v>102</v>
      </c>
      <c r="M17" s="237">
        <v>0.31</v>
      </c>
      <c r="N17" s="237">
        <v>7.5</v>
      </c>
      <c r="O17" s="315">
        <f t="shared" si="19"/>
        <v>0.49599999999999994</v>
      </c>
      <c r="P17" s="224">
        <f t="shared" si="20"/>
        <v>0.49599999999999994</v>
      </c>
      <c r="Q17" s="256">
        <f t="shared" ref="Q17:Q33" si="55">B17-2.5-0.625/2</f>
        <v>5.1875</v>
      </c>
      <c r="R17" s="103">
        <f t="shared" ref="R17:R33" si="56">B17-1.5-0.625/2-0.5</f>
        <v>5.6875</v>
      </c>
      <c r="S17" s="253">
        <f t="shared" si="21"/>
        <v>-26.900687762634931</v>
      </c>
      <c r="T17" s="105">
        <f t="shared" si="22"/>
        <v>30.354817166437204</v>
      </c>
      <c r="U17" s="70">
        <v>2</v>
      </c>
      <c r="V17" s="71">
        <v>1.5</v>
      </c>
      <c r="W17" s="131">
        <f t="shared" si="23"/>
        <v>1.6</v>
      </c>
      <c r="X17" s="239">
        <f t="shared" si="54"/>
        <v>1.6</v>
      </c>
      <c r="Y17" s="244">
        <f t="shared" si="24"/>
        <v>30</v>
      </c>
      <c r="Z17" s="28">
        <f t="shared" si="25"/>
        <v>22.5</v>
      </c>
      <c r="AA17" s="18">
        <v>130</v>
      </c>
      <c r="AB17" s="250">
        <f t="shared" si="26"/>
        <v>33.252092958316553</v>
      </c>
      <c r="AC17" s="184">
        <f t="shared" si="27"/>
        <v>40.274317039476536</v>
      </c>
      <c r="AD17" s="28">
        <v>36</v>
      </c>
      <c r="AF17" s="56">
        <f t="shared" si="2"/>
        <v>8</v>
      </c>
      <c r="AG17" s="247">
        <f t="shared" si="3"/>
        <v>8</v>
      </c>
      <c r="AH17" s="174" t="str">
        <f t="shared" si="4"/>
        <v>#5 @ 7.5</v>
      </c>
      <c r="AI17" s="56">
        <v>8</v>
      </c>
      <c r="AJ17" s="2">
        <f t="shared" si="28"/>
        <v>1800</v>
      </c>
      <c r="AK17" s="48">
        <v>36000</v>
      </c>
      <c r="AL17" s="42">
        <f t="shared" si="29"/>
        <v>0.2857142857142857</v>
      </c>
      <c r="AM17" s="19">
        <f t="shared" si="30"/>
        <v>0.90476190476190477</v>
      </c>
      <c r="AN17" s="255">
        <f t="shared" si="5"/>
        <v>-5.22</v>
      </c>
      <c r="AO17" s="109">
        <f t="shared" si="6"/>
        <v>6.4580000000000002</v>
      </c>
      <c r="AP17" s="256">
        <f t="shared" si="31"/>
        <v>1.5508239953115186</v>
      </c>
      <c r="AQ17" s="255">
        <f t="shared" si="32"/>
        <v>0.66133333333333322</v>
      </c>
      <c r="AR17" s="160">
        <f t="shared" si="33"/>
        <v>-3.4306666666666659</v>
      </c>
      <c r="AS17" s="112">
        <f t="shared" si="34"/>
        <v>0.66133333333333322</v>
      </c>
      <c r="AT17" s="112">
        <f t="shared" si="35"/>
        <v>-3.761333333333333</v>
      </c>
      <c r="AU17" s="103">
        <f t="shared" si="36"/>
        <v>1.6367361334171844</v>
      </c>
      <c r="AV17" s="255">
        <f t="shared" si="7"/>
        <v>-13.411671804081085</v>
      </c>
      <c r="AW17" s="109">
        <f t="shared" si="8"/>
        <v>15.071409235275803</v>
      </c>
      <c r="AX17" s="261">
        <f t="shared" si="37"/>
        <v>-1.4413490123774537</v>
      </c>
      <c r="AY17" s="106">
        <f t="shared" si="38"/>
        <v>1.5347015856296125</v>
      </c>
      <c r="AZ17" s="255">
        <f t="shared" si="39"/>
        <v>-27.039660895324779</v>
      </c>
      <c r="BA17" s="258">
        <f t="shared" si="40"/>
        <v>-27.039660895324772</v>
      </c>
      <c r="BB17" s="109">
        <f t="shared" si="41"/>
        <v>30.385905716281865</v>
      </c>
      <c r="BC17" s="258">
        <f t="shared" si="42"/>
        <v>30.385905716281865</v>
      </c>
      <c r="BE17" s="56">
        <f t="shared" si="9"/>
        <v>8</v>
      </c>
      <c r="BF17" s="150">
        <f t="shared" si="10"/>
        <v>8</v>
      </c>
      <c r="BG17" s="174" t="str">
        <f t="shared" si="11"/>
        <v>#5 @ 7.5</v>
      </c>
      <c r="BH17" s="88">
        <f t="shared" si="43"/>
        <v>0.83611841788450292</v>
      </c>
      <c r="BI17" s="224">
        <f>0.017*BH17/0.75</f>
        <v>1.8952017472048735E-2</v>
      </c>
      <c r="BJ17" s="226">
        <f>2+0.625</f>
        <v>2.625</v>
      </c>
      <c r="BK17" s="22">
        <f t="shared" si="46"/>
        <v>27.039660895324779</v>
      </c>
      <c r="BL17" s="55">
        <f t="shared" si="12"/>
        <v>8</v>
      </c>
      <c r="BM17" s="87">
        <f t="shared" si="47"/>
        <v>1.6976744186046511</v>
      </c>
      <c r="BN17" s="227">
        <v>7.5</v>
      </c>
      <c r="BP17" s="88">
        <f t="shared" si="48"/>
        <v>0.87345543641617729</v>
      </c>
      <c r="BQ17" s="42">
        <f t="shared" si="49"/>
        <v>1.4848742419075014E-2</v>
      </c>
      <c r="BR17" s="191">
        <f>1.5+0.625+0.625/2</f>
        <v>2.4375</v>
      </c>
      <c r="BS17" s="27">
        <f t="shared" si="51"/>
        <v>30.385905716281865</v>
      </c>
      <c r="BT17" s="88">
        <f t="shared" si="52"/>
        <v>1.6260032102728732</v>
      </c>
      <c r="BU17" s="231">
        <f t="shared" si="53"/>
        <v>7.5</v>
      </c>
      <c r="BW17" s="155"/>
    </row>
    <row r="18" spans="1:75" x14ac:dyDescent="0.2">
      <c r="A18" s="2">
        <v>8.25</v>
      </c>
      <c r="B18" s="236">
        <v>8</v>
      </c>
      <c r="C18" s="43">
        <f t="shared" si="13"/>
        <v>9.9999999999999992E-2</v>
      </c>
      <c r="D18" s="5">
        <f t="shared" si="14"/>
        <v>-0.68062500000000004</v>
      </c>
      <c r="E18" s="92">
        <f t="shared" si="15"/>
        <v>0.54449999999999998</v>
      </c>
      <c r="F18" s="76">
        <f t="shared" si="16"/>
        <v>-0.34031250000000007</v>
      </c>
      <c r="G18" s="96">
        <f t="shared" si="17"/>
        <v>0.27224999999999999</v>
      </c>
      <c r="H18" s="157">
        <v>-4.34</v>
      </c>
      <c r="I18" s="99">
        <v>5.83</v>
      </c>
      <c r="J18" s="36">
        <f t="shared" si="18"/>
        <v>-5.3609375000000004</v>
      </c>
      <c r="K18" s="102">
        <f t="shared" si="18"/>
        <v>6.6467499999999999</v>
      </c>
      <c r="L18" s="167" t="s">
        <v>102</v>
      </c>
      <c r="M18" s="236">
        <v>0.31</v>
      </c>
      <c r="N18" s="236">
        <v>7.5</v>
      </c>
      <c r="O18" s="315">
        <f t="shared" si="19"/>
        <v>0.49599999999999994</v>
      </c>
      <c r="P18" s="224">
        <f t="shared" si="20"/>
        <v>0.49599999999999994</v>
      </c>
      <c r="Q18" s="195">
        <f t="shared" si="55"/>
        <v>5.1875</v>
      </c>
      <c r="R18" s="102">
        <f t="shared" si="56"/>
        <v>5.6875</v>
      </c>
      <c r="S18" s="253">
        <f t="shared" si="21"/>
        <v>-27.626993448754927</v>
      </c>
      <c r="T18" s="105">
        <f t="shared" si="22"/>
        <v>31.242006968258973</v>
      </c>
      <c r="U18" s="68">
        <v>2</v>
      </c>
      <c r="V18" s="69">
        <v>1.5</v>
      </c>
      <c r="W18" s="131">
        <f t="shared" si="23"/>
        <v>1.6</v>
      </c>
      <c r="X18" s="239">
        <f t="shared" si="54"/>
        <v>1.6</v>
      </c>
      <c r="Y18" s="201">
        <f t="shared" si="24"/>
        <v>30</v>
      </c>
      <c r="Z18" s="24">
        <f t="shared" si="25"/>
        <v>22.5</v>
      </c>
      <c r="AA18" s="3">
        <v>130</v>
      </c>
      <c r="AB18" s="249">
        <f t="shared" si="26"/>
        <v>33.252092958316553</v>
      </c>
      <c r="AC18" s="183">
        <f t="shared" si="27"/>
        <v>40.274317039476536</v>
      </c>
      <c r="AD18" s="24">
        <v>36</v>
      </c>
      <c r="AF18" s="55">
        <f t="shared" si="2"/>
        <v>8.25</v>
      </c>
      <c r="AG18" s="246">
        <f t="shared" si="3"/>
        <v>8</v>
      </c>
      <c r="AH18" s="169" t="str">
        <f t="shared" si="4"/>
        <v>#5 @ 7.5</v>
      </c>
      <c r="AI18" s="55">
        <v>8</v>
      </c>
      <c r="AJ18" s="2">
        <f t="shared" si="28"/>
        <v>1800</v>
      </c>
      <c r="AK18" s="47">
        <v>36000</v>
      </c>
      <c r="AL18" s="43">
        <f t="shared" si="29"/>
        <v>0.2857142857142857</v>
      </c>
      <c r="AM18" s="4">
        <f t="shared" si="30"/>
        <v>0.90476190476190477</v>
      </c>
      <c r="AN18" s="253">
        <f t="shared" si="5"/>
        <v>-5.3609375000000004</v>
      </c>
      <c r="AO18" s="108">
        <f t="shared" si="6"/>
        <v>6.6467499999999999</v>
      </c>
      <c r="AP18" s="195">
        <f t="shared" si="31"/>
        <v>1.5508239953115186</v>
      </c>
      <c r="AQ18" s="253">
        <f t="shared" si="32"/>
        <v>0.66133333333333322</v>
      </c>
      <c r="AR18" s="157">
        <f t="shared" si="33"/>
        <v>-3.4306666666666659</v>
      </c>
      <c r="AS18" s="111">
        <f t="shared" si="34"/>
        <v>0.66133333333333322</v>
      </c>
      <c r="AT18" s="111">
        <f t="shared" si="35"/>
        <v>-3.761333333333333</v>
      </c>
      <c r="AU18" s="102">
        <f t="shared" si="36"/>
        <v>1.6367361334171844</v>
      </c>
      <c r="AV18" s="253">
        <f t="shared" si="7"/>
        <v>-13.77378051957681</v>
      </c>
      <c r="AW18" s="108">
        <f t="shared" si="8"/>
        <v>15.511906059859001</v>
      </c>
      <c r="AX18" s="260">
        <f t="shared" si="37"/>
        <v>-1.4802647454103941</v>
      </c>
      <c r="AY18" s="105">
        <f t="shared" si="38"/>
        <v>1.5795567922396445</v>
      </c>
      <c r="AZ18" s="253">
        <f t="shared" si="39"/>
        <v>-27.76971878946939</v>
      </c>
      <c r="BA18" s="258">
        <f t="shared" si="40"/>
        <v>-27.76971878946938</v>
      </c>
      <c r="BB18" s="108">
        <f t="shared" si="41"/>
        <v>31.274004152941536</v>
      </c>
      <c r="BC18" s="258">
        <f t="shared" si="42"/>
        <v>31.274004152941536</v>
      </c>
      <c r="BE18" s="55">
        <f t="shared" si="9"/>
        <v>8.25</v>
      </c>
      <c r="BF18" s="149">
        <f t="shared" si="10"/>
        <v>8</v>
      </c>
      <c r="BG18" s="169" t="str">
        <f t="shared" si="11"/>
        <v>#5 @ 7.5</v>
      </c>
      <c r="BH18" s="87">
        <f t="shared" si="43"/>
        <v>0.85869321472752924</v>
      </c>
      <c r="BI18" s="224">
        <f t="shared" ref="BI18:BI33" si="57">0.017*BH18/0.75</f>
        <v>1.946371286715733E-2</v>
      </c>
      <c r="BJ18" s="226">
        <f t="shared" ref="BJ18:BJ33" si="58">2+0.625</f>
        <v>2.625</v>
      </c>
      <c r="BK18" s="22">
        <f t="shared" si="46"/>
        <v>27.76971878946939</v>
      </c>
      <c r="BL18" s="55">
        <f t="shared" si="12"/>
        <v>8</v>
      </c>
      <c r="BM18" s="87">
        <f t="shared" si="47"/>
        <v>1.6976744186046511</v>
      </c>
      <c r="BN18" s="227">
        <v>7.5</v>
      </c>
      <c r="BP18" s="87">
        <f t="shared" si="48"/>
        <v>0.89898419355825709</v>
      </c>
      <c r="BQ18" s="43">
        <f t="shared" si="49"/>
        <v>1.5282731290490372E-2</v>
      </c>
      <c r="BR18" s="191">
        <f t="shared" ref="BR18:BR33" si="59">1.5+0.625+0.625/2</f>
        <v>2.4375</v>
      </c>
      <c r="BS18" s="22">
        <f t="shared" si="51"/>
        <v>31.274004152941536</v>
      </c>
      <c r="BT18" s="87">
        <f t="shared" si="52"/>
        <v>1.6260032102728732</v>
      </c>
      <c r="BU18" s="232">
        <f t="shared" si="53"/>
        <v>7.5</v>
      </c>
      <c r="BW18" s="155"/>
    </row>
    <row r="19" spans="1:75" x14ac:dyDescent="0.2">
      <c r="A19" s="2">
        <v>8.5</v>
      </c>
      <c r="B19" s="236">
        <v>8</v>
      </c>
      <c r="C19" s="43">
        <f t="shared" si="13"/>
        <v>9.9999999999999992E-2</v>
      </c>
      <c r="D19" s="5">
        <f t="shared" si="14"/>
        <v>-0.72250000000000003</v>
      </c>
      <c r="E19" s="92">
        <f t="shared" si="15"/>
        <v>0.57799999999999996</v>
      </c>
      <c r="F19" s="76">
        <f t="shared" si="16"/>
        <v>-0.36125000000000007</v>
      </c>
      <c r="G19" s="96">
        <f t="shared" si="17"/>
        <v>0.28899999999999998</v>
      </c>
      <c r="H19" s="157">
        <v>-4.42</v>
      </c>
      <c r="I19" s="99">
        <v>5.99</v>
      </c>
      <c r="J19" s="36">
        <f t="shared" si="18"/>
        <v>-5.5037500000000001</v>
      </c>
      <c r="K19" s="102">
        <f t="shared" si="18"/>
        <v>6.8570000000000002</v>
      </c>
      <c r="L19" s="167" t="s">
        <v>102</v>
      </c>
      <c r="M19" s="236">
        <v>0.31</v>
      </c>
      <c r="N19" s="236">
        <v>7.5</v>
      </c>
      <c r="O19" s="315">
        <f t="shared" si="19"/>
        <v>0.49599999999999994</v>
      </c>
      <c r="P19" s="224">
        <f t="shared" si="20"/>
        <v>0.49599999999999994</v>
      </c>
      <c r="Q19" s="195">
        <f t="shared" si="55"/>
        <v>5.1875</v>
      </c>
      <c r="R19" s="102">
        <f t="shared" si="56"/>
        <v>5.6875</v>
      </c>
      <c r="S19" s="253">
        <f t="shared" si="21"/>
        <v>-28.362961738237932</v>
      </c>
      <c r="T19" s="105">
        <f t="shared" si="22"/>
        <v>32.230254151480317</v>
      </c>
      <c r="U19" s="68">
        <v>2</v>
      </c>
      <c r="V19" s="69">
        <v>1.5</v>
      </c>
      <c r="W19" s="131">
        <f t="shared" si="23"/>
        <v>1.6</v>
      </c>
      <c r="X19" s="239">
        <f t="shared" si="54"/>
        <v>1.6</v>
      </c>
      <c r="Y19" s="201">
        <f t="shared" si="24"/>
        <v>30</v>
      </c>
      <c r="Z19" s="24">
        <f t="shared" si="25"/>
        <v>22.5</v>
      </c>
      <c r="AA19" s="3">
        <v>130</v>
      </c>
      <c r="AB19" s="249">
        <f t="shared" si="26"/>
        <v>33.252092958316553</v>
      </c>
      <c r="AC19" s="183">
        <f t="shared" si="27"/>
        <v>40.274317039476536</v>
      </c>
      <c r="AD19" s="24">
        <v>36</v>
      </c>
      <c r="AF19" s="55">
        <f t="shared" si="2"/>
        <v>8.5</v>
      </c>
      <c r="AG19" s="246">
        <f t="shared" si="3"/>
        <v>8</v>
      </c>
      <c r="AH19" s="169" t="str">
        <f t="shared" si="4"/>
        <v>#5 @ 7.5</v>
      </c>
      <c r="AI19" s="55">
        <v>8</v>
      </c>
      <c r="AJ19" s="2">
        <f t="shared" si="28"/>
        <v>1800</v>
      </c>
      <c r="AK19" s="47">
        <v>36000</v>
      </c>
      <c r="AL19" s="43">
        <f t="shared" si="29"/>
        <v>0.2857142857142857</v>
      </c>
      <c r="AM19" s="4">
        <f t="shared" si="30"/>
        <v>0.90476190476190477</v>
      </c>
      <c r="AN19" s="253">
        <f t="shared" si="5"/>
        <v>-5.5037500000000001</v>
      </c>
      <c r="AO19" s="108">
        <f t="shared" si="6"/>
        <v>6.8570000000000002</v>
      </c>
      <c r="AP19" s="195">
        <f t="shared" si="31"/>
        <v>1.5508239953115186</v>
      </c>
      <c r="AQ19" s="253">
        <f t="shared" si="32"/>
        <v>0.66133333333333322</v>
      </c>
      <c r="AR19" s="157">
        <f t="shared" si="33"/>
        <v>-3.4306666666666659</v>
      </c>
      <c r="AS19" s="111">
        <f t="shared" si="34"/>
        <v>0.66133333333333322</v>
      </c>
      <c r="AT19" s="111">
        <f t="shared" si="35"/>
        <v>-3.761333333333333</v>
      </c>
      <c r="AU19" s="102">
        <f t="shared" si="36"/>
        <v>1.6367361334171844</v>
      </c>
      <c r="AV19" s="253">
        <f t="shared" si="7"/>
        <v>-14.1407066459217</v>
      </c>
      <c r="AW19" s="108">
        <f t="shared" si="8"/>
        <v>16.002578681679495</v>
      </c>
      <c r="AX19" s="260">
        <f t="shared" si="37"/>
        <v>-1.519698204381688</v>
      </c>
      <c r="AY19" s="122">
        <f t="shared" si="38"/>
        <v>1.6295213336423431</v>
      </c>
      <c r="AZ19" s="253">
        <f t="shared" si="39"/>
        <v>-28.509489205487313</v>
      </c>
      <c r="BA19" s="258">
        <f t="shared" si="40"/>
        <v>-28.509489205487302</v>
      </c>
      <c r="BB19" s="108">
        <f t="shared" si="41"/>
        <v>32.26326347112802</v>
      </c>
      <c r="BC19" s="258">
        <f t="shared" si="42"/>
        <v>32.26326347112802</v>
      </c>
      <c r="BE19" s="55">
        <f t="shared" si="9"/>
        <v>8.5</v>
      </c>
      <c r="BF19" s="149">
        <f t="shared" si="10"/>
        <v>8</v>
      </c>
      <c r="BG19" s="169" t="str">
        <f t="shared" si="11"/>
        <v>#5 @ 7.5</v>
      </c>
      <c r="BH19" s="87">
        <f t="shared" si="43"/>
        <v>0.881568341462037</v>
      </c>
      <c r="BI19" s="224">
        <f t="shared" si="57"/>
        <v>1.9982215739806172E-2</v>
      </c>
      <c r="BJ19" s="226">
        <f t="shared" si="58"/>
        <v>2.625</v>
      </c>
      <c r="BK19" s="22">
        <f t="shared" si="46"/>
        <v>28.509489205487313</v>
      </c>
      <c r="BL19" s="55">
        <f t="shared" si="12"/>
        <v>8</v>
      </c>
      <c r="BM19" s="87">
        <f t="shared" si="47"/>
        <v>1.6976744186046511</v>
      </c>
      <c r="BN19" s="227">
        <v>7.5</v>
      </c>
      <c r="BP19" s="87">
        <f t="shared" si="48"/>
        <v>0.92742086210989894</v>
      </c>
      <c r="BQ19" s="43">
        <f t="shared" si="49"/>
        <v>1.5766154655868284E-2</v>
      </c>
      <c r="BR19" s="191">
        <f t="shared" si="59"/>
        <v>2.4375</v>
      </c>
      <c r="BS19" s="22">
        <f t="shared" si="51"/>
        <v>32.26326347112802</v>
      </c>
      <c r="BT19" s="87">
        <f t="shared" si="52"/>
        <v>1.6260032102728732</v>
      </c>
      <c r="BU19" s="232">
        <f>BN19</f>
        <v>7.5</v>
      </c>
      <c r="BW19" s="155"/>
    </row>
    <row r="20" spans="1:75" x14ac:dyDescent="0.2">
      <c r="A20" s="8">
        <v>8.75</v>
      </c>
      <c r="B20" s="238">
        <v>8</v>
      </c>
      <c r="C20" s="44">
        <f t="shared" si="13"/>
        <v>9.9999999999999992E-2</v>
      </c>
      <c r="D20" s="11">
        <f t="shared" si="14"/>
        <v>-0.765625</v>
      </c>
      <c r="E20" s="94">
        <f t="shared" si="15"/>
        <v>0.61250000000000004</v>
      </c>
      <c r="F20" s="78">
        <f t="shared" si="16"/>
        <v>-0.38281250000000006</v>
      </c>
      <c r="G20" s="98">
        <f t="shared" si="17"/>
        <v>0.30625000000000002</v>
      </c>
      <c r="H20" s="158">
        <v>-4.5</v>
      </c>
      <c r="I20" s="101">
        <v>6.14</v>
      </c>
      <c r="J20" s="38">
        <f t="shared" si="18"/>
        <v>-5.6484375</v>
      </c>
      <c r="K20" s="104">
        <f t="shared" si="18"/>
        <v>7.0587499999999999</v>
      </c>
      <c r="L20" s="168" t="s">
        <v>33</v>
      </c>
      <c r="M20" s="238">
        <v>0.31</v>
      </c>
      <c r="N20" s="238">
        <v>7</v>
      </c>
      <c r="O20" s="316">
        <f t="shared" si="19"/>
        <v>0.53142857142857136</v>
      </c>
      <c r="P20" s="225">
        <f t="shared" si="20"/>
        <v>0.53142857142857136</v>
      </c>
      <c r="Q20" s="257">
        <f t="shared" si="55"/>
        <v>5.1875</v>
      </c>
      <c r="R20" s="104">
        <f t="shared" si="56"/>
        <v>5.6875</v>
      </c>
      <c r="S20" s="61">
        <f t="shared" si="21"/>
        <v>-27.168019789011687</v>
      </c>
      <c r="T20" s="254">
        <f t="shared" si="22"/>
        <v>30.966645188708991</v>
      </c>
      <c r="U20" s="72">
        <v>2</v>
      </c>
      <c r="V20" s="73">
        <v>1.5</v>
      </c>
      <c r="W20" s="132">
        <f t="shared" si="23"/>
        <v>1.7142857142857142</v>
      </c>
      <c r="X20" s="242">
        <f t="shared" si="54"/>
        <v>1.7142857142857142</v>
      </c>
      <c r="Y20" s="245">
        <f t="shared" si="24"/>
        <v>28</v>
      </c>
      <c r="Z20" s="26">
        <f t="shared" si="25"/>
        <v>21</v>
      </c>
      <c r="AA20" s="9">
        <v>130</v>
      </c>
      <c r="AB20" s="251">
        <f t="shared" si="26"/>
        <v>34.02489074260842</v>
      </c>
      <c r="AC20" s="185">
        <f t="shared" si="27"/>
        <v>41.210315354259073</v>
      </c>
      <c r="AD20" s="26">
        <v>36</v>
      </c>
      <c r="AF20" s="57">
        <f t="shared" si="2"/>
        <v>8.75</v>
      </c>
      <c r="AG20" s="60">
        <f t="shared" si="3"/>
        <v>8</v>
      </c>
      <c r="AH20" s="175" t="str">
        <f t="shared" si="4"/>
        <v>#5 @ 7</v>
      </c>
      <c r="AI20" s="57">
        <v>8</v>
      </c>
      <c r="AJ20" s="8">
        <f t="shared" si="28"/>
        <v>1800</v>
      </c>
      <c r="AK20" s="49">
        <v>36000</v>
      </c>
      <c r="AL20" s="44">
        <f t="shared" si="29"/>
        <v>0.2857142857142857</v>
      </c>
      <c r="AM20" s="10">
        <f t="shared" si="30"/>
        <v>0.90476190476190477</v>
      </c>
      <c r="AN20" s="61">
        <f t="shared" si="5"/>
        <v>-5.6484375</v>
      </c>
      <c r="AO20" s="110">
        <f t="shared" si="6"/>
        <v>7.0587499999999999</v>
      </c>
      <c r="AP20" s="257">
        <f t="shared" si="31"/>
        <v>1.5953892978794475</v>
      </c>
      <c r="AQ20" s="61">
        <f t="shared" si="32"/>
        <v>0.70857142857142852</v>
      </c>
      <c r="AR20" s="158">
        <f t="shared" si="33"/>
        <v>-3.6757142857142853</v>
      </c>
      <c r="AS20" s="113">
        <f t="shared" si="34"/>
        <v>0.70857142857142852</v>
      </c>
      <c r="AT20" s="113">
        <f t="shared" si="35"/>
        <v>-4.0299999999999994</v>
      </c>
      <c r="AU20" s="104">
        <f t="shared" si="36"/>
        <v>1.6842231444997802</v>
      </c>
      <c r="AV20" s="61">
        <f t="shared" si="7"/>
        <v>-14.55875551764098</v>
      </c>
      <c r="AW20" s="110">
        <f t="shared" si="8"/>
        <v>16.524283077210487</v>
      </c>
      <c r="AX20" s="262">
        <f t="shared" si="37"/>
        <v>-1.5209198508259731</v>
      </c>
      <c r="AY20" s="137">
        <f t="shared" si="38"/>
        <v>1.6352032618296801</v>
      </c>
      <c r="AZ20" s="61">
        <f t="shared" si="39"/>
        <v>-27.395507694485726</v>
      </c>
      <c r="BA20" s="259">
        <f t="shared" si="40"/>
        <v>-27.395507694485719</v>
      </c>
      <c r="BB20" s="110">
        <f t="shared" si="41"/>
        <v>31.09408105926704</v>
      </c>
      <c r="BC20" s="259">
        <f t="shared" si="42"/>
        <v>31.094081059267051</v>
      </c>
      <c r="BE20" s="57">
        <f t="shared" si="9"/>
        <v>8.75</v>
      </c>
      <c r="BF20" s="151">
        <f t="shared" si="10"/>
        <v>8</v>
      </c>
      <c r="BG20" s="175" t="str">
        <f t="shared" si="11"/>
        <v>#5 @ 7</v>
      </c>
      <c r="BH20" s="89">
        <f t="shared" si="43"/>
        <v>0.81390142045826774</v>
      </c>
      <c r="BI20" s="225">
        <f t="shared" si="57"/>
        <v>1.8448432197054072E-2</v>
      </c>
      <c r="BJ20" s="234">
        <f t="shared" si="58"/>
        <v>2.625</v>
      </c>
      <c r="BK20" s="22">
        <f t="shared" si="46"/>
        <v>27.395507694485726</v>
      </c>
      <c r="BL20" s="55">
        <f t="shared" si="12"/>
        <v>8</v>
      </c>
      <c r="BM20" s="87">
        <f t="shared" si="47"/>
        <v>1.6976744186046511</v>
      </c>
      <c r="BN20" s="227">
        <v>7</v>
      </c>
      <c r="BP20" s="89">
        <f t="shared" si="48"/>
        <v>0.85769860431625877</v>
      </c>
      <c r="BQ20" s="44">
        <f t="shared" si="49"/>
        <v>1.4580876273376401E-2</v>
      </c>
      <c r="BR20" s="234">
        <f t="shared" si="59"/>
        <v>2.4375</v>
      </c>
      <c r="BS20" s="25">
        <f t="shared" si="51"/>
        <v>31.09408105926704</v>
      </c>
      <c r="BT20" s="89">
        <f t="shared" si="52"/>
        <v>1.6260032102728732</v>
      </c>
      <c r="BU20" s="233">
        <f t="shared" si="53"/>
        <v>7</v>
      </c>
      <c r="BW20" s="155"/>
    </row>
    <row r="21" spans="1:75" x14ac:dyDescent="0.2">
      <c r="A21" s="2">
        <v>9</v>
      </c>
      <c r="B21" s="236">
        <v>8.25</v>
      </c>
      <c r="C21" s="43">
        <f t="shared" si="13"/>
        <v>0.10312499999999999</v>
      </c>
      <c r="D21" s="5">
        <f t="shared" si="14"/>
        <v>-0.83531250000000001</v>
      </c>
      <c r="E21" s="92">
        <f t="shared" si="15"/>
        <v>0.66825000000000001</v>
      </c>
      <c r="F21" s="76">
        <f t="shared" si="16"/>
        <v>-0.40500000000000008</v>
      </c>
      <c r="G21" s="96">
        <f t="shared" si="17"/>
        <v>0.32400000000000001</v>
      </c>
      <c r="H21" s="157">
        <v>-4.5599999999999996</v>
      </c>
      <c r="I21" s="99">
        <v>6.29</v>
      </c>
      <c r="J21" s="36">
        <f t="shared" si="18"/>
        <v>-5.8003124999999995</v>
      </c>
      <c r="K21" s="102">
        <f t="shared" si="18"/>
        <v>7.2822500000000003</v>
      </c>
      <c r="L21" s="167" t="s">
        <v>33</v>
      </c>
      <c r="M21" s="236">
        <v>0.31</v>
      </c>
      <c r="N21" s="236">
        <v>7</v>
      </c>
      <c r="O21" s="315">
        <f t="shared" si="19"/>
        <v>0.53142857142857136</v>
      </c>
      <c r="P21" s="224">
        <f t="shared" si="20"/>
        <v>0.53142857142857136</v>
      </c>
      <c r="Q21" s="195">
        <f t="shared" si="55"/>
        <v>5.4375</v>
      </c>
      <c r="R21" s="102">
        <f t="shared" si="56"/>
        <v>5.9375</v>
      </c>
      <c r="S21" s="253">
        <f t="shared" si="21"/>
        <v>-26.615822368623206</v>
      </c>
      <c r="T21" s="105">
        <f t="shared" si="22"/>
        <v>30.60199420311606</v>
      </c>
      <c r="U21" s="68">
        <v>2</v>
      </c>
      <c r="V21" s="69">
        <v>1.5</v>
      </c>
      <c r="W21" s="131">
        <f t="shared" si="23"/>
        <v>1.7142857142857142</v>
      </c>
      <c r="X21" s="239">
        <f t="shared" si="54"/>
        <v>1.7142857142857142</v>
      </c>
      <c r="Y21" s="201">
        <f t="shared" si="24"/>
        <v>28</v>
      </c>
      <c r="Z21" s="24">
        <f t="shared" si="25"/>
        <v>21</v>
      </c>
      <c r="AA21" s="3">
        <v>130</v>
      </c>
      <c r="AB21" s="249">
        <f t="shared" si="26"/>
        <v>34.02489074260842</v>
      </c>
      <c r="AC21" s="183">
        <f t="shared" si="27"/>
        <v>41.210315354259073</v>
      </c>
      <c r="AD21" s="24">
        <v>36</v>
      </c>
      <c r="AF21" s="2">
        <f t="shared" si="2"/>
        <v>9</v>
      </c>
      <c r="AG21" s="246">
        <f t="shared" si="3"/>
        <v>8.25</v>
      </c>
      <c r="AH21" s="169" t="str">
        <f t="shared" si="4"/>
        <v>#5 @ 7</v>
      </c>
      <c r="AI21" s="55">
        <v>8</v>
      </c>
      <c r="AJ21" s="2">
        <f t="shared" si="28"/>
        <v>1800</v>
      </c>
      <c r="AK21" s="47">
        <v>36000</v>
      </c>
      <c r="AL21" s="43">
        <f t="shared" si="29"/>
        <v>0.2857142857142857</v>
      </c>
      <c r="AM21" s="4">
        <f t="shared" si="30"/>
        <v>0.90476190476190477</v>
      </c>
      <c r="AN21" s="253">
        <f t="shared" si="5"/>
        <v>-5.8003124999999995</v>
      </c>
      <c r="AO21" s="108">
        <f t="shared" si="6"/>
        <v>7.2822500000000003</v>
      </c>
      <c r="AP21" s="195">
        <f t="shared" si="31"/>
        <v>1.6403008369083123</v>
      </c>
      <c r="AQ21" s="253">
        <f t="shared" si="32"/>
        <v>0.70857142857142852</v>
      </c>
      <c r="AR21" s="157">
        <f t="shared" si="33"/>
        <v>-3.8528571428571428</v>
      </c>
      <c r="AS21" s="111">
        <f t="shared" si="34"/>
        <v>0.70857142857142852</v>
      </c>
      <c r="AT21" s="111">
        <f t="shared" si="35"/>
        <v>-4.2071428571428564</v>
      </c>
      <c r="AU21" s="102">
        <f t="shared" si="36"/>
        <v>1.7272188435977884</v>
      </c>
      <c r="AV21" s="253">
        <f t="shared" si="7"/>
        <v>-14.23176223815652</v>
      </c>
      <c r="AW21" s="108">
        <f t="shared" si="8"/>
        <v>16.298191958904958</v>
      </c>
      <c r="AX21" s="260">
        <f t="shared" si="37"/>
        <v>-1.4460520409761102</v>
      </c>
      <c r="AY21" s="105">
        <f t="shared" si="38"/>
        <v>1.572681618518001</v>
      </c>
      <c r="AZ21" s="253">
        <f t="shared" si="39"/>
        <v>-26.780197759971951</v>
      </c>
      <c r="BA21" s="258">
        <f t="shared" si="40"/>
        <v>-26.780197759971951</v>
      </c>
      <c r="BB21" s="108">
        <f t="shared" si="41"/>
        <v>30.668640782885674</v>
      </c>
      <c r="BC21" s="258">
        <f t="shared" si="42"/>
        <v>30.668640782885678</v>
      </c>
      <c r="BE21" s="2">
        <f t="shared" si="9"/>
        <v>9</v>
      </c>
      <c r="BF21" s="138">
        <f t="shared" si="10"/>
        <v>8.25</v>
      </c>
      <c r="BG21" s="174" t="str">
        <f t="shared" si="11"/>
        <v>#5 @ 7</v>
      </c>
      <c r="BH21" s="87">
        <f t="shared" si="43"/>
        <v>0.78108910133251519</v>
      </c>
      <c r="BI21" s="224">
        <f t="shared" si="57"/>
        <v>1.7704686296870345E-2</v>
      </c>
      <c r="BJ21" s="226">
        <f t="shared" si="58"/>
        <v>2.625</v>
      </c>
      <c r="BK21" s="27">
        <f t="shared" si="46"/>
        <v>26.780197759971951</v>
      </c>
      <c r="BL21" s="56">
        <f t="shared" si="12"/>
        <v>8.25</v>
      </c>
      <c r="BM21" s="88">
        <f t="shared" si="47"/>
        <v>1.6666666666666667</v>
      </c>
      <c r="BN21" s="229">
        <v>7</v>
      </c>
      <c r="BP21" s="66">
        <f t="shared" si="48"/>
        <v>0.83195502255416909</v>
      </c>
      <c r="BQ21" s="43">
        <f t="shared" si="49"/>
        <v>1.4143235383420875E-2</v>
      </c>
      <c r="BR21" s="191">
        <f t="shared" si="59"/>
        <v>2.4375</v>
      </c>
      <c r="BS21" s="22">
        <f t="shared" si="51"/>
        <v>30.668640782885674</v>
      </c>
      <c r="BT21" s="87">
        <f t="shared" si="52"/>
        <v>1.599078341013825</v>
      </c>
      <c r="BU21" s="230">
        <f t="shared" si="53"/>
        <v>7</v>
      </c>
      <c r="BW21" s="155"/>
    </row>
    <row r="22" spans="1:75" x14ac:dyDescent="0.2">
      <c r="A22" s="2">
        <v>9.25</v>
      </c>
      <c r="B22" s="236">
        <v>8.25</v>
      </c>
      <c r="C22" s="43">
        <f t="shared" si="13"/>
        <v>0.10312499999999999</v>
      </c>
      <c r="D22" s="5">
        <f t="shared" si="14"/>
        <v>-0.88236328125000008</v>
      </c>
      <c r="E22" s="92">
        <f t="shared" si="15"/>
        <v>0.70589062499999999</v>
      </c>
      <c r="F22" s="76">
        <f t="shared" si="16"/>
        <v>-0.4278125000000001</v>
      </c>
      <c r="G22" s="96">
        <f t="shared" si="17"/>
        <v>0.34225</v>
      </c>
      <c r="H22" s="157">
        <v>-4.66</v>
      </c>
      <c r="I22" s="99">
        <v>6.44</v>
      </c>
      <c r="J22" s="36">
        <f t="shared" si="18"/>
        <v>-5.97017578125</v>
      </c>
      <c r="K22" s="102">
        <f t="shared" si="18"/>
        <v>7.4881406250000007</v>
      </c>
      <c r="L22" s="167" t="s">
        <v>33</v>
      </c>
      <c r="M22" s="236">
        <v>0.31</v>
      </c>
      <c r="N22" s="236">
        <v>7</v>
      </c>
      <c r="O22" s="315">
        <f t="shared" si="19"/>
        <v>0.53142857142857136</v>
      </c>
      <c r="P22" s="224">
        <f t="shared" si="20"/>
        <v>0.53142857142857136</v>
      </c>
      <c r="Q22" s="195">
        <f t="shared" si="55"/>
        <v>5.4375</v>
      </c>
      <c r="R22" s="102">
        <f t="shared" si="56"/>
        <v>5.9375</v>
      </c>
      <c r="S22" s="253">
        <f t="shared" si="21"/>
        <v>-27.395271910471429</v>
      </c>
      <c r="T22" s="105">
        <f t="shared" si="22"/>
        <v>31.467202581395572</v>
      </c>
      <c r="U22" s="68">
        <v>2</v>
      </c>
      <c r="V22" s="69">
        <v>1.5</v>
      </c>
      <c r="W22" s="131">
        <f t="shared" si="23"/>
        <v>1.7142857142857142</v>
      </c>
      <c r="X22" s="239">
        <f t="shared" si="54"/>
        <v>1.7142857142857142</v>
      </c>
      <c r="Y22" s="201">
        <f t="shared" si="24"/>
        <v>28</v>
      </c>
      <c r="Z22" s="24">
        <f t="shared" si="25"/>
        <v>21</v>
      </c>
      <c r="AA22" s="3">
        <v>130</v>
      </c>
      <c r="AB22" s="249">
        <f t="shared" si="26"/>
        <v>34.02489074260842</v>
      </c>
      <c r="AC22" s="183">
        <f t="shared" si="27"/>
        <v>41.210315354259073</v>
      </c>
      <c r="AD22" s="24">
        <v>36</v>
      </c>
      <c r="AF22" s="2">
        <f t="shared" si="2"/>
        <v>9.25</v>
      </c>
      <c r="AG22" s="246">
        <f t="shared" si="3"/>
        <v>8.25</v>
      </c>
      <c r="AH22" s="169" t="str">
        <f t="shared" si="4"/>
        <v>#5 @ 7</v>
      </c>
      <c r="AI22" s="55">
        <v>8</v>
      </c>
      <c r="AJ22" s="2">
        <f t="shared" si="28"/>
        <v>1800</v>
      </c>
      <c r="AK22" s="47">
        <v>36000</v>
      </c>
      <c r="AL22" s="43">
        <f t="shared" si="29"/>
        <v>0.2857142857142857</v>
      </c>
      <c r="AM22" s="4">
        <f t="shared" si="30"/>
        <v>0.90476190476190477</v>
      </c>
      <c r="AN22" s="253">
        <f t="shared" si="5"/>
        <v>-5.97017578125</v>
      </c>
      <c r="AO22" s="108">
        <f t="shared" si="6"/>
        <v>7.4881406250000007</v>
      </c>
      <c r="AP22" s="195">
        <f t="shared" si="31"/>
        <v>1.6403008369083123</v>
      </c>
      <c r="AQ22" s="253">
        <f t="shared" si="32"/>
        <v>0.70857142857142852</v>
      </c>
      <c r="AR22" s="157">
        <f t="shared" si="33"/>
        <v>-3.8528571428571428</v>
      </c>
      <c r="AS22" s="111">
        <f t="shared" si="34"/>
        <v>0.70857142857142852</v>
      </c>
      <c r="AT22" s="111">
        <f t="shared" si="35"/>
        <v>-4.2071428571428564</v>
      </c>
      <c r="AU22" s="102">
        <f t="shared" si="36"/>
        <v>1.7272188435977884</v>
      </c>
      <c r="AV22" s="253">
        <f t="shared" si="7"/>
        <v>-14.648542167124679</v>
      </c>
      <c r="AW22" s="108">
        <f t="shared" si="8"/>
        <v>16.758989779467139</v>
      </c>
      <c r="AX22" s="260">
        <f t="shared" si="37"/>
        <v>-1.4883999566338377</v>
      </c>
      <c r="AY22" s="122">
        <f t="shared" si="38"/>
        <v>1.6171459532171235</v>
      </c>
      <c r="AZ22" s="253">
        <f t="shared" si="39"/>
        <v>-27.5644610671701</v>
      </c>
      <c r="BA22" s="258">
        <f t="shared" si="40"/>
        <v>-27.5644610671701</v>
      </c>
      <c r="BB22" s="108">
        <f t="shared" si="41"/>
        <v>31.535733455986552</v>
      </c>
      <c r="BC22" s="258">
        <f t="shared" si="42"/>
        <v>31.535733455986556</v>
      </c>
      <c r="BE22" s="2">
        <f t="shared" si="9"/>
        <v>9.25</v>
      </c>
      <c r="BF22" s="138">
        <f t="shared" si="10"/>
        <v>8.25</v>
      </c>
      <c r="BG22" s="169" t="str">
        <f t="shared" si="11"/>
        <v>#5 @ 7</v>
      </c>
      <c r="BH22" s="87">
        <f t="shared" si="43"/>
        <v>0.80396344779246132</v>
      </c>
      <c r="BI22" s="224">
        <f t="shared" si="57"/>
        <v>1.8223171483295792E-2</v>
      </c>
      <c r="BJ22" s="226">
        <f t="shared" si="58"/>
        <v>2.625</v>
      </c>
      <c r="BK22" s="22">
        <f t="shared" si="46"/>
        <v>27.5644610671701</v>
      </c>
      <c r="BL22" s="55">
        <f t="shared" si="12"/>
        <v>8.25</v>
      </c>
      <c r="BM22" s="87">
        <f t="shared" si="47"/>
        <v>1.6666666666666667</v>
      </c>
      <c r="BN22" s="227">
        <v>7</v>
      </c>
      <c r="BP22" s="66">
        <f t="shared" si="48"/>
        <v>0.85547683786750883</v>
      </c>
      <c r="BQ22" s="43">
        <f t="shared" si="49"/>
        <v>1.4543106243747651E-2</v>
      </c>
      <c r="BR22" s="191">
        <f t="shared" si="59"/>
        <v>2.4375</v>
      </c>
      <c r="BS22" s="22">
        <f t="shared" si="51"/>
        <v>31.535733455986552</v>
      </c>
      <c r="BT22" s="87">
        <f t="shared" si="52"/>
        <v>1.599078341013825</v>
      </c>
      <c r="BU22" s="230">
        <f t="shared" si="53"/>
        <v>7</v>
      </c>
      <c r="BW22" s="155"/>
    </row>
    <row r="23" spans="1:75" x14ac:dyDescent="0.2">
      <c r="A23" s="2">
        <v>9.5</v>
      </c>
      <c r="B23" s="236">
        <v>8.5</v>
      </c>
      <c r="C23" s="43">
        <f t="shared" si="13"/>
        <v>0.10625</v>
      </c>
      <c r="D23" s="5">
        <f t="shared" si="14"/>
        <v>-0.95890625000000007</v>
      </c>
      <c r="E23" s="92">
        <f t="shared" si="15"/>
        <v>0.76712500000000006</v>
      </c>
      <c r="F23" s="76">
        <f t="shared" si="16"/>
        <v>-0.4512500000000001</v>
      </c>
      <c r="G23" s="96">
        <f t="shared" si="17"/>
        <v>0.36099999999999999</v>
      </c>
      <c r="H23" s="157">
        <v>-4.93</v>
      </c>
      <c r="I23" s="99">
        <v>6.59</v>
      </c>
      <c r="J23" s="36">
        <f t="shared" si="18"/>
        <v>-6.3401562499999997</v>
      </c>
      <c r="K23" s="102">
        <f t="shared" si="18"/>
        <v>7.7181249999999997</v>
      </c>
      <c r="L23" s="167" t="s">
        <v>33</v>
      </c>
      <c r="M23" s="236">
        <v>0.31</v>
      </c>
      <c r="N23" s="236">
        <v>7</v>
      </c>
      <c r="O23" s="315">
        <f t="shared" si="19"/>
        <v>0.53142857142857136</v>
      </c>
      <c r="P23" s="224">
        <f t="shared" si="20"/>
        <v>0.53142857142857136</v>
      </c>
      <c r="Q23" s="195">
        <f t="shared" si="55"/>
        <v>5.6875</v>
      </c>
      <c r="R23" s="102">
        <f t="shared" si="56"/>
        <v>6.1875</v>
      </c>
      <c r="S23" s="253">
        <f t="shared" si="21"/>
        <v>-27.814183677666122</v>
      </c>
      <c r="T23" s="105">
        <f t="shared" si="22"/>
        <v>31.123208560385535</v>
      </c>
      <c r="U23" s="68">
        <v>2</v>
      </c>
      <c r="V23" s="69">
        <v>1.5</v>
      </c>
      <c r="W23" s="131">
        <f t="shared" si="23"/>
        <v>1.7142857142857142</v>
      </c>
      <c r="X23" s="239">
        <f t="shared" si="54"/>
        <v>1.7142857142857142</v>
      </c>
      <c r="Y23" s="201">
        <f t="shared" si="24"/>
        <v>28</v>
      </c>
      <c r="Z23" s="24">
        <f t="shared" si="25"/>
        <v>21</v>
      </c>
      <c r="AA23" s="3">
        <v>130</v>
      </c>
      <c r="AB23" s="249">
        <f t="shared" si="26"/>
        <v>34.02489074260842</v>
      </c>
      <c r="AC23" s="183">
        <f t="shared" si="27"/>
        <v>41.210315354259073</v>
      </c>
      <c r="AD23" s="24">
        <v>36</v>
      </c>
      <c r="AF23" s="2">
        <f t="shared" si="2"/>
        <v>9.5</v>
      </c>
      <c r="AG23" s="246">
        <f t="shared" si="3"/>
        <v>8.5</v>
      </c>
      <c r="AH23" s="169" t="str">
        <f t="shared" si="4"/>
        <v>#5 @ 7</v>
      </c>
      <c r="AI23" s="55">
        <v>8</v>
      </c>
      <c r="AJ23" s="2">
        <f t="shared" si="28"/>
        <v>1800</v>
      </c>
      <c r="AK23" s="47">
        <v>36000</v>
      </c>
      <c r="AL23" s="43">
        <f t="shared" si="29"/>
        <v>0.2857142857142857</v>
      </c>
      <c r="AM23" s="4">
        <f t="shared" si="30"/>
        <v>0.90476190476190477</v>
      </c>
      <c r="AN23" s="253">
        <f t="shared" si="5"/>
        <v>-6.3401562499999997</v>
      </c>
      <c r="AO23" s="108">
        <f t="shared" si="6"/>
        <v>7.7181249999999997</v>
      </c>
      <c r="AP23" s="195">
        <f t="shared" si="31"/>
        <v>1.6842231444997802</v>
      </c>
      <c r="AQ23" s="253">
        <f t="shared" si="32"/>
        <v>0.70857142857142852</v>
      </c>
      <c r="AR23" s="157">
        <f t="shared" si="33"/>
        <v>-4.0299999999999994</v>
      </c>
      <c r="AS23" s="111">
        <f t="shared" si="34"/>
        <v>0.70857142857142852</v>
      </c>
      <c r="AT23" s="111">
        <f t="shared" si="35"/>
        <v>-4.3842857142857135</v>
      </c>
      <c r="AU23" s="102">
        <f t="shared" si="36"/>
        <v>1.769344216194795</v>
      </c>
      <c r="AV23" s="253">
        <f t="shared" si="7"/>
        <v>-14.84208062741212</v>
      </c>
      <c r="AW23" s="108">
        <f t="shared" si="8"/>
        <v>16.545579852713104</v>
      </c>
      <c r="AX23" s="260">
        <f t="shared" si="37"/>
        <v>-1.4687365582447081</v>
      </c>
      <c r="AY23" s="105">
        <f t="shared" si="38"/>
        <v>1.5585416432136767</v>
      </c>
      <c r="AZ23" s="253">
        <f t="shared" si="39"/>
        <v>-27.928646341904525</v>
      </c>
      <c r="BA23" s="258">
        <f t="shared" si="40"/>
        <v>-27.928646341904528</v>
      </c>
      <c r="BB23" s="108">
        <f t="shared" si="41"/>
        <v>31.134155636825739</v>
      </c>
      <c r="BC23" s="258">
        <f t="shared" si="42"/>
        <v>31.134155636825735</v>
      </c>
      <c r="BE23" s="2">
        <f t="shared" si="9"/>
        <v>9.5</v>
      </c>
      <c r="BF23" s="138">
        <f t="shared" si="10"/>
        <v>8.5</v>
      </c>
      <c r="BG23" s="169" t="str">
        <f t="shared" si="11"/>
        <v>#5 @ 7</v>
      </c>
      <c r="BH23" s="87">
        <f t="shared" si="43"/>
        <v>0.80072023288758198</v>
      </c>
      <c r="BI23" s="224">
        <f t="shared" si="57"/>
        <v>1.8149658612118525E-2</v>
      </c>
      <c r="BJ23" s="226">
        <f t="shared" si="58"/>
        <v>2.625</v>
      </c>
      <c r="BK23" s="22">
        <f t="shared" si="46"/>
        <v>27.928646341904525</v>
      </c>
      <c r="BL23" s="55">
        <f t="shared" si="12"/>
        <v>8.5</v>
      </c>
      <c r="BM23" s="87">
        <f t="shared" si="47"/>
        <v>1.6382978723404256</v>
      </c>
      <c r="BN23" s="227">
        <v>7</v>
      </c>
      <c r="BP23" s="66">
        <f t="shared" si="48"/>
        <v>0.83153512931249696</v>
      </c>
      <c r="BQ23" s="43">
        <f t="shared" si="49"/>
        <v>1.413609719831245E-2</v>
      </c>
      <c r="BR23" s="191">
        <f t="shared" si="59"/>
        <v>2.4375</v>
      </c>
      <c r="BS23" s="22">
        <f t="shared" si="51"/>
        <v>31.134155636825739</v>
      </c>
      <c r="BT23" s="87">
        <f t="shared" si="52"/>
        <v>1.5743740795287189</v>
      </c>
      <c r="BU23" s="230">
        <f t="shared" si="53"/>
        <v>7</v>
      </c>
      <c r="BW23" s="155"/>
    </row>
    <row r="24" spans="1:75" x14ac:dyDescent="0.2">
      <c r="A24" s="2">
        <v>9.75</v>
      </c>
      <c r="B24" s="236">
        <v>8.5</v>
      </c>
      <c r="C24" s="43">
        <f t="shared" si="13"/>
        <v>0.10625</v>
      </c>
      <c r="D24" s="5">
        <f t="shared" si="14"/>
        <v>-1.0100390625</v>
      </c>
      <c r="E24" s="92">
        <f t="shared" si="15"/>
        <v>0.80803125000000009</v>
      </c>
      <c r="F24" s="76">
        <f t="shared" si="16"/>
        <v>-0.47531250000000008</v>
      </c>
      <c r="G24" s="96">
        <f t="shared" si="17"/>
        <v>0.38025000000000003</v>
      </c>
      <c r="H24" s="157">
        <v>-5.23</v>
      </c>
      <c r="I24" s="99">
        <v>6.74</v>
      </c>
      <c r="J24" s="36">
        <f t="shared" si="18"/>
        <v>-6.7153515625000004</v>
      </c>
      <c r="K24" s="102">
        <f t="shared" si="18"/>
        <v>7.9282812500000004</v>
      </c>
      <c r="L24" s="167" t="s">
        <v>33</v>
      </c>
      <c r="M24" s="236">
        <v>0.31</v>
      </c>
      <c r="N24" s="236">
        <v>7</v>
      </c>
      <c r="O24" s="316">
        <f t="shared" si="19"/>
        <v>0.53142857142857136</v>
      </c>
      <c r="P24" s="225">
        <f t="shared" si="20"/>
        <v>0.53142857142857136</v>
      </c>
      <c r="Q24" s="195">
        <f t="shared" si="55"/>
        <v>5.6875</v>
      </c>
      <c r="R24" s="102">
        <f t="shared" si="56"/>
        <v>6.1875</v>
      </c>
      <c r="S24" s="61">
        <f>J24*12/(P24*0.905*Q24)</f>
        <v>-29.460160673402523</v>
      </c>
      <c r="T24" s="254">
        <f t="shared" si="22"/>
        <v>31.970660085078194</v>
      </c>
      <c r="U24" s="68">
        <v>2</v>
      </c>
      <c r="V24" s="69">
        <v>1.5</v>
      </c>
      <c r="W24" s="132">
        <f t="shared" si="23"/>
        <v>1.7142857142857142</v>
      </c>
      <c r="X24" s="242">
        <f t="shared" si="54"/>
        <v>1.7142857142857142</v>
      </c>
      <c r="Y24" s="201">
        <f t="shared" si="24"/>
        <v>28</v>
      </c>
      <c r="Z24" s="24">
        <f t="shared" si="25"/>
        <v>21</v>
      </c>
      <c r="AA24" s="3">
        <v>130</v>
      </c>
      <c r="AB24" s="249">
        <f t="shared" si="26"/>
        <v>34.02489074260842</v>
      </c>
      <c r="AC24" s="183">
        <f t="shared" si="27"/>
        <v>41.210315354259073</v>
      </c>
      <c r="AD24" s="24">
        <v>36</v>
      </c>
      <c r="AF24" s="2">
        <f t="shared" si="2"/>
        <v>9.75</v>
      </c>
      <c r="AG24" s="246">
        <f t="shared" si="3"/>
        <v>8.5</v>
      </c>
      <c r="AH24" s="169" t="str">
        <f t="shared" si="4"/>
        <v>#5 @ 7</v>
      </c>
      <c r="AI24" s="55">
        <v>8</v>
      </c>
      <c r="AJ24" s="8">
        <f t="shared" si="28"/>
        <v>1800</v>
      </c>
      <c r="AK24" s="47">
        <v>36000</v>
      </c>
      <c r="AL24" s="43">
        <f t="shared" si="29"/>
        <v>0.2857142857142857</v>
      </c>
      <c r="AM24" s="4">
        <f t="shared" si="30"/>
        <v>0.90476190476190477</v>
      </c>
      <c r="AN24" s="253">
        <f t="shared" si="5"/>
        <v>-6.7153515625000004</v>
      </c>
      <c r="AO24" s="108">
        <f t="shared" si="6"/>
        <v>7.9282812500000004</v>
      </c>
      <c r="AP24" s="195">
        <f t="shared" si="31"/>
        <v>1.6842231444997802</v>
      </c>
      <c r="AQ24" s="253">
        <f t="shared" si="32"/>
        <v>0.70857142857142852</v>
      </c>
      <c r="AR24" s="157">
        <f t="shared" si="33"/>
        <v>-4.0299999999999994</v>
      </c>
      <c r="AS24" s="111">
        <f t="shared" si="34"/>
        <v>0.70857142857142852</v>
      </c>
      <c r="AT24" s="111">
        <f t="shared" si="35"/>
        <v>-4.3842857142857135</v>
      </c>
      <c r="AU24" s="102">
        <f t="shared" si="36"/>
        <v>1.769344216194795</v>
      </c>
      <c r="AV24" s="253">
        <f t="shared" si="7"/>
        <v>-15.720399529907954</v>
      </c>
      <c r="AW24" s="108">
        <f t="shared" si="8"/>
        <v>16.99609821253777</v>
      </c>
      <c r="AX24" s="260">
        <f t="shared" si="37"/>
        <v>-1.5556528817896995</v>
      </c>
      <c r="AY24" s="122">
        <f t="shared" si="38"/>
        <v>1.6009790573792448</v>
      </c>
      <c r="AZ24" s="253">
        <f t="shared" si="39"/>
        <v>-29.581396964880557</v>
      </c>
      <c r="BA24" s="259">
        <f t="shared" si="40"/>
        <v>-29.581396964880565</v>
      </c>
      <c r="BB24" s="108">
        <f t="shared" si="41"/>
        <v>31.981905238646348</v>
      </c>
      <c r="BC24" s="259">
        <f t="shared" si="42"/>
        <v>31.981905238646345</v>
      </c>
      <c r="BE24" s="2">
        <f t="shared" si="9"/>
        <v>9.75</v>
      </c>
      <c r="BF24" s="138">
        <f t="shared" si="10"/>
        <v>8.5</v>
      </c>
      <c r="BG24" s="175" t="str">
        <f t="shared" si="11"/>
        <v>#5 @ 7</v>
      </c>
      <c r="BH24" s="87">
        <f t="shared" si="43"/>
        <v>0.84810494489737343</v>
      </c>
      <c r="BI24" s="225">
        <f t="shared" si="57"/>
        <v>1.9223712084340466E-2</v>
      </c>
      <c r="BJ24" s="234">
        <f t="shared" si="58"/>
        <v>2.625</v>
      </c>
      <c r="BK24" s="25">
        <f t="shared" si="46"/>
        <v>29.581396964880557</v>
      </c>
      <c r="BL24" s="57">
        <f t="shared" si="12"/>
        <v>8.5</v>
      </c>
      <c r="BM24" s="89">
        <f t="shared" si="47"/>
        <v>1.6382978723404256</v>
      </c>
      <c r="BN24" s="228">
        <v>7</v>
      </c>
      <c r="BP24" s="66">
        <f t="shared" si="48"/>
        <v>0.85417693733187727</v>
      </c>
      <c r="BQ24" s="43">
        <f t="shared" si="49"/>
        <v>1.4521007934641915E-2</v>
      </c>
      <c r="BR24" s="234">
        <f t="shared" si="59"/>
        <v>2.4375</v>
      </c>
      <c r="BS24" s="22">
        <f t="shared" si="51"/>
        <v>31.981905238646348</v>
      </c>
      <c r="BT24" s="87">
        <f t="shared" si="52"/>
        <v>1.5743740795287189</v>
      </c>
      <c r="BU24" s="230">
        <f t="shared" si="53"/>
        <v>7</v>
      </c>
      <c r="BW24" s="155"/>
    </row>
    <row r="25" spans="1:75" x14ac:dyDescent="0.2">
      <c r="A25" s="17">
        <v>10</v>
      </c>
      <c r="B25" s="237">
        <v>8.5</v>
      </c>
      <c r="C25" s="42">
        <f t="shared" si="13"/>
        <v>0.10625</v>
      </c>
      <c r="D25" s="20">
        <f t="shared" si="14"/>
        <v>-1.0625</v>
      </c>
      <c r="E25" s="93">
        <f t="shared" si="15"/>
        <v>0.85000000000000009</v>
      </c>
      <c r="F25" s="77">
        <f t="shared" si="16"/>
        <v>-0.50000000000000011</v>
      </c>
      <c r="G25" s="97">
        <f t="shared" si="17"/>
        <v>0.4</v>
      </c>
      <c r="H25" s="160">
        <v>-5.55</v>
      </c>
      <c r="I25" s="100">
        <v>6.89</v>
      </c>
      <c r="J25" s="37">
        <f t="shared" si="18"/>
        <v>-7.1124999999999998</v>
      </c>
      <c r="K25" s="103">
        <f t="shared" si="18"/>
        <v>8.14</v>
      </c>
      <c r="L25" s="173" t="s">
        <v>33</v>
      </c>
      <c r="M25" s="237">
        <v>0.31</v>
      </c>
      <c r="N25" s="237">
        <v>7</v>
      </c>
      <c r="O25" s="315">
        <f t="shared" si="19"/>
        <v>0.53142857142857136</v>
      </c>
      <c r="P25" s="224">
        <f t="shared" si="20"/>
        <v>0.53142857142857136</v>
      </c>
      <c r="Q25" s="256">
        <f t="shared" si="55"/>
        <v>5.6875</v>
      </c>
      <c r="R25" s="103">
        <f t="shared" si="56"/>
        <v>6.1875</v>
      </c>
      <c r="S25" s="253">
        <f t="shared" si="21"/>
        <v>-31.20244574530798</v>
      </c>
      <c r="T25" s="105">
        <f t="shared" si="22"/>
        <v>32.824412364601287</v>
      </c>
      <c r="U25" s="70">
        <v>2</v>
      </c>
      <c r="V25" s="71">
        <v>1.5</v>
      </c>
      <c r="W25" s="131">
        <f t="shared" si="23"/>
        <v>1.7142857142857142</v>
      </c>
      <c r="X25" s="239">
        <f t="shared" si="54"/>
        <v>1.7142857142857142</v>
      </c>
      <c r="Y25" s="244">
        <f t="shared" si="24"/>
        <v>28</v>
      </c>
      <c r="Z25" s="28">
        <f t="shared" si="25"/>
        <v>21</v>
      </c>
      <c r="AA25" s="18">
        <v>130</v>
      </c>
      <c r="AB25" s="250">
        <f t="shared" si="26"/>
        <v>34.02489074260842</v>
      </c>
      <c r="AC25" s="184">
        <f t="shared" si="27"/>
        <v>41.210315354259073</v>
      </c>
      <c r="AD25" s="28">
        <v>36</v>
      </c>
      <c r="AF25" s="56">
        <f t="shared" si="2"/>
        <v>10</v>
      </c>
      <c r="AG25" s="247">
        <f t="shared" si="3"/>
        <v>8.5</v>
      </c>
      <c r="AH25" s="174" t="str">
        <f t="shared" si="4"/>
        <v>#5 @ 7</v>
      </c>
      <c r="AI25" s="56">
        <v>8</v>
      </c>
      <c r="AJ25" s="2">
        <f t="shared" si="28"/>
        <v>1800</v>
      </c>
      <c r="AK25" s="48">
        <v>36000</v>
      </c>
      <c r="AL25" s="42">
        <f t="shared" si="29"/>
        <v>0.2857142857142857</v>
      </c>
      <c r="AM25" s="19">
        <f t="shared" si="30"/>
        <v>0.90476190476190477</v>
      </c>
      <c r="AN25" s="255">
        <f t="shared" si="5"/>
        <v>-7.1124999999999998</v>
      </c>
      <c r="AO25" s="109">
        <f t="shared" si="6"/>
        <v>8.14</v>
      </c>
      <c r="AP25" s="256">
        <f t="shared" si="31"/>
        <v>1.6842231444997802</v>
      </c>
      <c r="AQ25" s="255">
        <f t="shared" si="32"/>
        <v>0.70857142857142852</v>
      </c>
      <c r="AR25" s="160">
        <f t="shared" si="33"/>
        <v>-4.0299999999999994</v>
      </c>
      <c r="AS25" s="112">
        <f t="shared" si="34"/>
        <v>0.70857142857142852</v>
      </c>
      <c r="AT25" s="112">
        <f t="shared" si="35"/>
        <v>-4.3842857142857135</v>
      </c>
      <c r="AU25" s="103">
        <f t="shared" si="36"/>
        <v>1.769344216194795</v>
      </c>
      <c r="AV25" s="255">
        <f t="shared" si="7"/>
        <v>-16.650109918421759</v>
      </c>
      <c r="AW25" s="109">
        <f t="shared" si="8"/>
        <v>17.449966151245892</v>
      </c>
      <c r="AX25" s="263">
        <f t="shared" si="37"/>
        <v>-1.6476547830371666</v>
      </c>
      <c r="AY25" s="106">
        <f t="shared" si="38"/>
        <v>1.6437319913527355</v>
      </c>
      <c r="AZ25" s="255">
        <f t="shared" si="39"/>
        <v>-31.330851997030187</v>
      </c>
      <c r="BA25" s="258">
        <f t="shared" si="40"/>
        <v>-31.330851997030194</v>
      </c>
      <c r="BB25" s="109">
        <f t="shared" si="41"/>
        <v>32.835957811484214</v>
      </c>
      <c r="BC25" s="258">
        <f t="shared" si="42"/>
        <v>32.835957811484207</v>
      </c>
      <c r="BE25" s="56">
        <f t="shared" si="9"/>
        <v>10</v>
      </c>
      <c r="BF25" s="150">
        <f t="shared" si="10"/>
        <v>8.5</v>
      </c>
      <c r="BG25" s="174" t="str">
        <f t="shared" si="11"/>
        <v>#5 @ 7</v>
      </c>
      <c r="BH25" s="88">
        <f t="shared" si="43"/>
        <v>0.89826219289357823</v>
      </c>
      <c r="BI25" s="224">
        <f t="shared" si="57"/>
        <v>2.0360609705587774E-2</v>
      </c>
      <c r="BJ25" s="226">
        <f t="shared" si="58"/>
        <v>2.625</v>
      </c>
      <c r="BK25" s="22">
        <f t="shared" si="46"/>
        <v>31.330851997030187</v>
      </c>
      <c r="BL25" s="55">
        <f t="shared" si="12"/>
        <v>8.5</v>
      </c>
      <c r="BM25" s="87">
        <f t="shared" si="47"/>
        <v>1.6382978723404256</v>
      </c>
      <c r="BN25" s="227">
        <v>7</v>
      </c>
      <c r="BP25" s="88">
        <f t="shared" si="48"/>
        <v>0.87698708593132746</v>
      </c>
      <c r="BQ25" s="42">
        <f t="shared" si="49"/>
        <v>1.4908780460832568E-2</v>
      </c>
      <c r="BR25" s="191">
        <f t="shared" si="59"/>
        <v>2.4375</v>
      </c>
      <c r="BS25" s="27">
        <f t="shared" si="51"/>
        <v>32.835957811484214</v>
      </c>
      <c r="BT25" s="88">
        <f t="shared" si="52"/>
        <v>1.5743740795287189</v>
      </c>
      <c r="BU25" s="231">
        <f t="shared" si="53"/>
        <v>7</v>
      </c>
      <c r="BW25" s="155"/>
    </row>
    <row r="26" spans="1:75" x14ac:dyDescent="0.2">
      <c r="A26" s="2">
        <v>10.25</v>
      </c>
      <c r="B26" s="236">
        <v>8.5</v>
      </c>
      <c r="C26" s="43">
        <f t="shared" si="13"/>
        <v>0.10625</v>
      </c>
      <c r="D26" s="5">
        <f t="shared" si="14"/>
        <v>-1.1162890625000002</v>
      </c>
      <c r="E26" s="92">
        <f>0.08*C26*A26^2</f>
        <v>0.89303125000000005</v>
      </c>
      <c r="F26" s="76">
        <f t="shared" si="16"/>
        <v>-0.52531250000000007</v>
      </c>
      <c r="G26" s="96">
        <f t="shared" si="17"/>
        <v>0.42025000000000001</v>
      </c>
      <c r="H26" s="157">
        <v>-5.87</v>
      </c>
      <c r="I26" s="99">
        <v>7.03</v>
      </c>
      <c r="J26" s="36">
        <f t="shared" si="18"/>
        <v>-7.5116015625000001</v>
      </c>
      <c r="K26" s="102">
        <f t="shared" si="18"/>
        <v>8.3432812500000004</v>
      </c>
      <c r="L26" s="167" t="s">
        <v>101</v>
      </c>
      <c r="M26" s="236">
        <v>0.31</v>
      </c>
      <c r="N26" s="236">
        <v>6.5</v>
      </c>
      <c r="O26" s="315">
        <f t="shared" si="19"/>
        <v>0.5723076923076923</v>
      </c>
      <c r="P26" s="224">
        <f t="shared" si="20"/>
        <v>0.5723076923076923</v>
      </c>
      <c r="Q26" s="195">
        <f t="shared" si="55"/>
        <v>5.6875</v>
      </c>
      <c r="R26" s="102">
        <f t="shared" si="56"/>
        <v>6.1875</v>
      </c>
      <c r="S26" s="253">
        <f t="shared" si="21"/>
        <v>-30.599492069149882</v>
      </c>
      <c r="T26" s="105">
        <f t="shared" si="22"/>
        <v>31.240987670322902</v>
      </c>
      <c r="U26" s="68">
        <v>2</v>
      </c>
      <c r="V26" s="69">
        <v>1.5</v>
      </c>
      <c r="W26" s="131">
        <f t="shared" si="23"/>
        <v>1.8461538461538463</v>
      </c>
      <c r="X26" s="239">
        <f t="shared" si="54"/>
        <v>1.8461538461538463</v>
      </c>
      <c r="Y26" s="201">
        <f t="shared" si="24"/>
        <v>26</v>
      </c>
      <c r="Z26" s="24">
        <f t="shared" si="25"/>
        <v>19.5</v>
      </c>
      <c r="AA26" s="3">
        <v>130</v>
      </c>
      <c r="AB26" s="249">
        <f t="shared" si="26"/>
        <v>34.875001814422049</v>
      </c>
      <c r="AC26" s="183">
        <f t="shared" si="27"/>
        <v>42.239954086110011</v>
      </c>
      <c r="AD26" s="24">
        <v>36</v>
      </c>
      <c r="AF26" s="55">
        <f t="shared" si="2"/>
        <v>10.25</v>
      </c>
      <c r="AG26" s="246">
        <f t="shared" si="3"/>
        <v>8.5</v>
      </c>
      <c r="AH26" s="169" t="str">
        <f t="shared" si="4"/>
        <v>#5 @ 6.5</v>
      </c>
      <c r="AI26" s="55">
        <v>8</v>
      </c>
      <c r="AJ26" s="2">
        <f t="shared" si="28"/>
        <v>1800</v>
      </c>
      <c r="AK26" s="47">
        <v>36000</v>
      </c>
      <c r="AL26" s="43">
        <f t="shared" si="29"/>
        <v>0.2857142857142857</v>
      </c>
      <c r="AM26" s="4">
        <f t="shared" si="30"/>
        <v>0.90476190476190477</v>
      </c>
      <c r="AN26" s="253">
        <f t="shared" si="5"/>
        <v>-7.5116015625000001</v>
      </c>
      <c r="AO26" s="108">
        <f t="shared" si="6"/>
        <v>8.3432812500000004</v>
      </c>
      <c r="AP26" s="195">
        <f t="shared" si="31"/>
        <v>1.7363783445786098</v>
      </c>
      <c r="AQ26" s="253">
        <f t="shared" si="32"/>
        <v>0.7630769230769231</v>
      </c>
      <c r="AR26" s="157">
        <f t="shared" si="33"/>
        <v>-4.34</v>
      </c>
      <c r="AS26" s="111">
        <f t="shared" si="34"/>
        <v>0.7630769230769231</v>
      </c>
      <c r="AT26" s="111">
        <f t="shared" si="35"/>
        <v>-4.7215384615384615</v>
      </c>
      <c r="AU26" s="102">
        <f t="shared" si="36"/>
        <v>1.8246143117688627</v>
      </c>
      <c r="AV26" s="253">
        <f t="shared" si="7"/>
        <v>-17.644232659104841</v>
      </c>
      <c r="AW26" s="108">
        <f t="shared" si="8"/>
        <v>17.944806805030936</v>
      </c>
      <c r="AX26" s="264">
        <f t="shared" si="37"/>
        <v>-1.6935856476013587</v>
      </c>
      <c r="AY26" s="105">
        <f t="shared" si="38"/>
        <v>1.6391415516588852</v>
      </c>
      <c r="AZ26" s="253">
        <f t="shared" si="39"/>
        <v>-30.829976420478882</v>
      </c>
      <c r="BA26" s="258">
        <f t="shared" si="40"/>
        <v>-30.829976420478889</v>
      </c>
      <c r="BB26" s="108">
        <f t="shared" si="41"/>
        <v>31.355173180833621</v>
      </c>
      <c r="BC26" s="258">
        <f t="shared" si="42"/>
        <v>31.355173180833624</v>
      </c>
      <c r="BE26" s="55">
        <f t="shared" si="9"/>
        <v>10.25</v>
      </c>
      <c r="BF26" s="149">
        <f t="shared" si="10"/>
        <v>8.5</v>
      </c>
      <c r="BG26" s="169" t="str">
        <f t="shared" si="11"/>
        <v>#5 @ 6.5</v>
      </c>
      <c r="BH26" s="87">
        <f t="shared" si="43"/>
        <v>0.84782435156316927</v>
      </c>
      <c r="BI26" s="224">
        <f t="shared" si="57"/>
        <v>1.9217351968765169E-2</v>
      </c>
      <c r="BJ26" s="226">
        <f t="shared" si="58"/>
        <v>2.625</v>
      </c>
      <c r="BK26" s="22">
        <f t="shared" si="46"/>
        <v>30.829976420478882</v>
      </c>
      <c r="BL26" s="55">
        <f t="shared" si="12"/>
        <v>8.5</v>
      </c>
      <c r="BM26" s="87">
        <f t="shared" si="47"/>
        <v>1.6382978723404256</v>
      </c>
      <c r="BN26" s="227">
        <v>6.5</v>
      </c>
      <c r="BP26" s="87">
        <f t="shared" si="48"/>
        <v>0.80217754361937577</v>
      </c>
      <c r="BQ26" s="43">
        <f t="shared" si="49"/>
        <v>1.3637018241529389E-2</v>
      </c>
      <c r="BR26" s="191">
        <f t="shared" si="59"/>
        <v>2.4375</v>
      </c>
      <c r="BS26" s="22">
        <f t="shared" si="51"/>
        <v>31.355173180833621</v>
      </c>
      <c r="BT26" s="87">
        <f t="shared" si="52"/>
        <v>1.5743740795287189</v>
      </c>
      <c r="BU26" s="232">
        <f t="shared" si="53"/>
        <v>6.5</v>
      </c>
      <c r="BW26" s="155"/>
    </row>
    <row r="27" spans="1:75" x14ac:dyDescent="0.2">
      <c r="A27" s="2">
        <v>10.5</v>
      </c>
      <c r="B27" s="236">
        <v>8.75</v>
      </c>
      <c r="C27" s="43">
        <f t="shared" si="13"/>
        <v>0.10937499999999999</v>
      </c>
      <c r="D27" s="5">
        <f t="shared" si="14"/>
        <v>-1.205859375</v>
      </c>
      <c r="E27" s="92">
        <f t="shared" si="15"/>
        <v>0.96468749999999992</v>
      </c>
      <c r="F27" s="76">
        <f t="shared" si="16"/>
        <v>-0.55125000000000013</v>
      </c>
      <c r="G27" s="96">
        <f t="shared" si="17"/>
        <v>0.441</v>
      </c>
      <c r="H27" s="157">
        <v>-6.18</v>
      </c>
      <c r="I27" s="99">
        <v>7.17</v>
      </c>
      <c r="J27" s="36">
        <f t="shared" si="18"/>
        <v>-7.9371093750000004</v>
      </c>
      <c r="K27" s="102">
        <f t="shared" si="18"/>
        <v>8.5756875000000008</v>
      </c>
      <c r="L27" s="167" t="s">
        <v>101</v>
      </c>
      <c r="M27" s="236">
        <v>0.31</v>
      </c>
      <c r="N27" s="236">
        <v>6.5</v>
      </c>
      <c r="O27" s="315">
        <f t="shared" si="19"/>
        <v>0.5723076923076923</v>
      </c>
      <c r="P27" s="224">
        <f t="shared" si="20"/>
        <v>0.5723076923076923</v>
      </c>
      <c r="Q27" s="195">
        <f t="shared" si="55"/>
        <v>5.9375</v>
      </c>
      <c r="R27" s="102">
        <f t="shared" si="56"/>
        <v>6.4375</v>
      </c>
      <c r="S27" s="253">
        <f t="shared" si="21"/>
        <v>-30.971470513746496</v>
      </c>
      <c r="T27" s="105">
        <f t="shared" si="22"/>
        <v>30.864183218469961</v>
      </c>
      <c r="U27" s="68">
        <v>2</v>
      </c>
      <c r="V27" s="69">
        <v>1.5</v>
      </c>
      <c r="W27" s="131">
        <f t="shared" si="23"/>
        <v>1.8461538461538463</v>
      </c>
      <c r="X27" s="239">
        <f t="shared" si="54"/>
        <v>1.8461538461538463</v>
      </c>
      <c r="Y27" s="201">
        <f t="shared" si="24"/>
        <v>26</v>
      </c>
      <c r="Z27" s="24">
        <f t="shared" si="25"/>
        <v>19.5</v>
      </c>
      <c r="AA27" s="3">
        <v>130</v>
      </c>
      <c r="AB27" s="249">
        <f t="shared" si="26"/>
        <v>34.875001814422049</v>
      </c>
      <c r="AC27" s="183">
        <f t="shared" si="27"/>
        <v>42.239954086110011</v>
      </c>
      <c r="AD27" s="24">
        <v>36</v>
      </c>
      <c r="AF27" s="55">
        <f t="shared" si="2"/>
        <v>10.5</v>
      </c>
      <c r="AG27" s="246">
        <f t="shared" si="3"/>
        <v>8.75</v>
      </c>
      <c r="AH27" s="169" t="str">
        <f t="shared" si="4"/>
        <v>#5 @ 6.5</v>
      </c>
      <c r="AI27" s="55">
        <v>8</v>
      </c>
      <c r="AJ27" s="2">
        <f t="shared" si="28"/>
        <v>1800</v>
      </c>
      <c r="AK27" s="47">
        <v>36000</v>
      </c>
      <c r="AL27" s="43">
        <f t="shared" si="29"/>
        <v>0.2857142857142857</v>
      </c>
      <c r="AM27" s="4">
        <f t="shared" si="30"/>
        <v>0.90476190476190477</v>
      </c>
      <c r="AN27" s="253">
        <f t="shared" si="5"/>
        <v>-7.9371093750000004</v>
      </c>
      <c r="AO27" s="108">
        <f t="shared" si="6"/>
        <v>8.5756875000000008</v>
      </c>
      <c r="AP27" s="195">
        <f t="shared" si="31"/>
        <v>1.7809464120276788</v>
      </c>
      <c r="AQ27" s="253">
        <f t="shared" si="32"/>
        <v>0.7630769230769231</v>
      </c>
      <c r="AR27" s="157">
        <f t="shared" si="33"/>
        <v>-4.5307692307692307</v>
      </c>
      <c r="AS27" s="111">
        <f t="shared" si="34"/>
        <v>0.7630769230769231</v>
      </c>
      <c r="AT27" s="111">
        <f t="shared" si="35"/>
        <v>-4.9123076923076923</v>
      </c>
      <c r="AU27" s="102">
        <f t="shared" si="36"/>
        <v>1.8674344795928515</v>
      </c>
      <c r="AV27" s="253">
        <f t="shared" si="7"/>
        <v>-17.823346685150561</v>
      </c>
      <c r="AW27" s="108">
        <f t="shared" si="8"/>
        <v>17.696967067211951</v>
      </c>
      <c r="AX27" s="264">
        <f t="shared" si="37"/>
        <v>-1.6679658415304748</v>
      </c>
      <c r="AY27" s="105">
        <f t="shared" si="38"/>
        <v>1.5794366781987754</v>
      </c>
      <c r="AZ27" s="253">
        <f t="shared" si="39"/>
        <v>-31.14294447674158</v>
      </c>
      <c r="BA27" s="258">
        <f t="shared" si="40"/>
        <v>-31.142944476741572</v>
      </c>
      <c r="BB27" s="108">
        <f t="shared" si="41"/>
        <v>30.922119875504755</v>
      </c>
      <c r="BC27" s="258">
        <f t="shared" si="42"/>
        <v>30.922119875504752</v>
      </c>
      <c r="BE27" s="55">
        <f t="shared" si="9"/>
        <v>10.5</v>
      </c>
      <c r="BF27" s="149">
        <f t="shared" si="10"/>
        <v>8.75</v>
      </c>
      <c r="BG27" s="169" t="str">
        <f t="shared" si="11"/>
        <v>#5 @ 6.5</v>
      </c>
      <c r="BH27" s="87">
        <f t="shared" si="43"/>
        <v>0.84281160963659985</v>
      </c>
      <c r="BI27" s="224">
        <f t="shared" si="57"/>
        <v>1.9103729818429598E-2</v>
      </c>
      <c r="BJ27" s="226">
        <f t="shared" si="58"/>
        <v>2.625</v>
      </c>
      <c r="BK27" s="22">
        <f t="shared" si="46"/>
        <v>31.14294447674158</v>
      </c>
      <c r="BL27" s="55">
        <f t="shared" si="12"/>
        <v>8.75</v>
      </c>
      <c r="BM27" s="87">
        <f t="shared" si="47"/>
        <v>1.6122448979591837</v>
      </c>
      <c r="BN27" s="227">
        <v>6.5</v>
      </c>
      <c r="BP27" s="87">
        <f t="shared" si="48"/>
        <v>0.77966823116084405</v>
      </c>
      <c r="BQ27" s="43">
        <f t="shared" si="49"/>
        <v>1.3254359929734351E-2</v>
      </c>
      <c r="BR27" s="191">
        <f t="shared" si="59"/>
        <v>2.4375</v>
      </c>
      <c r="BS27" s="22">
        <f t="shared" si="51"/>
        <v>30.922119875504755</v>
      </c>
      <c r="BT27" s="87">
        <f t="shared" si="52"/>
        <v>1.5516265912305518</v>
      </c>
      <c r="BU27" s="232">
        <f t="shared" si="53"/>
        <v>6.5</v>
      </c>
      <c r="BW27" s="155"/>
    </row>
    <row r="28" spans="1:75" x14ac:dyDescent="0.2">
      <c r="A28" s="8">
        <v>10.75</v>
      </c>
      <c r="B28" s="238">
        <v>8.75</v>
      </c>
      <c r="C28" s="44">
        <f t="shared" si="13"/>
        <v>0.10937499999999999</v>
      </c>
      <c r="D28" s="11">
        <f t="shared" si="14"/>
        <v>-1.26396484375</v>
      </c>
      <c r="E28" s="94">
        <f t="shared" si="15"/>
        <v>1.0111718749999998</v>
      </c>
      <c r="F28" s="78">
        <f t="shared" si="16"/>
        <v>-0.57781250000000006</v>
      </c>
      <c r="G28" s="98">
        <f t="shared" si="17"/>
        <v>0.46224999999999999</v>
      </c>
      <c r="H28" s="158">
        <v>-6.49</v>
      </c>
      <c r="I28" s="101">
        <v>7.32</v>
      </c>
      <c r="J28" s="38">
        <f t="shared" si="18"/>
        <v>-8.3317773437499998</v>
      </c>
      <c r="K28" s="104">
        <f t="shared" si="18"/>
        <v>8.7934218749999999</v>
      </c>
      <c r="L28" s="168" t="s">
        <v>101</v>
      </c>
      <c r="M28" s="238">
        <v>0.31</v>
      </c>
      <c r="N28" s="238">
        <v>6.5</v>
      </c>
      <c r="O28" s="316">
        <f t="shared" si="19"/>
        <v>0.5723076923076923</v>
      </c>
      <c r="P28" s="225">
        <f t="shared" si="20"/>
        <v>0.5723076923076923</v>
      </c>
      <c r="Q28" s="257">
        <f t="shared" si="55"/>
        <v>5.9375</v>
      </c>
      <c r="R28" s="104">
        <f t="shared" si="56"/>
        <v>6.4375</v>
      </c>
      <c r="S28" s="61">
        <f t="shared" si="21"/>
        <v>-32.511508174731965</v>
      </c>
      <c r="T28" s="104">
        <f t="shared" si="22"/>
        <v>31.647816442390376</v>
      </c>
      <c r="U28" s="72">
        <v>2</v>
      </c>
      <c r="V28" s="73">
        <v>1.5</v>
      </c>
      <c r="W28" s="132">
        <f t="shared" si="23"/>
        <v>1.8461538461538463</v>
      </c>
      <c r="X28" s="242">
        <f t="shared" si="54"/>
        <v>1.8461538461538463</v>
      </c>
      <c r="Y28" s="245">
        <f t="shared" si="24"/>
        <v>26</v>
      </c>
      <c r="Z28" s="26">
        <f t="shared" si="25"/>
        <v>19.5</v>
      </c>
      <c r="AA28" s="9">
        <v>130</v>
      </c>
      <c r="AB28" s="251">
        <f t="shared" si="26"/>
        <v>34.875001814422049</v>
      </c>
      <c r="AC28" s="185">
        <f t="shared" si="27"/>
        <v>42.239954086110011</v>
      </c>
      <c r="AD28" s="26">
        <v>36</v>
      </c>
      <c r="AF28" s="57">
        <f t="shared" si="2"/>
        <v>10.75</v>
      </c>
      <c r="AG28" s="60">
        <f t="shared" si="3"/>
        <v>8.75</v>
      </c>
      <c r="AH28" s="175" t="str">
        <f t="shared" si="4"/>
        <v>#5 @ 6.5</v>
      </c>
      <c r="AI28" s="57">
        <v>8</v>
      </c>
      <c r="AJ28" s="8">
        <f t="shared" si="28"/>
        <v>1800</v>
      </c>
      <c r="AK28" s="49">
        <v>36000</v>
      </c>
      <c r="AL28" s="44">
        <f t="shared" si="29"/>
        <v>0.2857142857142857</v>
      </c>
      <c r="AM28" s="10">
        <f t="shared" si="30"/>
        <v>0.90476190476190477</v>
      </c>
      <c r="AN28" s="61">
        <f t="shared" si="5"/>
        <v>-8.3317773437499998</v>
      </c>
      <c r="AO28" s="110">
        <f t="shared" si="6"/>
        <v>8.7934218749999999</v>
      </c>
      <c r="AP28" s="257">
        <f t="shared" si="31"/>
        <v>1.7809464120276788</v>
      </c>
      <c r="AQ28" s="61">
        <f t="shared" si="32"/>
        <v>0.7630769230769231</v>
      </c>
      <c r="AR28" s="158">
        <f t="shared" si="33"/>
        <v>-4.5307692307692307</v>
      </c>
      <c r="AS28" s="113">
        <f t="shared" si="34"/>
        <v>0.7630769230769231</v>
      </c>
      <c r="AT28" s="113">
        <f t="shared" si="35"/>
        <v>-4.9123076923076923</v>
      </c>
      <c r="AU28" s="104">
        <f t="shared" si="36"/>
        <v>1.8674344795928515</v>
      </c>
      <c r="AV28" s="61">
        <f t="shared" si="7"/>
        <v>-18.709601831729714</v>
      </c>
      <c r="AW28" s="110">
        <f t="shared" si="8"/>
        <v>18.146288251522243</v>
      </c>
      <c r="AX28" s="265">
        <f t="shared" si="37"/>
        <v>-1.7509044353584342</v>
      </c>
      <c r="AY28" s="107">
        <f t="shared" si="38"/>
        <v>1.6195381462128191</v>
      </c>
      <c r="AZ28" s="61">
        <f t="shared" si="39"/>
        <v>-32.691508576947093</v>
      </c>
      <c r="BA28" s="259">
        <f t="shared" si="40"/>
        <v>-32.691508576947079</v>
      </c>
      <c r="BB28" s="110">
        <f t="shared" si="41"/>
        <v>31.70722409540177</v>
      </c>
      <c r="BC28" s="259">
        <f t="shared" si="42"/>
        <v>31.70722409540177</v>
      </c>
      <c r="BE28" s="57">
        <f t="shared" si="9"/>
        <v>10.75</v>
      </c>
      <c r="BF28" s="151">
        <f t="shared" si="10"/>
        <v>8.75</v>
      </c>
      <c r="BG28" s="175" t="str">
        <f t="shared" si="11"/>
        <v>#5 @ 6.5</v>
      </c>
      <c r="BH28" s="89">
        <f t="shared" si="43"/>
        <v>0.88471990777117027</v>
      </c>
      <c r="BI28" s="225">
        <f t="shared" si="57"/>
        <v>2.0053651242813195E-2</v>
      </c>
      <c r="BJ28" s="234">
        <f t="shared" si="58"/>
        <v>2.625</v>
      </c>
      <c r="BK28" s="22">
        <f t="shared" si="46"/>
        <v>32.691508576947093</v>
      </c>
      <c r="BL28" s="55">
        <f t="shared" si="12"/>
        <v>8.75</v>
      </c>
      <c r="BM28" s="87">
        <f t="shared" si="47"/>
        <v>1.6122448979591837</v>
      </c>
      <c r="BN28" s="227">
        <v>6.5</v>
      </c>
      <c r="BP28" s="89">
        <f t="shared" si="48"/>
        <v>0.79946379565863623</v>
      </c>
      <c r="BQ28" s="44">
        <f t="shared" si="49"/>
        <v>1.3590884526196816E-2</v>
      </c>
      <c r="BR28" s="234">
        <f t="shared" si="59"/>
        <v>2.4375</v>
      </c>
      <c r="BS28" s="25">
        <f t="shared" si="51"/>
        <v>31.70722409540177</v>
      </c>
      <c r="BT28" s="89">
        <f t="shared" si="52"/>
        <v>1.5516265912305518</v>
      </c>
      <c r="BU28" s="233">
        <f t="shared" si="53"/>
        <v>6.5</v>
      </c>
      <c r="BW28" s="155"/>
    </row>
    <row r="29" spans="1:75" x14ac:dyDescent="0.2">
      <c r="A29" s="2">
        <v>11</v>
      </c>
      <c r="B29" s="236">
        <v>9</v>
      </c>
      <c r="C29" s="42">
        <f t="shared" si="13"/>
        <v>0.11249999999999999</v>
      </c>
      <c r="D29" s="5">
        <f t="shared" si="14"/>
        <v>-1.3612499999999998</v>
      </c>
      <c r="E29" s="92">
        <f t="shared" si="15"/>
        <v>1.089</v>
      </c>
      <c r="F29" s="76">
        <f t="shared" si="16"/>
        <v>-0.60500000000000009</v>
      </c>
      <c r="G29" s="96">
        <f t="shared" si="17"/>
        <v>0.48399999999999999</v>
      </c>
      <c r="H29" s="157">
        <v>-6.79</v>
      </c>
      <c r="I29" s="99">
        <v>7.46</v>
      </c>
      <c r="J29" s="36">
        <f t="shared" si="18"/>
        <v>-8.7562499999999996</v>
      </c>
      <c r="K29" s="102">
        <f t="shared" si="18"/>
        <v>9.0329999999999995</v>
      </c>
      <c r="L29" s="167" t="s">
        <v>101</v>
      </c>
      <c r="M29" s="236">
        <v>0.31</v>
      </c>
      <c r="N29" s="236">
        <v>6.5</v>
      </c>
      <c r="O29" s="315">
        <f t="shared" si="19"/>
        <v>0.5723076923076923</v>
      </c>
      <c r="P29" s="224">
        <f t="shared" si="20"/>
        <v>0.5723076923076923</v>
      </c>
      <c r="Q29" s="256">
        <f t="shared" si="55"/>
        <v>6.1875</v>
      </c>
      <c r="R29" s="103">
        <f t="shared" si="56"/>
        <v>6.6875</v>
      </c>
      <c r="S29" s="253">
        <f t="shared" si="21"/>
        <v>-32.787327921885037</v>
      </c>
      <c r="T29" s="105">
        <f t="shared" si="22"/>
        <v>31.294736473915549</v>
      </c>
      <c r="U29" s="68">
        <v>2</v>
      </c>
      <c r="V29" s="69">
        <v>1.5</v>
      </c>
      <c r="W29" s="131">
        <f t="shared" si="23"/>
        <v>1.8461538461538463</v>
      </c>
      <c r="X29" s="239">
        <f t="shared" si="54"/>
        <v>1.8461538461538463</v>
      </c>
      <c r="Y29" s="201">
        <f t="shared" si="24"/>
        <v>26</v>
      </c>
      <c r="Z29" s="24">
        <f t="shared" si="25"/>
        <v>19.5</v>
      </c>
      <c r="AA29" s="3">
        <v>130</v>
      </c>
      <c r="AB29" s="249">
        <f t="shared" si="26"/>
        <v>34.875001814422049</v>
      </c>
      <c r="AC29" s="183">
        <f t="shared" si="27"/>
        <v>42.239954086110011</v>
      </c>
      <c r="AD29" s="24">
        <v>36</v>
      </c>
      <c r="AF29" s="56">
        <f t="shared" si="2"/>
        <v>11</v>
      </c>
      <c r="AG29" s="247">
        <f t="shared" si="3"/>
        <v>9</v>
      </c>
      <c r="AH29" s="174" t="str">
        <f t="shared" si="4"/>
        <v>#5 @ 6.5</v>
      </c>
      <c r="AI29" s="55">
        <v>8</v>
      </c>
      <c r="AJ29" s="2">
        <f t="shared" si="28"/>
        <v>1800</v>
      </c>
      <c r="AK29" s="47">
        <v>36000</v>
      </c>
      <c r="AL29" s="43">
        <f t="shared" si="29"/>
        <v>0.2857142857142857</v>
      </c>
      <c r="AM29" s="4">
        <f t="shared" si="30"/>
        <v>0.90476190476190477</v>
      </c>
      <c r="AN29" s="253">
        <f t="shared" si="5"/>
        <v>-8.7562499999999996</v>
      </c>
      <c r="AO29" s="108">
        <f t="shared" si="6"/>
        <v>9.0329999999999995</v>
      </c>
      <c r="AP29" s="256">
        <f t="shared" si="31"/>
        <v>1.8246143117688627</v>
      </c>
      <c r="AQ29" s="255">
        <f t="shared" si="32"/>
        <v>0.7630769230769231</v>
      </c>
      <c r="AR29" s="160">
        <f t="shared" si="33"/>
        <v>-4.7215384615384615</v>
      </c>
      <c r="AS29" s="112">
        <f t="shared" si="34"/>
        <v>0.7630769230769231</v>
      </c>
      <c r="AT29" s="112">
        <f t="shared" si="35"/>
        <v>-5.1030769230769231</v>
      </c>
      <c r="AU29" s="103">
        <f t="shared" si="36"/>
        <v>1.9094544499979444</v>
      </c>
      <c r="AV29" s="253">
        <f t="shared" si="7"/>
        <v>-18.833023828191351</v>
      </c>
      <c r="AW29" s="108">
        <f t="shared" si="8"/>
        <v>17.913688317713891</v>
      </c>
      <c r="AX29" s="264">
        <f t="shared" si="37"/>
        <v>-1.7202744078312251</v>
      </c>
      <c r="AY29" s="105">
        <f t="shared" si="38"/>
        <v>1.563595674996173</v>
      </c>
      <c r="AZ29" s="253">
        <f t="shared" si="39"/>
        <v>-32.907165291194566</v>
      </c>
      <c r="BA29" s="258">
        <f t="shared" si="40"/>
        <v>-32.907165291194566</v>
      </c>
      <c r="BB29" s="108">
        <f t="shared" si="41"/>
        <v>31.300799479876428</v>
      </c>
      <c r="BC29" s="258">
        <f t="shared" si="42"/>
        <v>31.300799479876424</v>
      </c>
      <c r="BE29" s="56">
        <f t="shared" si="9"/>
        <v>11</v>
      </c>
      <c r="BF29" s="150">
        <f t="shared" si="10"/>
        <v>9</v>
      </c>
      <c r="BG29" s="169" t="str">
        <f t="shared" si="11"/>
        <v>#5 @ 6.5</v>
      </c>
      <c r="BH29" s="88">
        <f t="shared" si="43"/>
        <v>0.87729396543121674</v>
      </c>
      <c r="BI29" s="224">
        <f t="shared" si="57"/>
        <v>1.988532988310758E-2</v>
      </c>
      <c r="BJ29" s="226">
        <f t="shared" si="58"/>
        <v>2.625</v>
      </c>
      <c r="BK29" s="27">
        <f t="shared" si="46"/>
        <v>32.907165291194566</v>
      </c>
      <c r="BL29" s="56">
        <f t="shared" si="12"/>
        <v>9</v>
      </c>
      <c r="BM29" s="88">
        <f t="shared" si="47"/>
        <v>1.5882352941176472</v>
      </c>
      <c r="BN29" s="229">
        <v>6.5</v>
      </c>
      <c r="BP29" s="88">
        <f t="shared" si="48"/>
        <v>0.77852753808366126</v>
      </c>
      <c r="BQ29" s="42">
        <f t="shared" si="49"/>
        <v>1.3234968147422243E-2</v>
      </c>
      <c r="BR29" s="191">
        <f t="shared" si="59"/>
        <v>2.4375</v>
      </c>
      <c r="BS29" s="22">
        <f t="shared" si="51"/>
        <v>31.300799479876428</v>
      </c>
      <c r="BT29" s="87">
        <f t="shared" si="52"/>
        <v>1.5306122448979593</v>
      </c>
      <c r="BU29" s="231">
        <f t="shared" si="53"/>
        <v>6.5</v>
      </c>
      <c r="BW29" s="155"/>
    </row>
    <row r="30" spans="1:75" x14ac:dyDescent="0.2">
      <c r="A30" s="2">
        <v>11.25</v>
      </c>
      <c r="B30" s="236">
        <v>9</v>
      </c>
      <c r="C30" s="43">
        <f t="shared" si="13"/>
        <v>0.11249999999999999</v>
      </c>
      <c r="D30" s="5">
        <f t="shared" si="14"/>
        <v>-1.423828125</v>
      </c>
      <c r="E30" s="92">
        <f t="shared" si="15"/>
        <v>1.1390624999999999</v>
      </c>
      <c r="F30" s="76">
        <f t="shared" si="16"/>
        <v>-0.63281250000000011</v>
      </c>
      <c r="G30" s="96">
        <f t="shared" si="17"/>
        <v>0.50624999999999998</v>
      </c>
      <c r="H30" s="157">
        <v>-7.08</v>
      </c>
      <c r="I30" s="99">
        <v>7.6</v>
      </c>
      <c r="J30" s="36">
        <f t="shared" si="18"/>
        <v>-9.1366406250000001</v>
      </c>
      <c r="K30" s="102">
        <f t="shared" si="18"/>
        <v>9.2453124999999989</v>
      </c>
      <c r="L30" s="167" t="s">
        <v>34</v>
      </c>
      <c r="M30" s="236">
        <v>0.31</v>
      </c>
      <c r="N30" s="236">
        <v>6</v>
      </c>
      <c r="O30" s="315">
        <f t="shared" si="19"/>
        <v>0.62</v>
      </c>
      <c r="P30" s="224">
        <f t="shared" si="20"/>
        <v>0.62</v>
      </c>
      <c r="Q30" s="195">
        <f t="shared" si="55"/>
        <v>6.1875</v>
      </c>
      <c r="R30" s="102">
        <f t="shared" si="56"/>
        <v>6.6875</v>
      </c>
      <c r="S30" s="253">
        <f t="shared" si="21"/>
        <v>-31.580013285591615</v>
      </c>
      <c r="T30" s="105">
        <f t="shared" si="22"/>
        <v>29.566422431239033</v>
      </c>
      <c r="U30" s="68">
        <v>2</v>
      </c>
      <c r="V30" s="69">
        <v>1.5</v>
      </c>
      <c r="W30" s="131">
        <f t="shared" si="23"/>
        <v>2</v>
      </c>
      <c r="X30" s="239">
        <f t="shared" si="54"/>
        <v>2</v>
      </c>
      <c r="Y30" s="201">
        <f t="shared" si="24"/>
        <v>24</v>
      </c>
      <c r="Z30" s="24">
        <f t="shared" si="25"/>
        <v>18</v>
      </c>
      <c r="AA30" s="3">
        <v>130</v>
      </c>
      <c r="AB30" s="249">
        <f t="shared" si="26"/>
        <v>35.817067077850069</v>
      </c>
      <c r="AC30" s="183">
        <f t="shared" si="27"/>
        <v>43.380966025982168</v>
      </c>
      <c r="AD30" s="24">
        <v>36</v>
      </c>
      <c r="AF30" s="55">
        <f t="shared" si="2"/>
        <v>11.25</v>
      </c>
      <c r="AG30" s="246">
        <f t="shared" si="3"/>
        <v>9</v>
      </c>
      <c r="AH30" s="169" t="str">
        <f t="shared" si="4"/>
        <v>#5 @ 6</v>
      </c>
      <c r="AI30" s="55">
        <v>8</v>
      </c>
      <c r="AJ30" s="2">
        <f t="shared" si="28"/>
        <v>1800</v>
      </c>
      <c r="AK30" s="47">
        <v>36000</v>
      </c>
      <c r="AL30" s="43">
        <f t="shared" si="29"/>
        <v>0.2857142857142857</v>
      </c>
      <c r="AM30" s="4">
        <f t="shared" si="30"/>
        <v>0.90476190476190477</v>
      </c>
      <c r="AN30" s="253">
        <f t="shared" si="5"/>
        <v>-9.1366406250000001</v>
      </c>
      <c r="AO30" s="108">
        <f t="shared" si="6"/>
        <v>9.2453124999999989</v>
      </c>
      <c r="AP30" s="195">
        <f t="shared" si="31"/>
        <v>1.8857631075417431</v>
      </c>
      <c r="AQ30" s="253">
        <f t="shared" si="32"/>
        <v>0.82666666666666666</v>
      </c>
      <c r="AR30" s="157">
        <f t="shared" si="33"/>
        <v>-5.1150000000000002</v>
      </c>
      <c r="AS30" s="111">
        <f t="shared" si="34"/>
        <v>0.82666666666666666</v>
      </c>
      <c r="AT30" s="111">
        <f t="shared" si="35"/>
        <v>-5.5283333333333333</v>
      </c>
      <c r="AU30" s="102">
        <f t="shared" si="36"/>
        <v>1.9739617422234732</v>
      </c>
      <c r="AV30" s="253">
        <f t="shared" si="7"/>
        <v>-19.723226709221965</v>
      </c>
      <c r="AW30" s="108">
        <f t="shared" si="8"/>
        <v>18.400118641809598</v>
      </c>
      <c r="AX30" s="264">
        <f t="shared" si="37"/>
        <v>-1.7431693505883421</v>
      </c>
      <c r="AY30" s="122">
        <f t="shared" si="38"/>
        <v>1.5535693396201691</v>
      </c>
      <c r="AZ30" s="253">
        <f t="shared" si="39"/>
        <v>-31.811655982616074</v>
      </c>
      <c r="BA30" s="258">
        <f t="shared" si="40"/>
        <v>-31.811655982616074</v>
      </c>
      <c r="BB30" s="108">
        <f t="shared" si="41"/>
        <v>29.67761071259612</v>
      </c>
      <c r="BC30" s="258">
        <f t="shared" si="42"/>
        <v>29.677610712596127</v>
      </c>
      <c r="BE30" s="55">
        <f t="shared" si="9"/>
        <v>11.25</v>
      </c>
      <c r="BF30" s="149">
        <f t="shared" si="10"/>
        <v>9</v>
      </c>
      <c r="BG30" s="169" t="str">
        <f t="shared" si="11"/>
        <v>#5 @ 6</v>
      </c>
      <c r="BH30" s="87">
        <f t="shared" si="43"/>
        <v>0.81199920207728005</v>
      </c>
      <c r="BI30" s="224">
        <f t="shared" si="57"/>
        <v>1.8405315247085014E-2</v>
      </c>
      <c r="BJ30" s="226">
        <f t="shared" si="58"/>
        <v>2.625</v>
      </c>
      <c r="BK30" s="22">
        <f t="shared" si="46"/>
        <v>31.811655982616074</v>
      </c>
      <c r="BL30" s="55">
        <f t="shared" si="12"/>
        <v>9</v>
      </c>
      <c r="BM30" s="87">
        <f t="shared" si="47"/>
        <v>1.5882352941176472</v>
      </c>
      <c r="BN30" s="227">
        <v>6</v>
      </c>
      <c r="BP30" s="87">
        <f t="shared" si="48"/>
        <v>0.70570849088808207</v>
      </c>
      <c r="BQ30" s="43">
        <f t="shared" si="49"/>
        <v>1.1997044345097397E-2</v>
      </c>
      <c r="BR30" s="191">
        <f t="shared" si="59"/>
        <v>2.4375</v>
      </c>
      <c r="BS30" s="22">
        <f t="shared" si="51"/>
        <v>29.67761071259612</v>
      </c>
      <c r="BT30" s="87">
        <f t="shared" si="52"/>
        <v>1.5306122448979593</v>
      </c>
      <c r="BU30" s="232">
        <f t="shared" si="53"/>
        <v>6</v>
      </c>
      <c r="BW30" s="155"/>
    </row>
    <row r="31" spans="1:75" x14ac:dyDescent="0.2">
      <c r="A31" s="2">
        <v>11.5</v>
      </c>
      <c r="B31" s="236">
        <v>9.25</v>
      </c>
      <c r="C31" s="43">
        <f t="shared" si="13"/>
        <v>0.11562500000000001</v>
      </c>
      <c r="D31" s="5">
        <f t="shared" si="14"/>
        <v>-1.5291406250000001</v>
      </c>
      <c r="E31" s="92">
        <f t="shared" si="15"/>
        <v>1.2233125000000002</v>
      </c>
      <c r="F31" s="76">
        <f t="shared" si="16"/>
        <v>-0.66125000000000012</v>
      </c>
      <c r="G31" s="96">
        <f t="shared" si="17"/>
        <v>0.52900000000000003</v>
      </c>
      <c r="H31" s="157">
        <v>-7.37</v>
      </c>
      <c r="I31" s="99">
        <v>7.74</v>
      </c>
      <c r="J31" s="36">
        <f t="shared" si="18"/>
        <v>-9.5603906250000001</v>
      </c>
      <c r="K31" s="102">
        <f t="shared" si="18"/>
        <v>9.4923125000000006</v>
      </c>
      <c r="L31" s="167" t="s">
        <v>34</v>
      </c>
      <c r="M31" s="236">
        <v>0.31</v>
      </c>
      <c r="N31" s="236">
        <v>6</v>
      </c>
      <c r="O31" s="315">
        <f t="shared" si="19"/>
        <v>0.62</v>
      </c>
      <c r="P31" s="224">
        <f t="shared" si="20"/>
        <v>0.62</v>
      </c>
      <c r="Q31" s="195">
        <f t="shared" si="55"/>
        <v>6.4375</v>
      </c>
      <c r="R31" s="102">
        <f t="shared" si="56"/>
        <v>6.9375</v>
      </c>
      <c r="S31" s="253">
        <f t="shared" si="21"/>
        <v>-31.761380644469167</v>
      </c>
      <c r="T31" s="105">
        <f t="shared" si="22"/>
        <v>29.262404446863545</v>
      </c>
      <c r="U31" s="68">
        <v>2</v>
      </c>
      <c r="V31" s="69">
        <v>1.5</v>
      </c>
      <c r="W31" s="131">
        <f t="shared" si="23"/>
        <v>2</v>
      </c>
      <c r="X31" s="239">
        <f t="shared" si="54"/>
        <v>2</v>
      </c>
      <c r="Y31" s="201">
        <f t="shared" si="24"/>
        <v>24</v>
      </c>
      <c r="Z31" s="24">
        <f t="shared" si="25"/>
        <v>18</v>
      </c>
      <c r="AA31" s="3">
        <v>130</v>
      </c>
      <c r="AB31" s="249">
        <f t="shared" si="26"/>
        <v>35.817067077850069</v>
      </c>
      <c r="AC31" s="183">
        <f t="shared" si="27"/>
        <v>43.380966025982168</v>
      </c>
      <c r="AD31" s="24">
        <v>36</v>
      </c>
      <c r="AF31" s="55">
        <f t="shared" si="2"/>
        <v>11.5</v>
      </c>
      <c r="AG31" s="246">
        <f t="shared" si="3"/>
        <v>9.25</v>
      </c>
      <c r="AH31" s="169" t="str">
        <f t="shared" si="4"/>
        <v>#5 @ 6</v>
      </c>
      <c r="AI31" s="55">
        <v>8</v>
      </c>
      <c r="AJ31" s="2">
        <f t="shared" si="28"/>
        <v>1800</v>
      </c>
      <c r="AK31" s="47">
        <v>36000</v>
      </c>
      <c r="AL31" s="43">
        <f t="shared" si="29"/>
        <v>0.2857142857142857</v>
      </c>
      <c r="AM31" s="4">
        <f t="shared" si="30"/>
        <v>0.90476190476190477</v>
      </c>
      <c r="AN31" s="253">
        <f t="shared" si="5"/>
        <v>-9.5603906250000001</v>
      </c>
      <c r="AO31" s="108">
        <f t="shared" si="6"/>
        <v>9.4923125000000006</v>
      </c>
      <c r="AP31" s="195">
        <f t="shared" si="31"/>
        <v>1.93027736623072</v>
      </c>
      <c r="AQ31" s="253">
        <f t="shared" si="32"/>
        <v>0.82666666666666666</v>
      </c>
      <c r="AR31" s="157">
        <f t="shared" si="33"/>
        <v>-5.3216666666666663</v>
      </c>
      <c r="AS31" s="111">
        <f t="shared" si="34"/>
        <v>0.82666666666666666</v>
      </c>
      <c r="AT31" s="111">
        <f t="shared" si="35"/>
        <v>-5.7349999999999994</v>
      </c>
      <c r="AU31" s="102">
        <f t="shared" si="36"/>
        <v>2.0168609890294782</v>
      </c>
      <c r="AV31" s="253">
        <f t="shared" si="7"/>
        <v>-19.800348307089134</v>
      </c>
      <c r="AW31" s="108">
        <f t="shared" si="8"/>
        <v>18.180986014923203</v>
      </c>
      <c r="AX31" s="264">
        <f t="shared" si="37"/>
        <v>-1.7096289418891091</v>
      </c>
      <c r="AY31" s="105">
        <f t="shared" si="38"/>
        <v>1.5024160575779997</v>
      </c>
      <c r="AZ31" s="253">
        <f t="shared" si="39"/>
        <v>-31.936045656595375</v>
      </c>
      <c r="BA31" s="258">
        <f t="shared" si="40"/>
        <v>-31.936045656595379</v>
      </c>
      <c r="BB31" s="108">
        <f t="shared" si="41"/>
        <v>29.324170991811616</v>
      </c>
      <c r="BC31" s="258">
        <f t="shared" si="42"/>
        <v>29.324170991811616</v>
      </c>
      <c r="BE31" s="55">
        <f t="shared" si="9"/>
        <v>11.5</v>
      </c>
      <c r="BF31" s="149">
        <f t="shared" si="10"/>
        <v>9.25</v>
      </c>
      <c r="BG31" s="169" t="str">
        <f t="shared" si="11"/>
        <v>#5 @ 6</v>
      </c>
      <c r="BH31" s="87">
        <f t="shared" si="43"/>
        <v>0.80378120301471512</v>
      </c>
      <c r="BI31" s="224">
        <f t="shared" si="57"/>
        <v>1.8219040601666878E-2</v>
      </c>
      <c r="BJ31" s="226">
        <f t="shared" si="58"/>
        <v>2.625</v>
      </c>
      <c r="BK31" s="22">
        <f t="shared" si="46"/>
        <v>31.936045656595375</v>
      </c>
      <c r="BL31" s="55">
        <f t="shared" si="12"/>
        <v>9.25</v>
      </c>
      <c r="BM31" s="87">
        <f t="shared" si="47"/>
        <v>1.5660377358490567</v>
      </c>
      <c r="BN31" s="227">
        <v>6</v>
      </c>
      <c r="BP31" s="87">
        <f t="shared" si="48"/>
        <v>0.68843309220174476</v>
      </c>
      <c r="BQ31" s="43">
        <f t="shared" si="49"/>
        <v>1.1703362567429662E-2</v>
      </c>
      <c r="BR31" s="191">
        <f t="shared" si="59"/>
        <v>2.4375</v>
      </c>
      <c r="BS31" s="22">
        <f t="shared" si="51"/>
        <v>29.324170991811616</v>
      </c>
      <c r="BT31" s="87">
        <f t="shared" si="52"/>
        <v>1.5111402359108781</v>
      </c>
      <c r="BU31" s="232">
        <f t="shared" si="53"/>
        <v>6</v>
      </c>
      <c r="BW31" s="155"/>
    </row>
    <row r="32" spans="1:75" x14ac:dyDescent="0.2">
      <c r="A32" s="2">
        <v>11.75</v>
      </c>
      <c r="B32" s="236">
        <v>9.25</v>
      </c>
      <c r="C32" s="43">
        <f t="shared" si="13"/>
        <v>0.11562500000000001</v>
      </c>
      <c r="D32" s="5">
        <f t="shared" si="14"/>
        <v>-1.5963476562500003</v>
      </c>
      <c r="E32" s="92">
        <f t="shared" si="15"/>
        <v>1.2770781250000003</v>
      </c>
      <c r="F32" s="76">
        <f t="shared" si="16"/>
        <v>-0.69031250000000011</v>
      </c>
      <c r="G32" s="96">
        <f t="shared" si="17"/>
        <v>0.55225000000000002</v>
      </c>
      <c r="H32" s="157">
        <v>-7.65</v>
      </c>
      <c r="I32" s="99">
        <v>7.88</v>
      </c>
      <c r="J32" s="36">
        <f t="shared" si="18"/>
        <v>-9.9366601562500012</v>
      </c>
      <c r="K32" s="102">
        <f t="shared" si="18"/>
        <v>9.7093281250000008</v>
      </c>
      <c r="L32" s="167" t="s">
        <v>34</v>
      </c>
      <c r="M32" s="236">
        <v>0.31</v>
      </c>
      <c r="N32" s="236">
        <v>6</v>
      </c>
      <c r="O32" s="315">
        <f t="shared" si="19"/>
        <v>0.62</v>
      </c>
      <c r="P32" s="224">
        <f t="shared" si="20"/>
        <v>0.62</v>
      </c>
      <c r="Q32" s="195">
        <f t="shared" si="55"/>
        <v>6.4375</v>
      </c>
      <c r="R32" s="102">
        <f t="shared" si="56"/>
        <v>6.9375</v>
      </c>
      <c r="S32" s="253">
        <f t="shared" si="21"/>
        <v>-33.011417413437201</v>
      </c>
      <c r="T32" s="105">
        <f t="shared" si="22"/>
        <v>29.931408863862973</v>
      </c>
      <c r="U32" s="68">
        <v>2</v>
      </c>
      <c r="V32" s="69">
        <v>1.5</v>
      </c>
      <c r="W32" s="131">
        <f t="shared" si="23"/>
        <v>2</v>
      </c>
      <c r="X32" s="239">
        <f t="shared" si="54"/>
        <v>2</v>
      </c>
      <c r="Y32" s="201">
        <f t="shared" si="24"/>
        <v>24</v>
      </c>
      <c r="Z32" s="24">
        <f t="shared" si="25"/>
        <v>18</v>
      </c>
      <c r="AA32" s="3">
        <v>130</v>
      </c>
      <c r="AB32" s="249">
        <f t="shared" si="26"/>
        <v>35.817067077850069</v>
      </c>
      <c r="AC32" s="183">
        <f t="shared" si="27"/>
        <v>43.380966025982168</v>
      </c>
      <c r="AD32" s="24">
        <v>36</v>
      </c>
      <c r="AF32" s="55">
        <f t="shared" si="2"/>
        <v>11.75</v>
      </c>
      <c r="AG32" s="246">
        <f t="shared" si="3"/>
        <v>9.25</v>
      </c>
      <c r="AH32" s="169" t="str">
        <f t="shared" si="4"/>
        <v>#5 @ 6</v>
      </c>
      <c r="AI32" s="55">
        <v>8</v>
      </c>
      <c r="AJ32" s="2">
        <f t="shared" si="28"/>
        <v>1800</v>
      </c>
      <c r="AK32" s="47">
        <v>36000</v>
      </c>
      <c r="AL32" s="43">
        <f t="shared" si="29"/>
        <v>0.2857142857142857</v>
      </c>
      <c r="AM32" s="4">
        <f t="shared" si="30"/>
        <v>0.90476190476190477</v>
      </c>
      <c r="AN32" s="253">
        <f t="shared" si="5"/>
        <v>-9.9366601562500012</v>
      </c>
      <c r="AO32" s="108">
        <f t="shared" si="6"/>
        <v>9.7093281250000008</v>
      </c>
      <c r="AP32" s="195">
        <f t="shared" si="31"/>
        <v>1.93027736623072</v>
      </c>
      <c r="AQ32" s="253">
        <f t="shared" si="32"/>
        <v>0.82666666666666666</v>
      </c>
      <c r="AR32" s="157">
        <f t="shared" si="33"/>
        <v>-5.3216666666666663</v>
      </c>
      <c r="AS32" s="111">
        <f t="shared" si="34"/>
        <v>0.82666666666666666</v>
      </c>
      <c r="AT32" s="111">
        <f t="shared" si="35"/>
        <v>-5.7349999999999994</v>
      </c>
      <c r="AU32" s="102">
        <f t="shared" si="36"/>
        <v>2.0168609890294782</v>
      </c>
      <c r="AV32" s="253">
        <f t="shared" si="7"/>
        <v>-20.579633178212816</v>
      </c>
      <c r="AW32" s="108">
        <f t="shared" si="8"/>
        <v>18.596644269236347</v>
      </c>
      <c r="AX32" s="264">
        <f t="shared" si="37"/>
        <v>-1.7769150294359819</v>
      </c>
      <c r="AY32" s="105">
        <f t="shared" si="38"/>
        <v>1.5367646696517516</v>
      </c>
      <c r="AZ32" s="253">
        <f t="shared" si="39"/>
        <v>-33.192956739052931</v>
      </c>
      <c r="BA32" s="258">
        <f t="shared" si="40"/>
        <v>-33.192956739052931</v>
      </c>
      <c r="BB32" s="108">
        <f t="shared" si="41"/>
        <v>29.994587531026365</v>
      </c>
      <c r="BC32" s="258">
        <f t="shared" si="42"/>
        <v>29.994587531026365</v>
      </c>
      <c r="BE32" s="55">
        <f t="shared" si="9"/>
        <v>11.75</v>
      </c>
      <c r="BF32" s="149">
        <f t="shared" si="10"/>
        <v>9.25</v>
      </c>
      <c r="BG32" s="169" t="str">
        <f t="shared" si="11"/>
        <v>#5 @ 6</v>
      </c>
      <c r="BH32" s="87">
        <f t="shared" si="43"/>
        <v>0.83541572385689167</v>
      </c>
      <c r="BI32" s="224">
        <f t="shared" si="57"/>
        <v>1.8936089740756213E-2</v>
      </c>
      <c r="BJ32" s="226">
        <f t="shared" si="58"/>
        <v>2.625</v>
      </c>
      <c r="BK32" s="22">
        <f t="shared" si="46"/>
        <v>33.192956739052931</v>
      </c>
      <c r="BL32" s="55">
        <f t="shared" si="12"/>
        <v>9.25</v>
      </c>
      <c r="BM32" s="87">
        <f t="shared" si="47"/>
        <v>1.5660377358490567</v>
      </c>
      <c r="BN32" s="227">
        <v>6</v>
      </c>
      <c r="BP32" s="87">
        <f t="shared" si="48"/>
        <v>0.70417222192117246</v>
      </c>
      <c r="BQ32" s="43">
        <f t="shared" si="49"/>
        <v>1.1970927772659932E-2</v>
      </c>
      <c r="BR32" s="191">
        <f t="shared" si="59"/>
        <v>2.4375</v>
      </c>
      <c r="BS32" s="22">
        <f t="shared" si="51"/>
        <v>29.994587531026365</v>
      </c>
      <c r="BT32" s="87">
        <f t="shared" si="52"/>
        <v>1.5111402359108781</v>
      </c>
      <c r="BU32" s="232">
        <f t="shared" si="53"/>
        <v>6</v>
      </c>
      <c r="BW32" s="155"/>
    </row>
    <row r="33" spans="1:75" x14ac:dyDescent="0.2">
      <c r="A33" s="8">
        <v>12</v>
      </c>
      <c r="B33" s="238">
        <v>9.5</v>
      </c>
      <c r="C33" s="44">
        <f t="shared" si="13"/>
        <v>0.11874999999999999</v>
      </c>
      <c r="D33" s="11">
        <f t="shared" si="14"/>
        <v>-1.71</v>
      </c>
      <c r="E33" s="94">
        <f t="shared" si="15"/>
        <v>1.3679999999999999</v>
      </c>
      <c r="F33" s="78">
        <f t="shared" si="16"/>
        <v>-0.7200000000000002</v>
      </c>
      <c r="G33" s="98">
        <f t="shared" si="17"/>
        <v>0.57600000000000007</v>
      </c>
      <c r="H33" s="158">
        <v>-7.92</v>
      </c>
      <c r="I33" s="101">
        <v>8.01</v>
      </c>
      <c r="J33" s="38">
        <f t="shared" si="18"/>
        <v>-10.35</v>
      </c>
      <c r="K33" s="104">
        <f t="shared" si="18"/>
        <v>9.9540000000000006</v>
      </c>
      <c r="L33" s="168" t="s">
        <v>34</v>
      </c>
      <c r="M33" s="238">
        <v>0.31</v>
      </c>
      <c r="N33" s="238">
        <v>6</v>
      </c>
      <c r="O33" s="316">
        <f t="shared" si="19"/>
        <v>0.62</v>
      </c>
      <c r="P33" s="225">
        <f t="shared" si="20"/>
        <v>0.62</v>
      </c>
      <c r="Q33" s="257">
        <f t="shared" si="55"/>
        <v>6.6875</v>
      </c>
      <c r="R33" s="104">
        <f t="shared" si="56"/>
        <v>7.1875</v>
      </c>
      <c r="S33" s="61">
        <f t="shared" si="21"/>
        <v>-33.099202667657146</v>
      </c>
      <c r="T33" s="104">
        <f t="shared" si="22"/>
        <v>29.618342851386643</v>
      </c>
      <c r="U33" s="72">
        <v>2</v>
      </c>
      <c r="V33" s="73">
        <v>1.5</v>
      </c>
      <c r="W33" s="132">
        <f t="shared" si="23"/>
        <v>2</v>
      </c>
      <c r="X33" s="242">
        <f t="shared" si="54"/>
        <v>2</v>
      </c>
      <c r="Y33" s="245">
        <f t="shared" si="24"/>
        <v>24</v>
      </c>
      <c r="Z33" s="26">
        <f t="shared" si="25"/>
        <v>18</v>
      </c>
      <c r="AA33" s="9">
        <v>130</v>
      </c>
      <c r="AB33" s="251">
        <f t="shared" si="26"/>
        <v>35.817067077850069</v>
      </c>
      <c r="AC33" s="185">
        <f t="shared" si="27"/>
        <v>43.380966025982168</v>
      </c>
      <c r="AD33" s="26">
        <v>36</v>
      </c>
      <c r="AF33" s="57">
        <f t="shared" si="2"/>
        <v>12</v>
      </c>
      <c r="AG33" s="60">
        <f t="shared" si="3"/>
        <v>9.5</v>
      </c>
      <c r="AH33" s="175" t="str">
        <f t="shared" si="4"/>
        <v>#5 @ 6</v>
      </c>
      <c r="AI33" s="57">
        <v>8</v>
      </c>
      <c r="AJ33" s="8">
        <f t="shared" si="28"/>
        <v>1800</v>
      </c>
      <c r="AK33" s="49">
        <v>36000</v>
      </c>
      <c r="AL33" s="44">
        <f t="shared" si="29"/>
        <v>0.2857142857142857</v>
      </c>
      <c r="AM33" s="10">
        <f t="shared" si="30"/>
        <v>0.90476190476190477</v>
      </c>
      <c r="AN33" s="61">
        <f t="shared" si="5"/>
        <v>-10.35</v>
      </c>
      <c r="AO33" s="110">
        <f t="shared" si="6"/>
        <v>9.9540000000000006</v>
      </c>
      <c r="AP33" s="257">
        <f t="shared" si="31"/>
        <v>1.9739617422234732</v>
      </c>
      <c r="AQ33" s="61">
        <f t="shared" si="32"/>
        <v>0.82666666666666666</v>
      </c>
      <c r="AR33" s="158">
        <f t="shared" si="33"/>
        <v>-5.5283333333333333</v>
      </c>
      <c r="AS33" s="113">
        <f t="shared" si="34"/>
        <v>0.82666666666666666</v>
      </c>
      <c r="AT33" s="113">
        <f t="shared" si="35"/>
        <v>-5.9416666666666664</v>
      </c>
      <c r="AU33" s="104">
        <f t="shared" si="36"/>
        <v>2.059015976758408</v>
      </c>
      <c r="AV33" s="61">
        <f t="shared" si="7"/>
        <v>-20.598679378628827</v>
      </c>
      <c r="AW33" s="110">
        <f t="shared" si="8"/>
        <v>18.373332660614611</v>
      </c>
      <c r="AX33" s="265">
        <f t="shared" si="37"/>
        <v>-1.7391994770397159</v>
      </c>
      <c r="AY33" s="107">
        <f t="shared" si="38"/>
        <v>1.4872260073102566</v>
      </c>
      <c r="AZ33" s="61">
        <f t="shared" si="39"/>
        <v>-33.22367641714326</v>
      </c>
      <c r="BA33" s="259">
        <f t="shared" si="40"/>
        <v>-33.223676417143267</v>
      </c>
      <c r="BB33" s="110">
        <f t="shared" si="41"/>
        <v>29.634407517120355</v>
      </c>
      <c r="BC33" s="259">
        <f t="shared" si="42"/>
        <v>29.634407517120341</v>
      </c>
      <c r="BE33" s="57">
        <f t="shared" si="9"/>
        <v>12</v>
      </c>
      <c r="BF33" s="151">
        <f t="shared" si="10"/>
        <v>9.5</v>
      </c>
      <c r="BG33" s="175" t="str">
        <f t="shared" si="11"/>
        <v>#5 @ 6</v>
      </c>
      <c r="BH33" s="89">
        <f t="shared" si="43"/>
        <v>0.82519845646475964</v>
      </c>
      <c r="BI33" s="225">
        <f t="shared" si="57"/>
        <v>1.8704498346534554E-2</v>
      </c>
      <c r="BJ33" s="234">
        <f t="shared" si="58"/>
        <v>2.625</v>
      </c>
      <c r="BK33" s="25">
        <f t="shared" si="46"/>
        <v>33.22367641714326</v>
      </c>
      <c r="BL33" s="57">
        <f t="shared" si="12"/>
        <v>9.5</v>
      </c>
      <c r="BM33" s="89">
        <f t="shared" si="47"/>
        <v>1.5454545454545454</v>
      </c>
      <c r="BN33" s="228">
        <v>6</v>
      </c>
      <c r="BP33" s="89">
        <f t="shared" si="48"/>
        <v>0.68738632588982418</v>
      </c>
      <c r="BQ33" s="44">
        <f t="shared" si="49"/>
        <v>1.1685567540127012E-2</v>
      </c>
      <c r="BR33" s="234">
        <f t="shared" si="59"/>
        <v>2.4375</v>
      </c>
      <c r="BS33" s="25">
        <f t="shared" si="51"/>
        <v>29.634407517120355</v>
      </c>
      <c r="BT33" s="89">
        <f t="shared" si="52"/>
        <v>1.4930467762326169</v>
      </c>
      <c r="BU33" s="233">
        <f t="shared" si="53"/>
        <v>6</v>
      </c>
      <c r="BW33" s="155"/>
    </row>
    <row r="34" spans="1:75" x14ac:dyDescent="0.2">
      <c r="S34" s="144">
        <f>MIN(S5:S33)</f>
        <v>-33.099202667657146</v>
      </c>
      <c r="T34" s="153">
        <f>MAX(T5:T33)</f>
        <v>33.191568580350705</v>
      </c>
      <c r="AB34" s="144">
        <f>MAX(AB5:AB33)</f>
        <v>36.870040192552679</v>
      </c>
      <c r="AC34" s="144">
        <f>MAX(AC5:AC33)</f>
        <v>44.656307494224144</v>
      </c>
      <c r="AX34" s="144">
        <f>MIN(AX5:AX33)</f>
        <v>-1.7769150294359819</v>
      </c>
      <c r="AY34" s="153">
        <f>MAX(AY5:AY33)</f>
        <v>1.6437319913527355</v>
      </c>
      <c r="AZ34" s="144">
        <f>MIN(AZ5:AZ33)</f>
        <v>-33.22367641714326</v>
      </c>
      <c r="BA34" s="144"/>
      <c r="BB34" s="153">
        <f>MAX(BB5:BB33)</f>
        <v>33.027373980774016</v>
      </c>
      <c r="BC34" s="153"/>
      <c r="BI34" s="155">
        <f>MAX(BI5:BI33)</f>
        <v>2.0360609705587774E-2</v>
      </c>
      <c r="BK34" s="144">
        <f>MAX(BK5:BK33)</f>
        <v>33.22367641714326</v>
      </c>
      <c r="BM34" s="144"/>
      <c r="BQ34" s="155">
        <f>MAX(BQ5:BQ33)</f>
        <v>1.5766154655868284E-2</v>
      </c>
      <c r="BS34" s="144">
        <f>MAX(BS5:BS33)</f>
        <v>33.027373980774016</v>
      </c>
      <c r="BT34" s="144"/>
      <c r="BW34" s="155"/>
    </row>
    <row r="35" spans="1:75" x14ac:dyDescent="0.2">
      <c r="L35" s="140" t="s">
        <v>113</v>
      </c>
      <c r="M35" s="141" t="s">
        <v>134</v>
      </c>
      <c r="R35" s="140" t="s">
        <v>113</v>
      </c>
      <c r="S35" s="140" t="s">
        <v>113</v>
      </c>
      <c r="T35" s="140" t="s">
        <v>113</v>
      </c>
      <c r="AB35" s="133" t="s">
        <v>88</v>
      </c>
      <c r="AP35" s="154" t="s">
        <v>89</v>
      </c>
      <c r="BK35" s="141" t="s">
        <v>183</v>
      </c>
      <c r="BS35" s="141" t="s">
        <v>183</v>
      </c>
    </row>
    <row r="36" spans="1:75" x14ac:dyDescent="0.2">
      <c r="G36" s="139"/>
      <c r="AB36" s="154" t="s">
        <v>87</v>
      </c>
      <c r="AP36" s="154" t="s">
        <v>90</v>
      </c>
      <c r="AX36" s="141" t="s">
        <v>150</v>
      </c>
      <c r="BB36" s="154" t="s">
        <v>137</v>
      </c>
    </row>
    <row r="37" spans="1:75" x14ac:dyDescent="0.2">
      <c r="AP37" s="154" t="s">
        <v>91</v>
      </c>
      <c r="AX37" s="141"/>
      <c r="BI37" s="141"/>
    </row>
    <row r="38" spans="1:75" x14ac:dyDescent="0.2">
      <c r="A38" s="141"/>
      <c r="AX38" s="141"/>
      <c r="BI38" s="141"/>
    </row>
    <row r="39" spans="1:75" x14ac:dyDescent="0.2">
      <c r="AP39" s="141" t="s">
        <v>185</v>
      </c>
    </row>
    <row r="40" spans="1:75" x14ac:dyDescent="0.2">
      <c r="A40" s="181"/>
      <c r="AP40" s="141" t="s">
        <v>121</v>
      </c>
    </row>
    <row r="41" spans="1:75" ht="14.25" x14ac:dyDescent="0.2">
      <c r="AP41" s="141" t="s">
        <v>122</v>
      </c>
      <c r="BI41" s="148"/>
    </row>
    <row r="42" spans="1:75" x14ac:dyDescent="0.2">
      <c r="A42" s="148"/>
      <c r="BI42" s="148"/>
    </row>
    <row r="43" spans="1:75" x14ac:dyDescent="0.2">
      <c r="A43" s="181"/>
    </row>
  </sheetData>
  <pageMargins left="0.75" right="0.75" top="1.25" bottom="1" header="0.5" footer="0.5"/>
  <pageSetup scale="94"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98"/>
  <sheetViews>
    <sheetView zoomScaleNormal="100" workbookViewId="0">
      <selection activeCell="P33" sqref="P33"/>
    </sheetView>
  </sheetViews>
  <sheetFormatPr defaultRowHeight="12.75" x14ac:dyDescent="0.2"/>
  <cols>
    <col min="1" max="1" width="7.85546875" style="154" customWidth="1"/>
    <col min="2" max="2" width="6.7109375" style="154" customWidth="1"/>
    <col min="3" max="3" width="7.7109375" style="154" customWidth="1"/>
    <col min="4" max="11" width="7.28515625" style="154" customWidth="1"/>
    <col min="12" max="12" width="9.140625" style="154"/>
    <col min="13" max="15" width="6.7109375" style="154" customWidth="1"/>
    <col min="16" max="20" width="8.85546875" style="154" customWidth="1"/>
    <col min="21" max="21" width="1.7109375" style="154" customWidth="1"/>
    <col min="22" max="27" width="7.28515625" style="154" customWidth="1"/>
    <col min="28" max="28" width="8.28515625" style="154" customWidth="1"/>
    <col min="29" max="29" width="6.7109375" style="154" customWidth="1"/>
    <col min="30" max="31" width="7.7109375" style="154" customWidth="1"/>
    <col min="32" max="32" width="6.42578125" style="154" customWidth="1"/>
    <col min="33" max="33" width="6.5703125" style="154" customWidth="1"/>
    <col min="34" max="34" width="10.7109375" style="154" customWidth="1"/>
    <col min="35" max="36" width="8.7109375" style="154" customWidth="1"/>
    <col min="37" max="37" width="6.7109375" style="154" customWidth="1"/>
    <col min="38" max="38" width="10.7109375" style="154" customWidth="1"/>
    <col min="39" max="39" width="1.7109375" style="154" customWidth="1"/>
    <col min="40" max="40" width="7.5703125" style="154" customWidth="1"/>
    <col min="41" max="41" width="7.7109375" style="154" customWidth="1"/>
    <col min="42" max="43" width="11.7109375" style="154" customWidth="1"/>
    <col min="44" max="16384" width="9.140625" style="154"/>
  </cols>
  <sheetData>
    <row r="1" spans="1:50" ht="20.25" x14ac:dyDescent="0.3">
      <c r="AN1" s="212" t="s">
        <v>53</v>
      </c>
      <c r="AO1" s="212"/>
      <c r="AP1" s="212"/>
      <c r="AQ1" s="212"/>
      <c r="AR1" s="212"/>
      <c r="AS1" s="212"/>
      <c r="AT1" s="212"/>
      <c r="AU1" s="212"/>
    </row>
    <row r="2" spans="1:50" ht="20.25" x14ac:dyDescent="0.3">
      <c r="A2" s="30" t="s">
        <v>38</v>
      </c>
      <c r="V2" s="30" t="s">
        <v>38</v>
      </c>
      <c r="AN2" s="213" t="s">
        <v>95</v>
      </c>
      <c r="AO2" s="213"/>
      <c r="AP2" s="213"/>
      <c r="AQ2" s="213"/>
      <c r="AR2" s="213"/>
      <c r="AS2" s="213"/>
      <c r="AT2" s="213"/>
      <c r="AU2" s="213"/>
    </row>
    <row r="3" spans="1:50" ht="18" x14ac:dyDescent="0.25">
      <c r="J3" s="154" t="s">
        <v>99</v>
      </c>
      <c r="N3" s="154" t="s">
        <v>100</v>
      </c>
      <c r="Q3" s="163" t="s">
        <v>92</v>
      </c>
      <c r="R3" s="163"/>
      <c r="S3" s="163"/>
      <c r="T3" s="163"/>
      <c r="U3" s="163"/>
      <c r="V3" s="141" t="s">
        <v>125</v>
      </c>
      <c r="AD3" s="189" t="s">
        <v>140</v>
      </c>
      <c r="AE3" s="293">
        <v>80</v>
      </c>
      <c r="AF3" s="154" t="s">
        <v>142</v>
      </c>
      <c r="AL3" s="163" t="s">
        <v>93</v>
      </c>
      <c r="AN3" s="215" t="s">
        <v>96</v>
      </c>
      <c r="AO3" s="215"/>
      <c r="AP3" s="215"/>
      <c r="AQ3" s="215"/>
      <c r="AR3" s="215"/>
      <c r="AS3" s="215"/>
      <c r="AT3" s="215"/>
      <c r="AU3" s="215"/>
    </row>
    <row r="4" spans="1:50" ht="15" customHeight="1" x14ac:dyDescent="0.25">
      <c r="L4" s="140"/>
      <c r="P4" s="140" t="s">
        <v>113</v>
      </c>
      <c r="Q4" s="140" t="s">
        <v>113</v>
      </c>
      <c r="AK4" s="140" t="s">
        <v>113</v>
      </c>
      <c r="AL4" s="140" t="s">
        <v>113</v>
      </c>
      <c r="AN4" s="216" t="s">
        <v>141</v>
      </c>
      <c r="AO4" s="216"/>
      <c r="AP4" s="216"/>
      <c r="AQ4" s="216"/>
      <c r="AR4" s="216"/>
      <c r="AS4" s="216"/>
      <c r="AT4" s="216"/>
      <c r="AU4" s="216"/>
    </row>
    <row r="5" spans="1:50" x14ac:dyDescent="0.2">
      <c r="D5" s="140" t="s">
        <v>113</v>
      </c>
      <c r="E5" s="140" t="s">
        <v>113</v>
      </c>
      <c r="F5" s="140" t="s">
        <v>113</v>
      </c>
      <c r="G5" s="140" t="s">
        <v>113</v>
      </c>
      <c r="H5" s="140" t="s">
        <v>113</v>
      </c>
      <c r="I5" s="140" t="s">
        <v>113</v>
      </c>
      <c r="J5" s="140" t="s">
        <v>113</v>
      </c>
      <c r="K5" s="140" t="s">
        <v>113</v>
      </c>
      <c r="L5" s="154" t="s">
        <v>105</v>
      </c>
      <c r="O5" s="154" t="s">
        <v>106</v>
      </c>
      <c r="R5" s="140" t="s">
        <v>113</v>
      </c>
      <c r="S5" s="140" t="s">
        <v>113</v>
      </c>
      <c r="T5" s="140" t="s">
        <v>113</v>
      </c>
      <c r="V5" s="140" t="s">
        <v>113</v>
      </c>
      <c r="W5" s="140" t="s">
        <v>113</v>
      </c>
      <c r="X5" s="140" t="s">
        <v>113</v>
      </c>
      <c r="Y5" s="140" t="s">
        <v>113</v>
      </c>
      <c r="Z5" s="140" t="s">
        <v>113</v>
      </c>
      <c r="AA5" s="140" t="s">
        <v>113</v>
      </c>
      <c r="AB5" s="140" t="s">
        <v>113</v>
      </c>
      <c r="AC5" s="140" t="s">
        <v>113</v>
      </c>
      <c r="AD5" s="140" t="s">
        <v>113</v>
      </c>
      <c r="AE5" s="140" t="s">
        <v>113</v>
      </c>
      <c r="AF5" s="140" t="s">
        <v>113</v>
      </c>
      <c r="AG5" s="140" t="s">
        <v>113</v>
      </c>
      <c r="AH5" s="140" t="s">
        <v>113</v>
      </c>
      <c r="AI5" s="140" t="s">
        <v>113</v>
      </c>
      <c r="AJ5" s="140"/>
      <c r="AK5" s="141" t="s">
        <v>111</v>
      </c>
      <c r="AN5" s="140" t="s">
        <v>113</v>
      </c>
      <c r="AO5" s="140" t="s">
        <v>113</v>
      </c>
      <c r="AP5" s="210" t="s">
        <v>94</v>
      </c>
      <c r="AQ5" s="211"/>
      <c r="AR5" s="210" t="s">
        <v>48</v>
      </c>
      <c r="AS5" s="214"/>
      <c r="AT5" s="210" t="s">
        <v>49</v>
      </c>
      <c r="AU5" s="211"/>
      <c r="AW5" s="154" t="s">
        <v>143</v>
      </c>
    </row>
    <row r="6" spans="1:50" ht="13.5" thickBot="1" x14ac:dyDescent="0.25">
      <c r="A6" s="159" t="s">
        <v>5</v>
      </c>
      <c r="B6" s="54" t="s">
        <v>10</v>
      </c>
      <c r="C6" s="14" t="s">
        <v>75</v>
      </c>
      <c r="D6" s="67" t="s">
        <v>2</v>
      </c>
      <c r="E6" s="16" t="s">
        <v>3</v>
      </c>
      <c r="F6" s="67" t="s">
        <v>6</v>
      </c>
      <c r="G6" s="15" t="s">
        <v>7</v>
      </c>
      <c r="H6" s="67" t="s">
        <v>37</v>
      </c>
      <c r="I6" s="16" t="s">
        <v>4</v>
      </c>
      <c r="J6" s="67" t="s">
        <v>1</v>
      </c>
      <c r="K6" s="15" t="s">
        <v>0</v>
      </c>
      <c r="L6" s="159" t="s">
        <v>8</v>
      </c>
      <c r="M6" s="159"/>
      <c r="N6" s="159"/>
      <c r="O6" s="159"/>
      <c r="P6" s="54" t="s">
        <v>9</v>
      </c>
      <c r="Q6" s="67" t="s">
        <v>13</v>
      </c>
      <c r="R6" s="15" t="s">
        <v>14</v>
      </c>
      <c r="S6" s="67" t="s">
        <v>19</v>
      </c>
      <c r="T6" s="16" t="s">
        <v>20</v>
      </c>
      <c r="U6" s="161"/>
      <c r="V6" s="67" t="s">
        <v>16</v>
      </c>
      <c r="W6" s="16" t="s">
        <v>17</v>
      </c>
      <c r="X6" s="67" t="s">
        <v>15</v>
      </c>
      <c r="Y6" s="15" t="s">
        <v>18</v>
      </c>
      <c r="Z6" s="67" t="s">
        <v>50</v>
      </c>
      <c r="AA6" s="16" t="s">
        <v>51</v>
      </c>
      <c r="AB6" s="14" t="s">
        <v>5</v>
      </c>
      <c r="AC6" s="54" t="s">
        <v>10</v>
      </c>
      <c r="AD6" s="15" t="s">
        <v>1</v>
      </c>
      <c r="AE6" s="15" t="s">
        <v>0</v>
      </c>
      <c r="AF6" s="67" t="s">
        <v>39</v>
      </c>
      <c r="AG6" s="16" t="s">
        <v>40</v>
      </c>
      <c r="AH6" s="67" t="s">
        <v>44</v>
      </c>
      <c r="AI6" s="67" t="s">
        <v>41</v>
      </c>
      <c r="AJ6" s="67" t="s">
        <v>156</v>
      </c>
      <c r="AK6" s="281" t="s">
        <v>112</v>
      </c>
      <c r="AL6" s="16" t="s">
        <v>43</v>
      </c>
      <c r="AN6" s="159" t="s">
        <v>46</v>
      </c>
      <c r="AO6" s="54" t="s">
        <v>47</v>
      </c>
      <c r="AP6" s="45" t="s">
        <v>43</v>
      </c>
      <c r="AQ6" s="58" t="s">
        <v>44</v>
      </c>
      <c r="AR6" s="45" t="s">
        <v>1</v>
      </c>
      <c r="AS6" s="58" t="s">
        <v>0</v>
      </c>
      <c r="AT6" s="45" t="s">
        <v>1</v>
      </c>
      <c r="AU6" s="58" t="s">
        <v>0</v>
      </c>
    </row>
    <row r="7" spans="1:50" ht="13.5" thickTop="1" x14ac:dyDescent="0.2">
      <c r="A7" s="2">
        <v>4.5</v>
      </c>
      <c r="B7" s="236">
        <v>8</v>
      </c>
      <c r="C7" s="4">
        <f>B7/12*0.15</f>
        <v>9.9999999999999992E-2</v>
      </c>
      <c r="D7" s="253">
        <f>-0.1*C7*A7^2</f>
        <v>-0.20250000000000001</v>
      </c>
      <c r="E7" s="108">
        <f>0.08*C7*A7^2</f>
        <v>0.16200000000000001</v>
      </c>
      <c r="F7" s="253">
        <f>-0.1*0.05*A7^2</f>
        <v>-0.10125000000000002</v>
      </c>
      <c r="G7" s="99">
        <f>0.08*0.05*A7^2</f>
        <v>8.1000000000000003E-2</v>
      </c>
      <c r="H7" s="253">
        <v>-2</v>
      </c>
      <c r="I7" s="108">
        <v>4.63</v>
      </c>
      <c r="J7" s="253">
        <f t="shared" ref="J7:K22" si="0">1.25*D7+1.5*F7+1.75*H7</f>
        <v>-3.9050000000000002</v>
      </c>
      <c r="K7" s="99">
        <f t="shared" si="0"/>
        <v>8.426499999999999</v>
      </c>
      <c r="L7" s="167" t="s">
        <v>144</v>
      </c>
      <c r="M7" s="299">
        <v>0.2</v>
      </c>
      <c r="N7" s="271">
        <v>7.5</v>
      </c>
      <c r="O7" s="315">
        <f>M7*12/N7</f>
        <v>0.32000000000000006</v>
      </c>
      <c r="P7" s="224">
        <f>O7</f>
        <v>0.32000000000000006</v>
      </c>
      <c r="Q7" s="195">
        <f t="shared" ref="Q7:Q20" si="1">B7-2.5-0.5/2</f>
        <v>5.25</v>
      </c>
      <c r="R7" s="105">
        <f t="shared" ref="R7:R20" si="2">B7-1.5-0.5/2-0.5</f>
        <v>5.75</v>
      </c>
      <c r="S7" s="287">
        <f>P7/(12*Q7)</f>
        <v>5.0793650793650802E-3</v>
      </c>
      <c r="T7" s="115">
        <f>P7/(12*R7)</f>
        <v>4.6376811594202906E-3</v>
      </c>
      <c r="U7" s="164"/>
      <c r="V7" s="253">
        <f>0.9*P7*$AE$3*(Q7-0.5*S7*($AE$3/(0.85*4.5))*Q7)/12</f>
        <v>9.5445751633986955</v>
      </c>
      <c r="W7" s="108">
        <f>0.9*P7*$AE$3*(R7-0.5*T7*($AE$3/(0.85*4.5))*R7)/12</f>
        <v>10.504575163398696</v>
      </c>
      <c r="X7" s="253">
        <f>0.9*P7*$AE$3*(Q7-0.5*S7*($AE$3/(0.85*4))*Q7)/12</f>
        <v>9.477647058823532</v>
      </c>
      <c r="Y7" s="99">
        <f>0.9*P7*$AE$3*(R7-0.5*T7*($AE$3/(0.85*4))*R7)/12</f>
        <v>10.437647058823533</v>
      </c>
      <c r="Z7" s="253">
        <f>0.9*P7*$AE$3*(Q7-0.5*S7*($AE$3/(0.85*5))*Q7)/12</f>
        <v>9.5981176470588263</v>
      </c>
      <c r="AA7" s="108">
        <f>0.9*P7*$AE$3*(R7-0.5*T7*($AE$3/(0.85*5))*R7)/12</f>
        <v>10.558117647058827</v>
      </c>
      <c r="AB7" s="3">
        <f t="shared" ref="AB7:AB37" si="3">A7</f>
        <v>4.5</v>
      </c>
      <c r="AC7" s="246">
        <f t="shared" ref="AC7:AC37" si="4">B7</f>
        <v>8</v>
      </c>
      <c r="AD7" s="5">
        <f t="shared" ref="AD7:AD37" si="5">J7</f>
        <v>-3.9050000000000002</v>
      </c>
      <c r="AE7" s="105">
        <f t="shared" ref="AE7:AE37" si="6">K7</f>
        <v>8.426499999999999</v>
      </c>
      <c r="AF7" s="201">
        <v>67</v>
      </c>
      <c r="AG7" s="32">
        <f t="shared" ref="AG7:AG37" si="7">P7*AF7/100</f>
        <v>0.21440000000000003</v>
      </c>
      <c r="AH7" s="218" t="s">
        <v>110</v>
      </c>
      <c r="AI7" s="43">
        <f t="shared" ref="AI7:AI16" si="8">0.2*12/8</f>
        <v>0.30000000000000004</v>
      </c>
      <c r="AJ7" s="290">
        <f>AI7/P7</f>
        <v>0.9375</v>
      </c>
      <c r="AK7" s="282">
        <f t="shared" ref="AK7:AK37" si="9">2*AI7/(12*B7)</f>
        <v>6.2500000000000012E-3</v>
      </c>
      <c r="AL7" s="272" t="str">
        <f t="shared" ref="AL7:AL37" si="10">L7</f>
        <v>#4 @ 7.5</v>
      </c>
      <c r="AN7" s="2">
        <f t="shared" ref="AN7:AN37" si="11">A7</f>
        <v>4.5</v>
      </c>
      <c r="AO7" s="246">
        <f t="shared" ref="AO7:AO37" si="12">B7</f>
        <v>8</v>
      </c>
      <c r="AP7" s="167" t="str">
        <f t="shared" ref="AP7:AP37" si="13">L7</f>
        <v>#4 @ 7.5</v>
      </c>
      <c r="AQ7" s="275" t="str">
        <f>AH7</f>
        <v>#4 @ 8</v>
      </c>
      <c r="AR7" s="50">
        <f t="shared" ref="AR7:AR22" si="14">AD7</f>
        <v>-3.9050000000000002</v>
      </c>
      <c r="AS7" s="111">
        <f t="shared" ref="AS7:AS22" si="15">AE7</f>
        <v>8.426499999999999</v>
      </c>
      <c r="AT7" s="50">
        <f>-V7</f>
        <v>-9.5445751633986955</v>
      </c>
      <c r="AU7" s="114">
        <f>W7</f>
        <v>10.504575163398696</v>
      </c>
      <c r="AW7" s="156">
        <f>AT7/AR7</f>
        <v>2.4441933837128542</v>
      </c>
      <c r="AX7" s="156">
        <f>AU7/AS7</f>
        <v>1.2466118985817003</v>
      </c>
    </row>
    <row r="8" spans="1:50" x14ac:dyDescent="0.2">
      <c r="A8" s="2">
        <v>4.75</v>
      </c>
      <c r="B8" s="236">
        <v>8</v>
      </c>
      <c r="C8" s="4">
        <f t="shared" ref="C8:C37" si="16">B8/12*0.15</f>
        <v>9.9999999999999992E-2</v>
      </c>
      <c r="D8" s="253">
        <f>-0.1*C8*A8^2</f>
        <v>-0.22562499999999999</v>
      </c>
      <c r="E8" s="108">
        <f>0.08*C8*A8^2</f>
        <v>0.18049999999999999</v>
      </c>
      <c r="F8" s="253">
        <f>-0.1*0.05*A8^2</f>
        <v>-0.11281250000000002</v>
      </c>
      <c r="G8" s="99">
        <f>0.08*0.05*A8^2</f>
        <v>9.0249999999999997E-2</v>
      </c>
      <c r="H8" s="253">
        <v>-2.19</v>
      </c>
      <c r="I8" s="108">
        <v>4.6399999999999997</v>
      </c>
      <c r="J8" s="253">
        <f t="shared" si="0"/>
        <v>-4.2837500000000004</v>
      </c>
      <c r="K8" s="99">
        <f t="shared" si="0"/>
        <v>8.4809999999999999</v>
      </c>
      <c r="L8" s="167" t="s">
        <v>144</v>
      </c>
      <c r="M8" s="221">
        <v>0.2</v>
      </c>
      <c r="N8" s="271">
        <v>7.5</v>
      </c>
      <c r="O8" s="315">
        <f>M8*12/N8</f>
        <v>0.32000000000000006</v>
      </c>
      <c r="P8" s="224">
        <f t="shared" ref="P8:P37" si="17">O8</f>
        <v>0.32000000000000006</v>
      </c>
      <c r="Q8" s="195">
        <f t="shared" si="1"/>
        <v>5.25</v>
      </c>
      <c r="R8" s="105">
        <f t="shared" si="2"/>
        <v>5.75</v>
      </c>
      <c r="S8" s="287">
        <f>P8/(12*Q8)</f>
        <v>5.0793650793650802E-3</v>
      </c>
      <c r="T8" s="115">
        <f>P8/(12*R8)</f>
        <v>4.6376811594202906E-3</v>
      </c>
      <c r="U8" s="164"/>
      <c r="V8" s="253">
        <f t="shared" ref="V8:V37" si="18">0.9*P8*$AE$3*(Q8-0.5*S8*($AE$3/(0.85*4.5))*Q8)/12</f>
        <v>9.5445751633986955</v>
      </c>
      <c r="W8" s="108">
        <f t="shared" ref="W8:W37" si="19">0.9*P8*$AE$3*(R8-0.5*T8*($AE$3/(0.85*4.5))*R8)/12</f>
        <v>10.504575163398696</v>
      </c>
      <c r="X8" s="253">
        <f t="shared" ref="X8:X37" si="20">0.9*P8*$AE$3*(Q8-0.5*S8*($AE$3/(0.85*4))*Q8)/12</f>
        <v>9.477647058823532</v>
      </c>
      <c r="Y8" s="99">
        <f t="shared" ref="Y8:Y37" si="21">0.9*P8*$AE$3*(R8-0.5*T8*($AE$3/(0.85*4))*R8)/12</f>
        <v>10.437647058823533</v>
      </c>
      <c r="Z8" s="253">
        <f t="shared" ref="Z8:Z37" si="22">0.9*P8*$AE$3*(Q8-0.5*S8*($AE$3/(0.85*5))*Q8)/12</f>
        <v>9.5981176470588263</v>
      </c>
      <c r="AA8" s="108">
        <f t="shared" ref="AA8:AA37" si="23">0.9*P8*$AE$3*(R8-0.5*T8*($AE$3/(0.85*5))*R8)/12</f>
        <v>10.558117647058827</v>
      </c>
      <c r="AB8" s="3">
        <f t="shared" si="3"/>
        <v>4.75</v>
      </c>
      <c r="AC8" s="246">
        <f t="shared" si="4"/>
        <v>8</v>
      </c>
      <c r="AD8" s="5">
        <f t="shared" si="5"/>
        <v>-4.2837500000000004</v>
      </c>
      <c r="AE8" s="105">
        <f t="shared" si="6"/>
        <v>8.4809999999999999</v>
      </c>
      <c r="AF8" s="201">
        <v>67</v>
      </c>
      <c r="AG8" s="32">
        <f t="shared" si="7"/>
        <v>0.21440000000000003</v>
      </c>
      <c r="AH8" s="218" t="s">
        <v>110</v>
      </c>
      <c r="AI8" s="43">
        <f t="shared" si="8"/>
        <v>0.30000000000000004</v>
      </c>
      <c r="AJ8" s="290">
        <f t="shared" ref="AJ8:AJ37" si="24">AI8/P8</f>
        <v>0.9375</v>
      </c>
      <c r="AK8" s="282">
        <f t="shared" si="9"/>
        <v>6.2500000000000012E-3</v>
      </c>
      <c r="AL8" s="272" t="str">
        <f t="shared" si="10"/>
        <v>#4 @ 7.5</v>
      </c>
      <c r="AN8" s="2">
        <f t="shared" si="11"/>
        <v>4.75</v>
      </c>
      <c r="AO8" s="246">
        <f t="shared" si="12"/>
        <v>8</v>
      </c>
      <c r="AP8" s="167" t="str">
        <f t="shared" si="13"/>
        <v>#4 @ 7.5</v>
      </c>
      <c r="AQ8" s="169" t="str">
        <f>AH8</f>
        <v>#4 @ 8</v>
      </c>
      <c r="AR8" s="157">
        <f t="shared" si="14"/>
        <v>-4.2837500000000004</v>
      </c>
      <c r="AS8" s="111">
        <f t="shared" si="15"/>
        <v>8.4809999999999999</v>
      </c>
      <c r="AT8" s="50">
        <f t="shared" ref="AT8:AT37" si="25">-V8</f>
        <v>-9.5445751633986955</v>
      </c>
      <c r="AU8" s="111">
        <f>W8</f>
        <v>10.504575163398696</v>
      </c>
      <c r="AW8" s="156">
        <f t="shared" ref="AW8:AX37" si="26">AT8/AR8</f>
        <v>2.2280887454680349</v>
      </c>
      <c r="AX8" s="156">
        <f t="shared" si="26"/>
        <v>1.2386010097156817</v>
      </c>
    </row>
    <row r="9" spans="1:50" x14ac:dyDescent="0.2">
      <c r="A9" s="2">
        <v>5</v>
      </c>
      <c r="B9" s="236">
        <v>8</v>
      </c>
      <c r="C9" s="4">
        <f t="shared" si="16"/>
        <v>9.9999999999999992E-2</v>
      </c>
      <c r="D9" s="253">
        <f>-0.1*C9*A9^2</f>
        <v>-0.25</v>
      </c>
      <c r="E9" s="108">
        <f>0.08*C9*A9^2</f>
        <v>0.2</v>
      </c>
      <c r="F9" s="253">
        <f>-0.1*0.05*A9^2</f>
        <v>-0.12500000000000003</v>
      </c>
      <c r="G9" s="99">
        <f>0.08*0.05*A9^2</f>
        <v>0.1</v>
      </c>
      <c r="H9" s="253">
        <v>-2.38</v>
      </c>
      <c r="I9" s="108">
        <v>4.6500000000000004</v>
      </c>
      <c r="J9" s="253">
        <f t="shared" si="0"/>
        <v>-4.665</v>
      </c>
      <c r="K9" s="99">
        <f t="shared" si="0"/>
        <v>8.5375000000000014</v>
      </c>
      <c r="L9" s="167" t="s">
        <v>144</v>
      </c>
      <c r="M9" s="236">
        <v>0.2</v>
      </c>
      <c r="N9" s="297">
        <v>7.5</v>
      </c>
      <c r="O9" s="315">
        <f>M9*12/N9</f>
        <v>0.32000000000000006</v>
      </c>
      <c r="P9" s="224">
        <f t="shared" si="17"/>
        <v>0.32000000000000006</v>
      </c>
      <c r="Q9" s="195">
        <f t="shared" si="1"/>
        <v>5.25</v>
      </c>
      <c r="R9" s="105">
        <f t="shared" si="2"/>
        <v>5.75</v>
      </c>
      <c r="S9" s="287">
        <f>P9/(12*Q9)</f>
        <v>5.0793650793650802E-3</v>
      </c>
      <c r="T9" s="115">
        <f>P9/(12*R9)</f>
        <v>4.6376811594202906E-3</v>
      </c>
      <c r="U9" s="164"/>
      <c r="V9" s="253">
        <f t="shared" si="18"/>
        <v>9.5445751633986955</v>
      </c>
      <c r="W9" s="108">
        <f t="shared" si="19"/>
        <v>10.504575163398696</v>
      </c>
      <c r="X9" s="253">
        <f t="shared" si="20"/>
        <v>9.477647058823532</v>
      </c>
      <c r="Y9" s="99">
        <f t="shared" si="21"/>
        <v>10.437647058823533</v>
      </c>
      <c r="Z9" s="253">
        <f t="shared" si="22"/>
        <v>9.5981176470588263</v>
      </c>
      <c r="AA9" s="108">
        <f t="shared" si="23"/>
        <v>10.558117647058827</v>
      </c>
      <c r="AB9" s="3">
        <f t="shared" si="3"/>
        <v>5</v>
      </c>
      <c r="AC9" s="246">
        <f t="shared" si="4"/>
        <v>8</v>
      </c>
      <c r="AD9" s="5">
        <f t="shared" si="5"/>
        <v>-4.665</v>
      </c>
      <c r="AE9" s="105">
        <f t="shared" si="6"/>
        <v>8.5375000000000014</v>
      </c>
      <c r="AF9" s="201">
        <v>67</v>
      </c>
      <c r="AG9" s="32">
        <f t="shared" si="7"/>
        <v>0.21440000000000003</v>
      </c>
      <c r="AH9" s="218" t="s">
        <v>110</v>
      </c>
      <c r="AI9" s="43">
        <f t="shared" si="8"/>
        <v>0.30000000000000004</v>
      </c>
      <c r="AJ9" s="290">
        <f t="shared" si="24"/>
        <v>0.9375</v>
      </c>
      <c r="AK9" s="282">
        <f t="shared" si="9"/>
        <v>6.2500000000000012E-3</v>
      </c>
      <c r="AL9" s="272" t="str">
        <f t="shared" si="10"/>
        <v>#4 @ 7.5</v>
      </c>
      <c r="AN9" s="2">
        <f t="shared" si="11"/>
        <v>5</v>
      </c>
      <c r="AO9" s="246">
        <f t="shared" si="12"/>
        <v>8</v>
      </c>
      <c r="AP9" s="167" t="str">
        <f t="shared" si="13"/>
        <v>#4 @ 7.5</v>
      </c>
      <c r="AQ9" s="169" t="str">
        <f>AH9</f>
        <v>#4 @ 8</v>
      </c>
      <c r="AR9" s="50">
        <f t="shared" si="14"/>
        <v>-4.665</v>
      </c>
      <c r="AS9" s="111">
        <f t="shared" si="15"/>
        <v>8.5375000000000014</v>
      </c>
      <c r="AT9" s="50">
        <f t="shared" si="25"/>
        <v>-9.5445751633986955</v>
      </c>
      <c r="AU9" s="111">
        <f t="shared" ref="AU9:AU37" si="27">W9</f>
        <v>10.504575163398696</v>
      </c>
      <c r="AW9" s="156">
        <f t="shared" si="26"/>
        <v>2.0459968195924318</v>
      </c>
      <c r="AX9" s="156">
        <f t="shared" si="26"/>
        <v>1.2304041186997008</v>
      </c>
    </row>
    <row r="10" spans="1:50" x14ac:dyDescent="0.2">
      <c r="A10" s="2">
        <v>5.25</v>
      </c>
      <c r="B10" s="236">
        <v>8</v>
      </c>
      <c r="C10" s="4">
        <f t="shared" si="16"/>
        <v>9.9999999999999992E-2</v>
      </c>
      <c r="D10" s="253">
        <f t="shared" ref="D10:D37" si="28">-0.1*C10*A10^2</f>
        <v>-0.27562500000000001</v>
      </c>
      <c r="E10" s="108">
        <f t="shared" ref="E10:E37" si="29">0.08*C10*A10^2</f>
        <v>0.2205</v>
      </c>
      <c r="F10" s="253">
        <f t="shared" ref="F10:F37" si="30">-0.1*0.05*A10^2</f>
        <v>-0.13781250000000003</v>
      </c>
      <c r="G10" s="99">
        <f t="shared" ref="G10:G37" si="31">0.08*0.05*A10^2</f>
        <v>0.11025</v>
      </c>
      <c r="H10" s="253">
        <v>-2.57</v>
      </c>
      <c r="I10" s="108">
        <v>4.67</v>
      </c>
      <c r="J10" s="253">
        <f t="shared" si="0"/>
        <v>-5.0487500000000001</v>
      </c>
      <c r="K10" s="99">
        <f t="shared" si="0"/>
        <v>8.6135000000000002</v>
      </c>
      <c r="L10" s="167" t="s">
        <v>144</v>
      </c>
      <c r="M10" s="236">
        <v>0.2</v>
      </c>
      <c r="N10" s="297">
        <v>7.5</v>
      </c>
      <c r="O10" s="315">
        <f t="shared" ref="O10:O37" si="32">M10*12/N10</f>
        <v>0.32000000000000006</v>
      </c>
      <c r="P10" s="224">
        <f t="shared" si="17"/>
        <v>0.32000000000000006</v>
      </c>
      <c r="Q10" s="195">
        <f t="shared" si="1"/>
        <v>5.25</v>
      </c>
      <c r="R10" s="105">
        <f t="shared" si="2"/>
        <v>5.75</v>
      </c>
      <c r="S10" s="287">
        <f t="shared" ref="S10:S37" si="33">P10/(12*Q10)</f>
        <v>5.0793650793650802E-3</v>
      </c>
      <c r="T10" s="115">
        <f t="shared" ref="T10:T37" si="34">P10/(12*R10)</f>
        <v>4.6376811594202906E-3</v>
      </c>
      <c r="U10" s="164"/>
      <c r="V10" s="253">
        <f t="shared" si="18"/>
        <v>9.5445751633986955</v>
      </c>
      <c r="W10" s="108">
        <f t="shared" si="19"/>
        <v>10.504575163398696</v>
      </c>
      <c r="X10" s="253">
        <f t="shared" si="20"/>
        <v>9.477647058823532</v>
      </c>
      <c r="Y10" s="99">
        <f t="shared" si="21"/>
        <v>10.437647058823533</v>
      </c>
      <c r="Z10" s="253">
        <f t="shared" si="22"/>
        <v>9.5981176470588263</v>
      </c>
      <c r="AA10" s="108">
        <f t="shared" si="23"/>
        <v>10.558117647058827</v>
      </c>
      <c r="AB10" s="3">
        <f t="shared" si="3"/>
        <v>5.25</v>
      </c>
      <c r="AC10" s="246">
        <f t="shared" si="4"/>
        <v>8</v>
      </c>
      <c r="AD10" s="5">
        <f t="shared" si="5"/>
        <v>-5.0487500000000001</v>
      </c>
      <c r="AE10" s="105">
        <f t="shared" si="6"/>
        <v>8.6135000000000002</v>
      </c>
      <c r="AF10" s="201">
        <v>67</v>
      </c>
      <c r="AG10" s="32">
        <f t="shared" si="7"/>
        <v>0.21440000000000003</v>
      </c>
      <c r="AH10" s="218" t="s">
        <v>110</v>
      </c>
      <c r="AI10" s="43">
        <f t="shared" si="8"/>
        <v>0.30000000000000004</v>
      </c>
      <c r="AJ10" s="290">
        <f t="shared" si="24"/>
        <v>0.9375</v>
      </c>
      <c r="AK10" s="282">
        <f t="shared" si="9"/>
        <v>6.2500000000000012E-3</v>
      </c>
      <c r="AL10" s="272" t="str">
        <f t="shared" si="10"/>
        <v>#4 @ 7.5</v>
      </c>
      <c r="AN10" s="2">
        <f t="shared" si="11"/>
        <v>5.25</v>
      </c>
      <c r="AO10" s="246">
        <f t="shared" si="12"/>
        <v>8</v>
      </c>
      <c r="AP10" s="167" t="str">
        <f t="shared" si="13"/>
        <v>#4 @ 7.5</v>
      </c>
      <c r="AQ10" s="169" t="str">
        <f t="shared" ref="AQ10:AQ37" si="35">AH10</f>
        <v>#4 @ 8</v>
      </c>
      <c r="AR10" s="50">
        <f t="shared" si="14"/>
        <v>-5.0487500000000001</v>
      </c>
      <c r="AS10" s="111">
        <f t="shared" si="15"/>
        <v>8.6135000000000002</v>
      </c>
      <c r="AT10" s="50">
        <f t="shared" si="25"/>
        <v>-9.5445751633986955</v>
      </c>
      <c r="AU10" s="111">
        <f t="shared" si="27"/>
        <v>10.504575163398696</v>
      </c>
      <c r="AW10" s="156">
        <f t="shared" si="26"/>
        <v>1.8904828251346759</v>
      </c>
      <c r="AX10" s="156">
        <f t="shared" si="26"/>
        <v>1.2195478218376614</v>
      </c>
    </row>
    <row r="11" spans="1:50" x14ac:dyDescent="0.2">
      <c r="A11" s="2">
        <v>5.5</v>
      </c>
      <c r="B11" s="236">
        <v>8</v>
      </c>
      <c r="C11" s="4">
        <f t="shared" si="16"/>
        <v>9.9999999999999992E-2</v>
      </c>
      <c r="D11" s="253">
        <f t="shared" si="28"/>
        <v>-0.30249999999999999</v>
      </c>
      <c r="E11" s="108">
        <f t="shared" si="29"/>
        <v>0.24199999999999999</v>
      </c>
      <c r="F11" s="253">
        <f t="shared" si="30"/>
        <v>-0.15125000000000002</v>
      </c>
      <c r="G11" s="99">
        <f t="shared" si="31"/>
        <v>0.121</v>
      </c>
      <c r="H11" s="253">
        <v>-2.76</v>
      </c>
      <c r="I11" s="108">
        <v>4.71</v>
      </c>
      <c r="J11" s="253">
        <f t="shared" si="0"/>
        <v>-5.4350000000000005</v>
      </c>
      <c r="K11" s="99">
        <f t="shared" si="0"/>
        <v>8.7264999999999997</v>
      </c>
      <c r="L11" s="167" t="s">
        <v>144</v>
      </c>
      <c r="M11" s="236">
        <v>0.2</v>
      </c>
      <c r="N11" s="297">
        <v>7.5</v>
      </c>
      <c r="O11" s="315">
        <f t="shared" si="32"/>
        <v>0.32000000000000006</v>
      </c>
      <c r="P11" s="224">
        <f t="shared" si="17"/>
        <v>0.32000000000000006</v>
      </c>
      <c r="Q11" s="195">
        <f t="shared" si="1"/>
        <v>5.25</v>
      </c>
      <c r="R11" s="105">
        <f t="shared" si="2"/>
        <v>5.75</v>
      </c>
      <c r="S11" s="287">
        <f t="shared" si="33"/>
        <v>5.0793650793650802E-3</v>
      </c>
      <c r="T11" s="115">
        <f t="shared" si="34"/>
        <v>4.6376811594202906E-3</v>
      </c>
      <c r="U11" s="164"/>
      <c r="V11" s="253">
        <f t="shared" si="18"/>
        <v>9.5445751633986955</v>
      </c>
      <c r="W11" s="108">
        <f t="shared" si="19"/>
        <v>10.504575163398696</v>
      </c>
      <c r="X11" s="253">
        <f t="shared" si="20"/>
        <v>9.477647058823532</v>
      </c>
      <c r="Y11" s="99">
        <f t="shared" si="21"/>
        <v>10.437647058823533</v>
      </c>
      <c r="Z11" s="253">
        <f t="shared" si="22"/>
        <v>9.5981176470588263</v>
      </c>
      <c r="AA11" s="108">
        <f t="shared" si="23"/>
        <v>10.558117647058827</v>
      </c>
      <c r="AB11" s="3">
        <f t="shared" si="3"/>
        <v>5.5</v>
      </c>
      <c r="AC11" s="246">
        <f t="shared" si="4"/>
        <v>8</v>
      </c>
      <c r="AD11" s="5">
        <f t="shared" si="5"/>
        <v>-5.4350000000000005</v>
      </c>
      <c r="AE11" s="105">
        <f t="shared" si="6"/>
        <v>8.7264999999999997</v>
      </c>
      <c r="AF11" s="201">
        <v>67</v>
      </c>
      <c r="AG11" s="32">
        <f t="shared" si="7"/>
        <v>0.21440000000000003</v>
      </c>
      <c r="AH11" s="218" t="s">
        <v>110</v>
      </c>
      <c r="AI11" s="43">
        <f t="shared" si="8"/>
        <v>0.30000000000000004</v>
      </c>
      <c r="AJ11" s="290">
        <f t="shared" si="24"/>
        <v>0.9375</v>
      </c>
      <c r="AK11" s="282">
        <f t="shared" si="9"/>
        <v>6.2500000000000012E-3</v>
      </c>
      <c r="AL11" s="272" t="str">
        <f t="shared" si="10"/>
        <v>#4 @ 7.5</v>
      </c>
      <c r="AN11" s="2">
        <f t="shared" si="11"/>
        <v>5.5</v>
      </c>
      <c r="AO11" s="246">
        <f t="shared" si="12"/>
        <v>8</v>
      </c>
      <c r="AP11" s="167" t="str">
        <f t="shared" si="13"/>
        <v>#4 @ 7.5</v>
      </c>
      <c r="AQ11" s="169" t="str">
        <f t="shared" si="35"/>
        <v>#4 @ 8</v>
      </c>
      <c r="AR11" s="50">
        <f t="shared" si="14"/>
        <v>-5.4350000000000005</v>
      </c>
      <c r="AS11" s="111">
        <f t="shared" si="15"/>
        <v>8.7264999999999997</v>
      </c>
      <c r="AT11" s="50">
        <f t="shared" si="25"/>
        <v>-9.5445751633986955</v>
      </c>
      <c r="AU11" s="111">
        <f t="shared" si="27"/>
        <v>10.504575163398696</v>
      </c>
      <c r="AW11" s="156">
        <f t="shared" si="26"/>
        <v>1.7561315848019676</v>
      </c>
      <c r="AX11" s="156">
        <f t="shared" si="26"/>
        <v>1.2037558200193315</v>
      </c>
    </row>
    <row r="12" spans="1:50" x14ac:dyDescent="0.2">
      <c r="A12" s="2">
        <v>5.75</v>
      </c>
      <c r="B12" s="236">
        <v>8</v>
      </c>
      <c r="C12" s="4">
        <f t="shared" si="16"/>
        <v>9.9999999999999992E-2</v>
      </c>
      <c r="D12" s="253">
        <f t="shared" si="28"/>
        <v>-0.330625</v>
      </c>
      <c r="E12" s="108">
        <f t="shared" si="29"/>
        <v>0.26450000000000001</v>
      </c>
      <c r="F12" s="253">
        <f t="shared" si="30"/>
        <v>-0.16531250000000003</v>
      </c>
      <c r="G12" s="99">
        <f t="shared" si="31"/>
        <v>0.13225000000000001</v>
      </c>
      <c r="H12" s="253">
        <v>-2.92</v>
      </c>
      <c r="I12" s="108">
        <v>4.7699999999999996</v>
      </c>
      <c r="J12" s="253">
        <f t="shared" si="0"/>
        <v>-5.7712499999999993</v>
      </c>
      <c r="K12" s="99">
        <f t="shared" si="0"/>
        <v>8.8765000000000001</v>
      </c>
      <c r="L12" s="175" t="s">
        <v>144</v>
      </c>
      <c r="M12" s="238">
        <v>0.2</v>
      </c>
      <c r="N12" s="297">
        <v>7.5</v>
      </c>
      <c r="O12" s="316">
        <f t="shared" si="32"/>
        <v>0.32000000000000006</v>
      </c>
      <c r="P12" s="225">
        <f t="shared" si="17"/>
        <v>0.32000000000000006</v>
      </c>
      <c r="Q12" s="195">
        <f t="shared" si="1"/>
        <v>5.25</v>
      </c>
      <c r="R12" s="105">
        <f t="shared" si="2"/>
        <v>5.75</v>
      </c>
      <c r="S12" s="287">
        <f t="shared" si="33"/>
        <v>5.0793650793650802E-3</v>
      </c>
      <c r="T12" s="115">
        <f t="shared" si="34"/>
        <v>4.6376811594202906E-3</v>
      </c>
      <c r="U12" s="164"/>
      <c r="V12" s="61">
        <f t="shared" si="18"/>
        <v>9.5445751633986955</v>
      </c>
      <c r="W12" s="110">
        <f t="shared" si="19"/>
        <v>10.504575163398696</v>
      </c>
      <c r="X12" s="61">
        <f t="shared" si="20"/>
        <v>9.477647058823532</v>
      </c>
      <c r="Y12" s="101">
        <f t="shared" si="21"/>
        <v>10.437647058823533</v>
      </c>
      <c r="Z12" s="61">
        <f t="shared" si="22"/>
        <v>9.5981176470588263</v>
      </c>
      <c r="AA12" s="110">
        <f t="shared" si="23"/>
        <v>10.558117647058827</v>
      </c>
      <c r="AB12" s="3">
        <f t="shared" si="3"/>
        <v>5.75</v>
      </c>
      <c r="AC12" s="246">
        <f t="shared" si="4"/>
        <v>8</v>
      </c>
      <c r="AD12" s="5">
        <f t="shared" si="5"/>
        <v>-5.7712499999999993</v>
      </c>
      <c r="AE12" s="105">
        <f t="shared" si="6"/>
        <v>8.8765000000000001</v>
      </c>
      <c r="AF12" s="201">
        <v>67</v>
      </c>
      <c r="AG12" s="32">
        <f t="shared" si="7"/>
        <v>0.21440000000000003</v>
      </c>
      <c r="AH12" s="218" t="s">
        <v>110</v>
      </c>
      <c r="AI12" s="43">
        <f t="shared" si="8"/>
        <v>0.30000000000000004</v>
      </c>
      <c r="AJ12" s="291">
        <f t="shared" si="24"/>
        <v>0.9375</v>
      </c>
      <c r="AK12" s="282">
        <f t="shared" si="9"/>
        <v>6.2500000000000012E-3</v>
      </c>
      <c r="AL12" s="272" t="str">
        <f t="shared" si="10"/>
        <v>#4 @ 7.5</v>
      </c>
      <c r="AN12" s="2">
        <f t="shared" si="11"/>
        <v>5.75</v>
      </c>
      <c r="AO12" s="246">
        <f t="shared" si="12"/>
        <v>8</v>
      </c>
      <c r="AP12" s="167" t="str">
        <f t="shared" si="13"/>
        <v>#4 @ 7.5</v>
      </c>
      <c r="AQ12" s="169" t="str">
        <f t="shared" si="35"/>
        <v>#4 @ 8</v>
      </c>
      <c r="AR12" s="50">
        <f t="shared" si="14"/>
        <v>-5.7712499999999993</v>
      </c>
      <c r="AS12" s="111">
        <f t="shared" si="15"/>
        <v>8.8765000000000001</v>
      </c>
      <c r="AT12" s="52">
        <f t="shared" si="25"/>
        <v>-9.5445751633986955</v>
      </c>
      <c r="AU12" s="113">
        <f t="shared" si="27"/>
        <v>10.504575163398696</v>
      </c>
      <c r="AW12" s="156">
        <f t="shared" si="26"/>
        <v>1.6538141933547665</v>
      </c>
      <c r="AX12" s="156">
        <f t="shared" si="26"/>
        <v>1.1834140892692724</v>
      </c>
    </row>
    <row r="13" spans="1:50" x14ac:dyDescent="0.2">
      <c r="A13" s="17">
        <v>6</v>
      </c>
      <c r="B13" s="237">
        <v>8</v>
      </c>
      <c r="C13" s="42">
        <f t="shared" si="16"/>
        <v>9.9999999999999992E-2</v>
      </c>
      <c r="D13" s="255">
        <f t="shared" si="28"/>
        <v>-0.36</v>
      </c>
      <c r="E13" s="109">
        <f t="shared" si="29"/>
        <v>0.28800000000000003</v>
      </c>
      <c r="F13" s="255">
        <f t="shared" si="30"/>
        <v>-0.18000000000000005</v>
      </c>
      <c r="G13" s="100">
        <f t="shared" si="31"/>
        <v>0.14400000000000002</v>
      </c>
      <c r="H13" s="255">
        <v>-3.09</v>
      </c>
      <c r="I13" s="109">
        <v>4.83</v>
      </c>
      <c r="J13" s="255">
        <f t="shared" si="0"/>
        <v>-6.1274999999999995</v>
      </c>
      <c r="K13" s="100">
        <f t="shared" si="0"/>
        <v>9.0285000000000011</v>
      </c>
      <c r="L13" s="167" t="s">
        <v>145</v>
      </c>
      <c r="M13" s="237">
        <v>0.2</v>
      </c>
      <c r="N13" s="317">
        <v>7</v>
      </c>
      <c r="O13" s="315">
        <f t="shared" si="32"/>
        <v>0.34285714285714292</v>
      </c>
      <c r="P13" s="224">
        <f t="shared" si="17"/>
        <v>0.34285714285714292</v>
      </c>
      <c r="Q13" s="256">
        <f t="shared" si="1"/>
        <v>5.25</v>
      </c>
      <c r="R13" s="106">
        <f t="shared" si="2"/>
        <v>5.75</v>
      </c>
      <c r="S13" s="288">
        <f t="shared" si="33"/>
        <v>5.4421768707483007E-3</v>
      </c>
      <c r="T13" s="116">
        <f t="shared" si="34"/>
        <v>4.968944099378883E-3</v>
      </c>
      <c r="U13" s="164"/>
      <c r="V13" s="253">
        <f t="shared" si="18"/>
        <v>10.185354141656665</v>
      </c>
      <c r="W13" s="108">
        <f t="shared" si="19"/>
        <v>11.213925570228094</v>
      </c>
      <c r="X13" s="253">
        <f t="shared" si="20"/>
        <v>10.108523409363748</v>
      </c>
      <c r="Y13" s="99">
        <f t="shared" si="21"/>
        <v>11.137094837935178</v>
      </c>
      <c r="Z13" s="253">
        <f t="shared" si="22"/>
        <v>10.246818727490998</v>
      </c>
      <c r="AA13" s="108">
        <f t="shared" si="23"/>
        <v>11.275390156062427</v>
      </c>
      <c r="AB13" s="18">
        <f t="shared" si="3"/>
        <v>6</v>
      </c>
      <c r="AC13" s="247">
        <f t="shared" si="4"/>
        <v>8</v>
      </c>
      <c r="AD13" s="20">
        <f t="shared" si="5"/>
        <v>-6.1274999999999995</v>
      </c>
      <c r="AE13" s="106">
        <f t="shared" si="6"/>
        <v>9.0285000000000011</v>
      </c>
      <c r="AF13" s="244">
        <v>67</v>
      </c>
      <c r="AG13" s="33">
        <f t="shared" si="7"/>
        <v>0.22971428571428576</v>
      </c>
      <c r="AH13" s="220" t="s">
        <v>110</v>
      </c>
      <c r="AI13" s="42">
        <f>0.2*12/8</f>
        <v>0.30000000000000004</v>
      </c>
      <c r="AJ13" s="290">
        <f t="shared" si="24"/>
        <v>0.875</v>
      </c>
      <c r="AK13" s="283">
        <f t="shared" si="9"/>
        <v>6.2500000000000012E-3</v>
      </c>
      <c r="AL13" s="274" t="str">
        <f t="shared" si="10"/>
        <v>#4 @ 7</v>
      </c>
      <c r="AN13" s="17">
        <f t="shared" si="11"/>
        <v>6</v>
      </c>
      <c r="AO13" s="247">
        <f t="shared" si="12"/>
        <v>8</v>
      </c>
      <c r="AP13" s="173" t="str">
        <f t="shared" si="13"/>
        <v>#4 @ 7</v>
      </c>
      <c r="AQ13" s="174" t="str">
        <f t="shared" si="35"/>
        <v>#4 @ 8</v>
      </c>
      <c r="AR13" s="51">
        <f t="shared" si="14"/>
        <v>-6.1274999999999995</v>
      </c>
      <c r="AS13" s="112">
        <f t="shared" si="15"/>
        <v>9.0285000000000011</v>
      </c>
      <c r="AT13" s="50">
        <f t="shared" si="25"/>
        <v>-10.185354141656665</v>
      </c>
      <c r="AU13" s="111">
        <f t="shared" si="27"/>
        <v>11.213925570228094</v>
      </c>
      <c r="AW13" s="156">
        <f t="shared" si="26"/>
        <v>1.6622364980263837</v>
      </c>
      <c r="AX13" s="156">
        <f t="shared" si="26"/>
        <v>1.2420585446340027</v>
      </c>
    </row>
    <row r="14" spans="1:50" x14ac:dyDescent="0.2">
      <c r="A14" s="2">
        <v>6.25</v>
      </c>
      <c r="B14" s="236">
        <v>8</v>
      </c>
      <c r="C14" s="43">
        <f t="shared" si="16"/>
        <v>9.9999999999999992E-2</v>
      </c>
      <c r="D14" s="253">
        <f t="shared" si="28"/>
        <v>-0.390625</v>
      </c>
      <c r="E14" s="108">
        <f t="shared" si="29"/>
        <v>0.3125</v>
      </c>
      <c r="F14" s="253">
        <f t="shared" si="30"/>
        <v>-0.19531250000000003</v>
      </c>
      <c r="G14" s="99">
        <f t="shared" si="31"/>
        <v>0.15625</v>
      </c>
      <c r="H14" s="253">
        <v>-3.24</v>
      </c>
      <c r="I14" s="108">
        <v>4.91</v>
      </c>
      <c r="J14" s="253">
        <f t="shared" si="0"/>
        <v>-6.4512499999999999</v>
      </c>
      <c r="K14" s="99">
        <f t="shared" si="0"/>
        <v>9.2175000000000011</v>
      </c>
      <c r="L14" s="167" t="s">
        <v>145</v>
      </c>
      <c r="M14" s="236">
        <v>0.2</v>
      </c>
      <c r="N14" s="297">
        <v>7</v>
      </c>
      <c r="O14" s="315">
        <f t="shared" si="32"/>
        <v>0.34285714285714292</v>
      </c>
      <c r="P14" s="224">
        <f t="shared" si="17"/>
        <v>0.34285714285714292</v>
      </c>
      <c r="Q14" s="195">
        <f t="shared" si="1"/>
        <v>5.25</v>
      </c>
      <c r="R14" s="105">
        <f t="shared" si="2"/>
        <v>5.75</v>
      </c>
      <c r="S14" s="287">
        <f t="shared" si="33"/>
        <v>5.4421768707483007E-3</v>
      </c>
      <c r="T14" s="115">
        <f t="shared" si="34"/>
        <v>4.968944099378883E-3</v>
      </c>
      <c r="U14" s="164"/>
      <c r="V14" s="253">
        <f t="shared" si="18"/>
        <v>10.185354141656665</v>
      </c>
      <c r="W14" s="108">
        <f t="shared" si="19"/>
        <v>11.213925570228094</v>
      </c>
      <c r="X14" s="253">
        <f t="shared" si="20"/>
        <v>10.108523409363748</v>
      </c>
      <c r="Y14" s="99">
        <f t="shared" si="21"/>
        <v>11.137094837935178</v>
      </c>
      <c r="Z14" s="253">
        <f t="shared" si="22"/>
        <v>10.246818727490998</v>
      </c>
      <c r="AA14" s="108">
        <f t="shared" si="23"/>
        <v>11.275390156062427</v>
      </c>
      <c r="AB14" s="3">
        <f t="shared" si="3"/>
        <v>6.25</v>
      </c>
      <c r="AC14" s="246">
        <f t="shared" si="4"/>
        <v>8</v>
      </c>
      <c r="AD14" s="5">
        <f t="shared" si="5"/>
        <v>-6.4512499999999999</v>
      </c>
      <c r="AE14" s="105">
        <f t="shared" si="6"/>
        <v>9.2175000000000011</v>
      </c>
      <c r="AF14" s="201">
        <v>67</v>
      </c>
      <c r="AG14" s="32">
        <f t="shared" si="7"/>
        <v>0.22971428571428576</v>
      </c>
      <c r="AH14" s="218" t="s">
        <v>110</v>
      </c>
      <c r="AI14" s="43">
        <f t="shared" si="8"/>
        <v>0.30000000000000004</v>
      </c>
      <c r="AJ14" s="290">
        <f t="shared" si="24"/>
        <v>0.875</v>
      </c>
      <c r="AK14" s="282">
        <f t="shared" si="9"/>
        <v>6.2500000000000012E-3</v>
      </c>
      <c r="AL14" s="272" t="str">
        <f t="shared" si="10"/>
        <v>#4 @ 7</v>
      </c>
      <c r="AN14" s="2">
        <f t="shared" si="11"/>
        <v>6.25</v>
      </c>
      <c r="AO14" s="246">
        <f t="shared" si="12"/>
        <v>8</v>
      </c>
      <c r="AP14" s="167" t="str">
        <f t="shared" si="13"/>
        <v>#4 @ 7</v>
      </c>
      <c r="AQ14" s="169" t="str">
        <f t="shared" si="35"/>
        <v>#4 @ 8</v>
      </c>
      <c r="AR14" s="50">
        <f t="shared" si="14"/>
        <v>-6.4512499999999999</v>
      </c>
      <c r="AS14" s="111">
        <f t="shared" si="15"/>
        <v>9.2175000000000011</v>
      </c>
      <c r="AT14" s="50">
        <f t="shared" si="25"/>
        <v>-10.185354141656665</v>
      </c>
      <c r="AU14" s="111">
        <f t="shared" si="27"/>
        <v>11.213925570228094</v>
      </c>
      <c r="AW14" s="156">
        <f t="shared" si="26"/>
        <v>1.5788187005086867</v>
      </c>
      <c r="AX14" s="156">
        <f t="shared" si="26"/>
        <v>1.2165907860296277</v>
      </c>
    </row>
    <row r="15" spans="1:50" x14ac:dyDescent="0.2">
      <c r="A15" s="2">
        <v>6.5</v>
      </c>
      <c r="B15" s="236">
        <v>8</v>
      </c>
      <c r="C15" s="43">
        <f t="shared" si="16"/>
        <v>9.9999999999999992E-2</v>
      </c>
      <c r="D15" s="253">
        <f t="shared" si="28"/>
        <v>-0.42249999999999999</v>
      </c>
      <c r="E15" s="108">
        <f t="shared" si="29"/>
        <v>0.33800000000000002</v>
      </c>
      <c r="F15" s="253">
        <f t="shared" si="30"/>
        <v>-0.21125000000000005</v>
      </c>
      <c r="G15" s="99">
        <f t="shared" si="31"/>
        <v>0.16900000000000001</v>
      </c>
      <c r="H15" s="253">
        <v>-3.38</v>
      </c>
      <c r="I15" s="108">
        <v>5</v>
      </c>
      <c r="J15" s="253">
        <f t="shared" si="0"/>
        <v>-6.76</v>
      </c>
      <c r="K15" s="99">
        <f t="shared" si="0"/>
        <v>9.4260000000000002</v>
      </c>
      <c r="L15" s="167" t="s">
        <v>42</v>
      </c>
      <c r="M15" s="236">
        <v>0.2</v>
      </c>
      <c r="N15" s="297">
        <v>6.5</v>
      </c>
      <c r="O15" s="315">
        <f t="shared" si="32"/>
        <v>0.36923076923076931</v>
      </c>
      <c r="P15" s="224">
        <f t="shared" si="17"/>
        <v>0.36923076923076931</v>
      </c>
      <c r="Q15" s="195">
        <f t="shared" si="1"/>
        <v>5.25</v>
      </c>
      <c r="R15" s="105">
        <f t="shared" si="2"/>
        <v>5.75</v>
      </c>
      <c r="S15" s="287">
        <f t="shared" si="33"/>
        <v>5.8608058608058617E-3</v>
      </c>
      <c r="T15" s="115">
        <f t="shared" si="34"/>
        <v>5.3511705685618744E-3</v>
      </c>
      <c r="U15" s="164"/>
      <c r="V15" s="253">
        <f t="shared" si="18"/>
        <v>10.917925513400631</v>
      </c>
      <c r="W15" s="108">
        <f t="shared" si="19"/>
        <v>12.025617821092936</v>
      </c>
      <c r="X15" s="253">
        <f t="shared" si="20"/>
        <v>10.828820048729552</v>
      </c>
      <c r="Y15" s="99">
        <f t="shared" si="21"/>
        <v>11.93651235642186</v>
      </c>
      <c r="Z15" s="253">
        <f t="shared" si="22"/>
        <v>10.989209885137489</v>
      </c>
      <c r="AA15" s="108">
        <f t="shared" si="23"/>
        <v>12.096902192829797</v>
      </c>
      <c r="AB15" s="3">
        <f t="shared" si="3"/>
        <v>6.5</v>
      </c>
      <c r="AC15" s="246">
        <f t="shared" si="4"/>
        <v>8</v>
      </c>
      <c r="AD15" s="5">
        <f t="shared" si="5"/>
        <v>-6.76</v>
      </c>
      <c r="AE15" s="105">
        <f t="shared" si="6"/>
        <v>9.4260000000000002</v>
      </c>
      <c r="AF15" s="201">
        <v>67</v>
      </c>
      <c r="AG15" s="32">
        <f t="shared" si="7"/>
        <v>0.24738461538461542</v>
      </c>
      <c r="AH15" s="218" t="s">
        <v>110</v>
      </c>
      <c r="AI15" s="43">
        <f t="shared" si="8"/>
        <v>0.30000000000000004</v>
      </c>
      <c r="AJ15" s="290">
        <f t="shared" si="24"/>
        <v>0.8125</v>
      </c>
      <c r="AK15" s="282">
        <f t="shared" si="9"/>
        <v>6.2500000000000012E-3</v>
      </c>
      <c r="AL15" s="272" t="str">
        <f t="shared" si="10"/>
        <v>#4 @ 6.5</v>
      </c>
      <c r="AN15" s="2">
        <f t="shared" si="11"/>
        <v>6.5</v>
      </c>
      <c r="AO15" s="246">
        <f t="shared" si="12"/>
        <v>8</v>
      </c>
      <c r="AP15" s="167" t="str">
        <f t="shared" si="13"/>
        <v>#4 @ 6.5</v>
      </c>
      <c r="AQ15" s="169" t="str">
        <f t="shared" si="35"/>
        <v>#4 @ 8</v>
      </c>
      <c r="AR15" s="50">
        <f t="shared" si="14"/>
        <v>-6.76</v>
      </c>
      <c r="AS15" s="111">
        <f t="shared" si="15"/>
        <v>9.4260000000000002</v>
      </c>
      <c r="AT15" s="50">
        <f t="shared" si="25"/>
        <v>-10.917925513400631</v>
      </c>
      <c r="AU15" s="111">
        <f t="shared" si="27"/>
        <v>12.025617821092936</v>
      </c>
      <c r="AW15" s="156">
        <f t="shared" si="26"/>
        <v>1.6150777386687325</v>
      </c>
      <c r="AX15" s="156">
        <f t="shared" si="26"/>
        <v>1.2757922577013512</v>
      </c>
    </row>
    <row r="16" spans="1:50" x14ac:dyDescent="0.2">
      <c r="A16" s="8">
        <v>6.75</v>
      </c>
      <c r="B16" s="238">
        <v>8</v>
      </c>
      <c r="C16" s="44">
        <f t="shared" si="16"/>
        <v>9.9999999999999992E-2</v>
      </c>
      <c r="D16" s="61">
        <f t="shared" si="28"/>
        <v>-0.455625</v>
      </c>
      <c r="E16" s="110">
        <f t="shared" si="29"/>
        <v>0.36449999999999999</v>
      </c>
      <c r="F16" s="61">
        <f t="shared" si="30"/>
        <v>-0.22781250000000006</v>
      </c>
      <c r="G16" s="101">
        <f t="shared" si="31"/>
        <v>0.18225</v>
      </c>
      <c r="H16" s="61">
        <v>-3.51</v>
      </c>
      <c r="I16" s="110">
        <v>5.0999999999999996</v>
      </c>
      <c r="J16" s="61">
        <f t="shared" si="0"/>
        <v>-7.05375</v>
      </c>
      <c r="K16" s="101">
        <f t="shared" si="0"/>
        <v>9.6539999999999981</v>
      </c>
      <c r="L16" s="168" t="s">
        <v>42</v>
      </c>
      <c r="M16" s="238">
        <v>0.2</v>
      </c>
      <c r="N16" s="298">
        <v>6.5</v>
      </c>
      <c r="O16" s="316">
        <f t="shared" si="32"/>
        <v>0.36923076923076931</v>
      </c>
      <c r="P16" s="225">
        <f t="shared" si="17"/>
        <v>0.36923076923076931</v>
      </c>
      <c r="Q16" s="257">
        <f t="shared" si="1"/>
        <v>5.25</v>
      </c>
      <c r="R16" s="107">
        <f t="shared" si="2"/>
        <v>5.75</v>
      </c>
      <c r="S16" s="289">
        <f t="shared" si="33"/>
        <v>5.8608058608058617E-3</v>
      </c>
      <c r="T16" s="117">
        <f t="shared" si="34"/>
        <v>5.3511705685618744E-3</v>
      </c>
      <c r="U16" s="164"/>
      <c r="V16" s="61">
        <f t="shared" si="18"/>
        <v>10.917925513400631</v>
      </c>
      <c r="W16" s="110">
        <f t="shared" si="19"/>
        <v>12.025617821092936</v>
      </c>
      <c r="X16" s="61">
        <f t="shared" si="20"/>
        <v>10.828820048729552</v>
      </c>
      <c r="Y16" s="101">
        <f t="shared" si="21"/>
        <v>11.93651235642186</v>
      </c>
      <c r="Z16" s="61">
        <f t="shared" si="22"/>
        <v>10.989209885137489</v>
      </c>
      <c r="AA16" s="110">
        <f t="shared" si="23"/>
        <v>12.096902192829797</v>
      </c>
      <c r="AB16" s="9">
        <f t="shared" si="3"/>
        <v>6.75</v>
      </c>
      <c r="AC16" s="60">
        <f t="shared" si="4"/>
        <v>8</v>
      </c>
      <c r="AD16" s="11">
        <f t="shared" si="5"/>
        <v>-7.05375</v>
      </c>
      <c r="AE16" s="107">
        <f t="shared" si="6"/>
        <v>9.6539999999999981</v>
      </c>
      <c r="AF16" s="245">
        <v>67</v>
      </c>
      <c r="AG16" s="34">
        <f t="shared" si="7"/>
        <v>0.24738461538461542</v>
      </c>
      <c r="AH16" s="219" t="s">
        <v>110</v>
      </c>
      <c r="AI16" s="44">
        <f t="shared" si="8"/>
        <v>0.30000000000000004</v>
      </c>
      <c r="AJ16" s="291">
        <f t="shared" si="24"/>
        <v>0.8125</v>
      </c>
      <c r="AK16" s="284">
        <f t="shared" si="9"/>
        <v>6.2500000000000012E-3</v>
      </c>
      <c r="AL16" s="273" t="str">
        <f t="shared" si="10"/>
        <v>#4 @ 6.5</v>
      </c>
      <c r="AN16" s="8">
        <f t="shared" si="11"/>
        <v>6.75</v>
      </c>
      <c r="AO16" s="60">
        <f t="shared" si="12"/>
        <v>8</v>
      </c>
      <c r="AP16" s="168" t="str">
        <f t="shared" si="13"/>
        <v>#4 @ 6.5</v>
      </c>
      <c r="AQ16" s="175" t="str">
        <f t="shared" si="35"/>
        <v>#4 @ 8</v>
      </c>
      <c r="AR16" s="52">
        <f t="shared" si="14"/>
        <v>-7.05375</v>
      </c>
      <c r="AS16" s="113">
        <f t="shared" si="15"/>
        <v>9.6539999999999981</v>
      </c>
      <c r="AT16" s="52">
        <f t="shared" si="25"/>
        <v>-10.917925513400631</v>
      </c>
      <c r="AU16" s="113">
        <f t="shared" si="27"/>
        <v>12.025617821092936</v>
      </c>
      <c r="AW16" s="156">
        <f t="shared" si="26"/>
        <v>1.5478186090236585</v>
      </c>
      <c r="AX16" s="156">
        <f t="shared" si="26"/>
        <v>1.2456616761024382</v>
      </c>
    </row>
    <row r="17" spans="1:50" x14ac:dyDescent="0.2">
      <c r="A17" s="2">
        <v>7</v>
      </c>
      <c r="B17" s="236">
        <v>8</v>
      </c>
      <c r="C17" s="4">
        <f t="shared" si="16"/>
        <v>9.9999999999999992E-2</v>
      </c>
      <c r="D17" s="253">
        <f t="shared" si="28"/>
        <v>-0.49</v>
      </c>
      <c r="E17" s="108">
        <f t="shared" si="29"/>
        <v>0.39200000000000002</v>
      </c>
      <c r="F17" s="253">
        <f t="shared" si="30"/>
        <v>-0.24500000000000005</v>
      </c>
      <c r="G17" s="99">
        <f t="shared" si="31"/>
        <v>0.19600000000000001</v>
      </c>
      <c r="H17" s="253">
        <v>-3.83</v>
      </c>
      <c r="I17" s="108">
        <v>5.21</v>
      </c>
      <c r="J17" s="253">
        <f t="shared" si="0"/>
        <v>-7.682500000000001</v>
      </c>
      <c r="K17" s="99">
        <f t="shared" si="0"/>
        <v>9.9015000000000004</v>
      </c>
      <c r="L17" s="167" t="s">
        <v>42</v>
      </c>
      <c r="M17" s="237">
        <v>0.2</v>
      </c>
      <c r="N17" s="297">
        <v>6.5</v>
      </c>
      <c r="O17" s="315">
        <f t="shared" si="32"/>
        <v>0.36923076923076931</v>
      </c>
      <c r="P17" s="224">
        <f t="shared" si="17"/>
        <v>0.36923076923076931</v>
      </c>
      <c r="Q17" s="195">
        <f t="shared" si="1"/>
        <v>5.25</v>
      </c>
      <c r="R17" s="105">
        <f t="shared" si="2"/>
        <v>5.75</v>
      </c>
      <c r="S17" s="287">
        <f t="shared" si="33"/>
        <v>5.8608058608058617E-3</v>
      </c>
      <c r="T17" s="115">
        <f t="shared" si="34"/>
        <v>5.3511705685618744E-3</v>
      </c>
      <c r="U17" s="164"/>
      <c r="V17" s="253">
        <f t="shared" si="18"/>
        <v>10.917925513400631</v>
      </c>
      <c r="W17" s="108">
        <f t="shared" si="19"/>
        <v>12.025617821092936</v>
      </c>
      <c r="X17" s="253">
        <f t="shared" si="20"/>
        <v>10.828820048729552</v>
      </c>
      <c r="Y17" s="99">
        <f t="shared" si="21"/>
        <v>11.93651235642186</v>
      </c>
      <c r="Z17" s="253">
        <f t="shared" si="22"/>
        <v>10.989209885137489</v>
      </c>
      <c r="AA17" s="108">
        <f t="shared" si="23"/>
        <v>12.096902192829797</v>
      </c>
      <c r="AB17" s="3">
        <f t="shared" si="3"/>
        <v>7</v>
      </c>
      <c r="AC17" s="246">
        <f t="shared" si="4"/>
        <v>8</v>
      </c>
      <c r="AD17" s="5">
        <f t="shared" si="5"/>
        <v>-7.682500000000001</v>
      </c>
      <c r="AE17" s="105">
        <f t="shared" si="6"/>
        <v>9.9015000000000004</v>
      </c>
      <c r="AF17" s="201">
        <v>67</v>
      </c>
      <c r="AG17" s="32">
        <f t="shared" si="7"/>
        <v>0.24738461538461542</v>
      </c>
      <c r="AH17" s="218" t="s">
        <v>110</v>
      </c>
      <c r="AI17" s="43">
        <f>0.2*12/8</f>
        <v>0.30000000000000004</v>
      </c>
      <c r="AJ17" s="290">
        <f t="shared" si="24"/>
        <v>0.8125</v>
      </c>
      <c r="AK17" s="282">
        <f t="shared" si="9"/>
        <v>6.2500000000000012E-3</v>
      </c>
      <c r="AL17" s="272" t="str">
        <f t="shared" si="10"/>
        <v>#4 @ 6.5</v>
      </c>
      <c r="AN17" s="2">
        <f t="shared" si="11"/>
        <v>7</v>
      </c>
      <c r="AO17" s="246">
        <f t="shared" si="12"/>
        <v>8</v>
      </c>
      <c r="AP17" s="167" t="str">
        <f t="shared" si="13"/>
        <v>#4 @ 6.5</v>
      </c>
      <c r="AQ17" s="169" t="str">
        <f t="shared" si="35"/>
        <v>#4 @ 8</v>
      </c>
      <c r="AR17" s="50">
        <f t="shared" si="14"/>
        <v>-7.682500000000001</v>
      </c>
      <c r="AS17" s="111">
        <f t="shared" si="15"/>
        <v>9.9015000000000004</v>
      </c>
      <c r="AT17" s="50">
        <f t="shared" si="25"/>
        <v>-10.917925513400631</v>
      </c>
      <c r="AU17" s="111">
        <f t="shared" si="27"/>
        <v>12.025617821092936</v>
      </c>
      <c r="AW17" s="156">
        <f t="shared" si="26"/>
        <v>1.4211422731403358</v>
      </c>
      <c r="AX17" s="156">
        <f t="shared" si="26"/>
        <v>1.2145248519005136</v>
      </c>
    </row>
    <row r="18" spans="1:50" x14ac:dyDescent="0.2">
      <c r="A18" s="2">
        <v>7.25</v>
      </c>
      <c r="B18" s="236">
        <v>8</v>
      </c>
      <c r="C18" s="4">
        <f t="shared" si="16"/>
        <v>9.9999999999999992E-2</v>
      </c>
      <c r="D18" s="253">
        <f t="shared" si="28"/>
        <v>-0.52562500000000001</v>
      </c>
      <c r="E18" s="108">
        <f t="shared" si="29"/>
        <v>0.42049999999999998</v>
      </c>
      <c r="F18" s="253">
        <f t="shared" si="30"/>
        <v>-0.26281250000000006</v>
      </c>
      <c r="G18" s="99">
        <f t="shared" si="31"/>
        <v>0.21024999999999999</v>
      </c>
      <c r="H18" s="253">
        <v>-3.95</v>
      </c>
      <c r="I18" s="108">
        <v>5.32</v>
      </c>
      <c r="J18" s="253">
        <f t="shared" si="0"/>
        <v>-7.963750000000001</v>
      </c>
      <c r="K18" s="99">
        <f t="shared" si="0"/>
        <v>10.151</v>
      </c>
      <c r="L18" s="167" t="s">
        <v>11</v>
      </c>
      <c r="M18" s="236">
        <v>0.2</v>
      </c>
      <c r="N18" s="297">
        <v>6</v>
      </c>
      <c r="O18" s="315">
        <f t="shared" si="32"/>
        <v>0.40000000000000008</v>
      </c>
      <c r="P18" s="224">
        <f t="shared" si="17"/>
        <v>0.40000000000000008</v>
      </c>
      <c r="Q18" s="195">
        <f t="shared" si="1"/>
        <v>5.25</v>
      </c>
      <c r="R18" s="105">
        <f t="shared" si="2"/>
        <v>5.75</v>
      </c>
      <c r="S18" s="287">
        <f t="shared" si="33"/>
        <v>6.3492063492063501E-3</v>
      </c>
      <c r="T18" s="115">
        <f t="shared" si="34"/>
        <v>5.7971014492753633E-3</v>
      </c>
      <c r="U18" s="164"/>
      <c r="V18" s="253">
        <f t="shared" si="18"/>
        <v>11.76339869281046</v>
      </c>
      <c r="W18" s="108">
        <f t="shared" si="19"/>
        <v>12.963398692810459</v>
      </c>
      <c r="X18" s="253">
        <f t="shared" si="20"/>
        <v>11.658823529411768</v>
      </c>
      <c r="Y18" s="99">
        <f t="shared" si="21"/>
        <v>12.858823529411767</v>
      </c>
      <c r="Z18" s="253">
        <f t="shared" si="22"/>
        <v>11.847058823529416</v>
      </c>
      <c r="AA18" s="108">
        <f t="shared" si="23"/>
        <v>13.047058823529417</v>
      </c>
      <c r="AB18" s="3">
        <f t="shared" si="3"/>
        <v>7.25</v>
      </c>
      <c r="AC18" s="246">
        <f t="shared" si="4"/>
        <v>8</v>
      </c>
      <c r="AD18" s="5">
        <f t="shared" si="5"/>
        <v>-7.963750000000001</v>
      </c>
      <c r="AE18" s="105">
        <f t="shared" si="6"/>
        <v>10.151</v>
      </c>
      <c r="AF18" s="201">
        <v>67</v>
      </c>
      <c r="AG18" s="32">
        <f t="shared" si="7"/>
        <v>0.26800000000000002</v>
      </c>
      <c r="AH18" s="218" t="s">
        <v>110</v>
      </c>
      <c r="AI18" s="43">
        <f>0.2*12/8</f>
        <v>0.30000000000000004</v>
      </c>
      <c r="AJ18" s="290">
        <f t="shared" si="24"/>
        <v>0.75</v>
      </c>
      <c r="AK18" s="282">
        <f t="shared" si="9"/>
        <v>6.2500000000000012E-3</v>
      </c>
      <c r="AL18" s="272" t="str">
        <f t="shared" si="10"/>
        <v>#4 @ 6</v>
      </c>
      <c r="AN18" s="2">
        <f t="shared" si="11"/>
        <v>7.25</v>
      </c>
      <c r="AO18" s="246">
        <f t="shared" si="12"/>
        <v>8</v>
      </c>
      <c r="AP18" s="167" t="str">
        <f t="shared" si="13"/>
        <v>#4 @ 6</v>
      </c>
      <c r="AQ18" s="169" t="str">
        <f t="shared" si="35"/>
        <v>#4 @ 8</v>
      </c>
      <c r="AR18" s="50">
        <f t="shared" si="14"/>
        <v>-7.963750000000001</v>
      </c>
      <c r="AS18" s="111">
        <f t="shared" si="15"/>
        <v>10.151</v>
      </c>
      <c r="AT18" s="50">
        <f t="shared" si="25"/>
        <v>-11.76339869281046</v>
      </c>
      <c r="AU18" s="111">
        <f t="shared" si="27"/>
        <v>12.963398692810459</v>
      </c>
      <c r="AW18" s="156">
        <f t="shared" si="26"/>
        <v>1.4771180276641607</v>
      </c>
      <c r="AX18" s="156">
        <f t="shared" si="26"/>
        <v>1.2770563188661668</v>
      </c>
    </row>
    <row r="19" spans="1:50" x14ac:dyDescent="0.2">
      <c r="A19" s="2">
        <v>7.5</v>
      </c>
      <c r="B19" s="236">
        <v>8</v>
      </c>
      <c r="C19" s="4">
        <f t="shared" si="16"/>
        <v>9.9999999999999992E-2</v>
      </c>
      <c r="D19" s="253">
        <f t="shared" si="28"/>
        <v>-0.5625</v>
      </c>
      <c r="E19" s="108">
        <f t="shared" si="29"/>
        <v>0.45</v>
      </c>
      <c r="F19" s="253">
        <f t="shared" si="30"/>
        <v>-0.28125000000000006</v>
      </c>
      <c r="G19" s="99">
        <f t="shared" si="31"/>
        <v>0.22500000000000001</v>
      </c>
      <c r="H19" s="253">
        <v>-4.0599999999999996</v>
      </c>
      <c r="I19" s="108">
        <v>5.44</v>
      </c>
      <c r="J19" s="253">
        <f t="shared" si="0"/>
        <v>-8.23</v>
      </c>
      <c r="K19" s="99">
        <f t="shared" si="0"/>
        <v>10.420000000000002</v>
      </c>
      <c r="L19" s="167" t="s">
        <v>11</v>
      </c>
      <c r="M19" s="236">
        <v>0.2</v>
      </c>
      <c r="N19" s="297">
        <v>6</v>
      </c>
      <c r="O19" s="315">
        <f t="shared" si="32"/>
        <v>0.40000000000000008</v>
      </c>
      <c r="P19" s="224">
        <f t="shared" si="17"/>
        <v>0.40000000000000008</v>
      </c>
      <c r="Q19" s="195">
        <f t="shared" si="1"/>
        <v>5.25</v>
      </c>
      <c r="R19" s="105">
        <f t="shared" si="2"/>
        <v>5.75</v>
      </c>
      <c r="S19" s="287">
        <f t="shared" si="33"/>
        <v>6.3492063492063501E-3</v>
      </c>
      <c r="T19" s="115">
        <f t="shared" si="34"/>
        <v>5.7971014492753633E-3</v>
      </c>
      <c r="U19" s="164"/>
      <c r="V19" s="253">
        <f t="shared" si="18"/>
        <v>11.76339869281046</v>
      </c>
      <c r="W19" s="108">
        <f t="shared" si="19"/>
        <v>12.963398692810459</v>
      </c>
      <c r="X19" s="253">
        <f t="shared" si="20"/>
        <v>11.658823529411768</v>
      </c>
      <c r="Y19" s="99">
        <f t="shared" si="21"/>
        <v>12.858823529411767</v>
      </c>
      <c r="Z19" s="253">
        <f t="shared" si="22"/>
        <v>11.847058823529416</v>
      </c>
      <c r="AA19" s="108">
        <f t="shared" si="23"/>
        <v>13.047058823529417</v>
      </c>
      <c r="AB19" s="3">
        <f t="shared" si="3"/>
        <v>7.5</v>
      </c>
      <c r="AC19" s="246">
        <f t="shared" si="4"/>
        <v>8</v>
      </c>
      <c r="AD19" s="5">
        <f t="shared" si="5"/>
        <v>-8.23</v>
      </c>
      <c r="AE19" s="105">
        <f t="shared" si="6"/>
        <v>10.420000000000002</v>
      </c>
      <c r="AF19" s="201">
        <v>67</v>
      </c>
      <c r="AG19" s="32">
        <f t="shared" si="7"/>
        <v>0.26800000000000002</v>
      </c>
      <c r="AH19" s="218" t="s">
        <v>110</v>
      </c>
      <c r="AI19" s="43">
        <f>0.2*12/8</f>
        <v>0.30000000000000004</v>
      </c>
      <c r="AJ19" s="290">
        <f t="shared" si="24"/>
        <v>0.75</v>
      </c>
      <c r="AK19" s="282">
        <f t="shared" si="9"/>
        <v>6.2500000000000012E-3</v>
      </c>
      <c r="AL19" s="272" t="str">
        <f t="shared" si="10"/>
        <v>#4 @ 6</v>
      </c>
      <c r="AN19" s="2">
        <f t="shared" si="11"/>
        <v>7.5</v>
      </c>
      <c r="AO19" s="246">
        <f t="shared" si="12"/>
        <v>8</v>
      </c>
      <c r="AP19" s="167" t="str">
        <f t="shared" si="13"/>
        <v>#4 @ 6</v>
      </c>
      <c r="AQ19" s="169" t="str">
        <f t="shared" si="35"/>
        <v>#4 @ 8</v>
      </c>
      <c r="AR19" s="50">
        <f t="shared" si="14"/>
        <v>-8.23</v>
      </c>
      <c r="AS19" s="111">
        <f t="shared" si="15"/>
        <v>10.420000000000002</v>
      </c>
      <c r="AT19" s="50">
        <f t="shared" si="25"/>
        <v>-11.76339869281046</v>
      </c>
      <c r="AU19" s="111">
        <f t="shared" si="27"/>
        <v>12.963398692810459</v>
      </c>
      <c r="AW19" s="156">
        <f t="shared" si="26"/>
        <v>1.4293315544119636</v>
      </c>
      <c r="AX19" s="156">
        <f t="shared" si="26"/>
        <v>1.244088166296589</v>
      </c>
    </row>
    <row r="20" spans="1:50" x14ac:dyDescent="0.2">
      <c r="A20" s="2">
        <v>7.75</v>
      </c>
      <c r="B20" s="236">
        <v>8</v>
      </c>
      <c r="C20" s="4">
        <f t="shared" si="16"/>
        <v>9.9999999999999992E-2</v>
      </c>
      <c r="D20" s="253">
        <f t="shared" si="28"/>
        <v>-0.60062499999999996</v>
      </c>
      <c r="E20" s="108">
        <f t="shared" si="29"/>
        <v>0.48049999999999998</v>
      </c>
      <c r="F20" s="253">
        <f t="shared" si="30"/>
        <v>-0.30031250000000004</v>
      </c>
      <c r="G20" s="99">
        <f t="shared" si="31"/>
        <v>0.24024999999999999</v>
      </c>
      <c r="H20" s="253">
        <v>-4.16</v>
      </c>
      <c r="I20" s="108">
        <v>5.56</v>
      </c>
      <c r="J20" s="253">
        <f t="shared" si="0"/>
        <v>-8.4812499999999993</v>
      </c>
      <c r="K20" s="99">
        <f t="shared" si="0"/>
        <v>10.690999999999999</v>
      </c>
      <c r="L20" s="167" t="s">
        <v>11</v>
      </c>
      <c r="M20" s="238">
        <v>0.2</v>
      </c>
      <c r="N20" s="297">
        <v>6</v>
      </c>
      <c r="O20" s="316">
        <f t="shared" si="32"/>
        <v>0.40000000000000008</v>
      </c>
      <c r="P20" s="225">
        <f t="shared" si="17"/>
        <v>0.40000000000000008</v>
      </c>
      <c r="Q20" s="257">
        <f t="shared" si="1"/>
        <v>5.25</v>
      </c>
      <c r="R20" s="104">
        <f t="shared" si="2"/>
        <v>5.75</v>
      </c>
      <c r="S20" s="287">
        <f>P20/(12*Q20)</f>
        <v>6.3492063492063501E-3</v>
      </c>
      <c r="T20" s="115">
        <f>P20/(12*R20)</f>
        <v>5.7971014492753633E-3</v>
      </c>
      <c r="U20" s="164"/>
      <c r="V20" s="61">
        <f t="shared" si="18"/>
        <v>11.76339869281046</v>
      </c>
      <c r="W20" s="110">
        <f t="shared" si="19"/>
        <v>12.963398692810459</v>
      </c>
      <c r="X20" s="61">
        <f t="shared" si="20"/>
        <v>11.658823529411768</v>
      </c>
      <c r="Y20" s="101">
        <f t="shared" si="21"/>
        <v>12.858823529411767</v>
      </c>
      <c r="Z20" s="61">
        <f t="shared" si="22"/>
        <v>11.847058823529416</v>
      </c>
      <c r="AA20" s="110">
        <f t="shared" si="23"/>
        <v>13.047058823529417</v>
      </c>
      <c r="AB20" s="3">
        <f t="shared" si="3"/>
        <v>7.75</v>
      </c>
      <c r="AC20" s="246">
        <f t="shared" si="4"/>
        <v>8</v>
      </c>
      <c r="AD20" s="5">
        <f t="shared" si="5"/>
        <v>-8.4812499999999993</v>
      </c>
      <c r="AE20" s="105">
        <f t="shared" si="6"/>
        <v>10.690999999999999</v>
      </c>
      <c r="AF20" s="201">
        <v>67</v>
      </c>
      <c r="AG20" s="32">
        <f t="shared" si="7"/>
        <v>0.26800000000000002</v>
      </c>
      <c r="AH20" s="218" t="s">
        <v>110</v>
      </c>
      <c r="AI20" s="44">
        <f>0.2*12/8</f>
        <v>0.30000000000000004</v>
      </c>
      <c r="AJ20" s="291">
        <f t="shared" si="24"/>
        <v>0.75</v>
      </c>
      <c r="AK20" s="282">
        <f t="shared" si="9"/>
        <v>6.2500000000000012E-3</v>
      </c>
      <c r="AL20" s="272" t="str">
        <f t="shared" si="10"/>
        <v>#4 @ 6</v>
      </c>
      <c r="AN20" s="2">
        <f t="shared" si="11"/>
        <v>7.75</v>
      </c>
      <c r="AO20" s="246">
        <f t="shared" si="12"/>
        <v>8</v>
      </c>
      <c r="AP20" s="167" t="str">
        <f t="shared" si="13"/>
        <v>#4 @ 6</v>
      </c>
      <c r="AQ20" s="169" t="str">
        <f t="shared" si="35"/>
        <v>#4 @ 8</v>
      </c>
      <c r="AR20" s="50">
        <f t="shared" si="14"/>
        <v>-8.4812499999999993</v>
      </c>
      <c r="AS20" s="193">
        <f t="shared" si="15"/>
        <v>10.690999999999999</v>
      </c>
      <c r="AT20" s="52">
        <f t="shared" si="25"/>
        <v>-11.76339869281046</v>
      </c>
      <c r="AU20" s="113">
        <f t="shared" si="27"/>
        <v>12.963398692810459</v>
      </c>
      <c r="AW20" s="156">
        <f t="shared" si="26"/>
        <v>1.3869887920778732</v>
      </c>
      <c r="AX20" s="156">
        <f t="shared" si="26"/>
        <v>1.2125524920784267</v>
      </c>
    </row>
    <row r="21" spans="1:50" x14ac:dyDescent="0.2">
      <c r="A21" s="17">
        <v>8</v>
      </c>
      <c r="B21" s="237">
        <v>8</v>
      </c>
      <c r="C21" s="42">
        <f t="shared" si="16"/>
        <v>9.9999999999999992E-2</v>
      </c>
      <c r="D21" s="255">
        <f t="shared" si="28"/>
        <v>-0.64</v>
      </c>
      <c r="E21" s="109">
        <f t="shared" si="29"/>
        <v>0.51200000000000001</v>
      </c>
      <c r="F21" s="255">
        <f t="shared" si="30"/>
        <v>-0.32000000000000006</v>
      </c>
      <c r="G21" s="100">
        <f t="shared" si="31"/>
        <v>0.25600000000000001</v>
      </c>
      <c r="H21" s="255">
        <v>-4.26</v>
      </c>
      <c r="I21" s="109">
        <v>5.69</v>
      </c>
      <c r="J21" s="255">
        <f t="shared" si="0"/>
        <v>-8.7349999999999994</v>
      </c>
      <c r="K21" s="100">
        <f t="shared" si="0"/>
        <v>10.9815</v>
      </c>
      <c r="L21" s="173" t="s">
        <v>11</v>
      </c>
      <c r="M21" s="237">
        <v>0.2</v>
      </c>
      <c r="N21" s="317">
        <v>6</v>
      </c>
      <c r="O21" s="315">
        <f t="shared" si="32"/>
        <v>0.40000000000000008</v>
      </c>
      <c r="P21" s="224">
        <f t="shared" si="17"/>
        <v>0.40000000000000008</v>
      </c>
      <c r="Q21" s="195">
        <f t="shared" ref="Q21:Q37" si="36">B21-2.5-0.5/2</f>
        <v>5.25</v>
      </c>
      <c r="R21" s="105">
        <f t="shared" ref="R21:R37" si="37">B21-1.5-0.5/2-0.5</f>
        <v>5.75</v>
      </c>
      <c r="S21" s="288">
        <f>P21/(12*Q21)</f>
        <v>6.3492063492063501E-3</v>
      </c>
      <c r="T21" s="116">
        <f>P21/(12*R21)</f>
        <v>5.7971014492753633E-3</v>
      </c>
      <c r="U21" s="164"/>
      <c r="V21" s="253">
        <f t="shared" si="18"/>
        <v>11.76339869281046</v>
      </c>
      <c r="W21" s="108">
        <f t="shared" si="19"/>
        <v>12.963398692810459</v>
      </c>
      <c r="X21" s="253">
        <f t="shared" si="20"/>
        <v>11.658823529411768</v>
      </c>
      <c r="Y21" s="99">
        <f t="shared" si="21"/>
        <v>12.858823529411767</v>
      </c>
      <c r="Z21" s="253">
        <f t="shared" si="22"/>
        <v>11.847058823529416</v>
      </c>
      <c r="AA21" s="108">
        <f t="shared" si="23"/>
        <v>13.047058823529417</v>
      </c>
      <c r="AB21" s="18">
        <f t="shared" si="3"/>
        <v>8</v>
      </c>
      <c r="AC21" s="247">
        <f t="shared" si="4"/>
        <v>8</v>
      </c>
      <c r="AD21" s="20">
        <f t="shared" si="5"/>
        <v>-8.7349999999999994</v>
      </c>
      <c r="AE21" s="106">
        <f t="shared" si="6"/>
        <v>10.9815</v>
      </c>
      <c r="AF21" s="244">
        <v>67</v>
      </c>
      <c r="AG21" s="33">
        <f t="shared" si="7"/>
        <v>0.26800000000000002</v>
      </c>
      <c r="AH21" s="220" t="s">
        <v>110</v>
      </c>
      <c r="AI21" s="43">
        <f t="shared" ref="AI21" si="38">0.2*12/8</f>
        <v>0.30000000000000004</v>
      </c>
      <c r="AJ21" s="290">
        <f t="shared" si="24"/>
        <v>0.75</v>
      </c>
      <c r="AK21" s="283">
        <f t="shared" si="9"/>
        <v>6.2500000000000012E-3</v>
      </c>
      <c r="AL21" s="274" t="str">
        <f t="shared" si="10"/>
        <v>#4 @ 6</v>
      </c>
      <c r="AN21" s="17">
        <f t="shared" si="11"/>
        <v>8</v>
      </c>
      <c r="AO21" s="247">
        <f t="shared" si="12"/>
        <v>8</v>
      </c>
      <c r="AP21" s="170" t="str">
        <f t="shared" si="13"/>
        <v>#4 @ 6</v>
      </c>
      <c r="AQ21" s="174" t="str">
        <f t="shared" si="35"/>
        <v>#4 @ 8</v>
      </c>
      <c r="AR21" s="51">
        <f t="shared" si="14"/>
        <v>-8.7349999999999994</v>
      </c>
      <c r="AS21" s="112">
        <f t="shared" si="15"/>
        <v>10.9815</v>
      </c>
      <c r="AT21" s="50">
        <f t="shared" si="25"/>
        <v>-11.76339869281046</v>
      </c>
      <c r="AU21" s="111">
        <f t="shared" si="27"/>
        <v>12.963398692810459</v>
      </c>
      <c r="AW21" s="156">
        <f t="shared" si="26"/>
        <v>1.346697045542125</v>
      </c>
      <c r="AX21" s="156">
        <f t="shared" si="26"/>
        <v>1.1804761364850394</v>
      </c>
    </row>
    <row r="22" spans="1:50" x14ac:dyDescent="0.2">
      <c r="A22" s="2">
        <v>8.25</v>
      </c>
      <c r="B22" s="236">
        <v>8</v>
      </c>
      <c r="C22" s="43">
        <f t="shared" si="16"/>
        <v>9.9999999999999992E-2</v>
      </c>
      <c r="D22" s="253">
        <f t="shared" si="28"/>
        <v>-0.68062500000000004</v>
      </c>
      <c r="E22" s="108">
        <f t="shared" si="29"/>
        <v>0.54449999999999998</v>
      </c>
      <c r="F22" s="253">
        <f t="shared" si="30"/>
        <v>-0.34031250000000007</v>
      </c>
      <c r="G22" s="99">
        <f t="shared" si="31"/>
        <v>0.27224999999999999</v>
      </c>
      <c r="H22" s="253">
        <v>-4.34</v>
      </c>
      <c r="I22" s="108">
        <v>5.83</v>
      </c>
      <c r="J22" s="253">
        <f t="shared" si="0"/>
        <v>-8.9562500000000007</v>
      </c>
      <c r="K22" s="99">
        <f t="shared" si="0"/>
        <v>11.291500000000001</v>
      </c>
      <c r="L22" s="167" t="s">
        <v>12</v>
      </c>
      <c r="M22" s="236">
        <v>0.2</v>
      </c>
      <c r="N22" s="297">
        <v>5.5</v>
      </c>
      <c r="O22" s="315">
        <f t="shared" si="32"/>
        <v>0.43636363636363645</v>
      </c>
      <c r="P22" s="224">
        <f t="shared" si="17"/>
        <v>0.43636363636363645</v>
      </c>
      <c r="Q22" s="195">
        <f t="shared" si="36"/>
        <v>5.25</v>
      </c>
      <c r="R22" s="105">
        <f t="shared" si="37"/>
        <v>5.75</v>
      </c>
      <c r="S22" s="287">
        <f t="shared" si="33"/>
        <v>6.9264069264069281E-3</v>
      </c>
      <c r="T22" s="115">
        <f t="shared" si="34"/>
        <v>6.3241106719367605E-3</v>
      </c>
      <c r="U22" s="164"/>
      <c r="V22" s="253">
        <f t="shared" si="18"/>
        <v>12.749829849295091</v>
      </c>
      <c r="W22" s="108">
        <f t="shared" si="19"/>
        <v>14.058920758386002</v>
      </c>
      <c r="X22" s="253">
        <f t="shared" si="20"/>
        <v>12.625376762275161</v>
      </c>
      <c r="Y22" s="99">
        <f t="shared" si="21"/>
        <v>13.93446767136607</v>
      </c>
      <c r="Z22" s="253">
        <f t="shared" si="22"/>
        <v>12.849392318911036</v>
      </c>
      <c r="AA22" s="108">
        <f t="shared" si="23"/>
        <v>14.158483228001947</v>
      </c>
      <c r="AB22" s="3">
        <f t="shared" si="3"/>
        <v>8.25</v>
      </c>
      <c r="AC22" s="246">
        <f t="shared" si="4"/>
        <v>8</v>
      </c>
      <c r="AD22" s="5">
        <f t="shared" si="5"/>
        <v>-8.9562500000000007</v>
      </c>
      <c r="AE22" s="105">
        <f t="shared" si="6"/>
        <v>11.291500000000001</v>
      </c>
      <c r="AF22" s="201">
        <v>67</v>
      </c>
      <c r="AG22" s="32">
        <f t="shared" si="7"/>
        <v>0.29236363636363644</v>
      </c>
      <c r="AH22" s="218" t="s">
        <v>144</v>
      </c>
      <c r="AI22" s="43">
        <f>0.2*12/7.5</f>
        <v>0.32000000000000006</v>
      </c>
      <c r="AJ22" s="290">
        <f t="shared" si="24"/>
        <v>0.73333333333333328</v>
      </c>
      <c r="AK22" s="282">
        <f t="shared" si="9"/>
        <v>6.666666666666668E-3</v>
      </c>
      <c r="AL22" s="272" t="str">
        <f t="shared" si="10"/>
        <v>#4 @ 5.5</v>
      </c>
      <c r="AN22" s="2">
        <f t="shared" si="11"/>
        <v>8.25</v>
      </c>
      <c r="AO22" s="246">
        <f t="shared" si="12"/>
        <v>8</v>
      </c>
      <c r="AP22" s="171" t="str">
        <f t="shared" si="13"/>
        <v>#4 @ 5.5</v>
      </c>
      <c r="AQ22" s="169" t="str">
        <f t="shared" si="35"/>
        <v>#4 @ 7.5</v>
      </c>
      <c r="AR22" s="50">
        <f t="shared" si="14"/>
        <v>-8.9562500000000007</v>
      </c>
      <c r="AS22" s="111">
        <f t="shared" si="15"/>
        <v>11.291500000000001</v>
      </c>
      <c r="AT22" s="50">
        <f t="shared" si="25"/>
        <v>-12.749829849295091</v>
      </c>
      <c r="AU22" s="111">
        <f t="shared" si="27"/>
        <v>14.058920758386002</v>
      </c>
      <c r="AW22" s="156">
        <f t="shared" si="26"/>
        <v>1.4235678826847276</v>
      </c>
      <c r="AX22" s="156">
        <f t="shared" si="26"/>
        <v>1.245088850762609</v>
      </c>
    </row>
    <row r="23" spans="1:50" x14ac:dyDescent="0.2">
      <c r="A23" s="2">
        <v>8.5</v>
      </c>
      <c r="B23" s="236">
        <v>8</v>
      </c>
      <c r="C23" s="43">
        <f t="shared" si="16"/>
        <v>9.9999999999999992E-2</v>
      </c>
      <c r="D23" s="253">
        <f t="shared" si="28"/>
        <v>-0.72250000000000003</v>
      </c>
      <c r="E23" s="108">
        <f t="shared" si="29"/>
        <v>0.57799999999999996</v>
      </c>
      <c r="F23" s="253">
        <f t="shared" si="30"/>
        <v>-0.36125000000000007</v>
      </c>
      <c r="G23" s="99">
        <f t="shared" si="31"/>
        <v>0.28899999999999998</v>
      </c>
      <c r="H23" s="253">
        <v>-4.42</v>
      </c>
      <c r="I23" s="108">
        <v>5.99</v>
      </c>
      <c r="J23" s="253">
        <f t="shared" ref="J23:K37" si="39">1.25*D23+1.5*F23+1.75*H23</f>
        <v>-9.18</v>
      </c>
      <c r="K23" s="99">
        <f t="shared" si="39"/>
        <v>11.638500000000001</v>
      </c>
      <c r="L23" s="167" t="s">
        <v>12</v>
      </c>
      <c r="M23" s="236">
        <v>0.2</v>
      </c>
      <c r="N23" s="297">
        <v>5.5</v>
      </c>
      <c r="O23" s="315">
        <f t="shared" si="32"/>
        <v>0.43636363636363645</v>
      </c>
      <c r="P23" s="224">
        <f t="shared" si="17"/>
        <v>0.43636363636363645</v>
      </c>
      <c r="Q23" s="195">
        <f t="shared" si="36"/>
        <v>5.25</v>
      </c>
      <c r="R23" s="105">
        <f t="shared" si="37"/>
        <v>5.75</v>
      </c>
      <c r="S23" s="287">
        <f t="shared" si="33"/>
        <v>6.9264069264069281E-3</v>
      </c>
      <c r="T23" s="115">
        <f t="shared" si="34"/>
        <v>6.3241106719367605E-3</v>
      </c>
      <c r="U23" s="164"/>
      <c r="V23" s="253">
        <f t="shared" si="18"/>
        <v>12.749829849295091</v>
      </c>
      <c r="W23" s="108">
        <f t="shared" si="19"/>
        <v>14.058920758386002</v>
      </c>
      <c r="X23" s="253">
        <f t="shared" si="20"/>
        <v>12.625376762275161</v>
      </c>
      <c r="Y23" s="99">
        <f t="shared" si="21"/>
        <v>13.93446767136607</v>
      </c>
      <c r="Z23" s="253">
        <f t="shared" si="22"/>
        <v>12.849392318911036</v>
      </c>
      <c r="AA23" s="108">
        <f t="shared" si="23"/>
        <v>14.158483228001947</v>
      </c>
      <c r="AB23" s="3">
        <f t="shared" si="3"/>
        <v>8.5</v>
      </c>
      <c r="AC23" s="246">
        <f t="shared" si="4"/>
        <v>8</v>
      </c>
      <c r="AD23" s="5">
        <f t="shared" si="5"/>
        <v>-9.18</v>
      </c>
      <c r="AE23" s="105">
        <f t="shared" si="6"/>
        <v>11.638500000000001</v>
      </c>
      <c r="AF23" s="201">
        <v>67</v>
      </c>
      <c r="AG23" s="32">
        <f t="shared" si="7"/>
        <v>0.29236363636363644</v>
      </c>
      <c r="AH23" s="218" t="s">
        <v>144</v>
      </c>
      <c r="AI23" s="43">
        <f>0.2*12/7.5</f>
        <v>0.32000000000000006</v>
      </c>
      <c r="AJ23" s="290">
        <f t="shared" si="24"/>
        <v>0.73333333333333328</v>
      </c>
      <c r="AK23" s="282">
        <f t="shared" si="9"/>
        <v>6.666666666666668E-3</v>
      </c>
      <c r="AL23" s="272" t="str">
        <f t="shared" si="10"/>
        <v>#4 @ 5.5</v>
      </c>
      <c r="AN23" s="2">
        <f t="shared" si="11"/>
        <v>8.5</v>
      </c>
      <c r="AO23" s="246">
        <f t="shared" si="12"/>
        <v>8</v>
      </c>
      <c r="AP23" s="171" t="str">
        <f t="shared" si="13"/>
        <v>#4 @ 5.5</v>
      </c>
      <c r="AQ23" s="169" t="str">
        <f t="shared" si="35"/>
        <v>#4 @ 7.5</v>
      </c>
      <c r="AR23" s="50">
        <f t="shared" ref="AR23:AS37" si="40">AD23</f>
        <v>-9.18</v>
      </c>
      <c r="AS23" s="111">
        <f t="shared" si="40"/>
        <v>11.638500000000001</v>
      </c>
      <c r="AT23" s="50">
        <f t="shared" si="25"/>
        <v>-12.749829849295091</v>
      </c>
      <c r="AU23" s="111">
        <f t="shared" si="27"/>
        <v>14.058920758386002</v>
      </c>
      <c r="AW23" s="156">
        <f t="shared" si="26"/>
        <v>1.3888703539537137</v>
      </c>
      <c r="AX23" s="156">
        <f t="shared" si="26"/>
        <v>1.207966727532414</v>
      </c>
    </row>
    <row r="24" spans="1:50" x14ac:dyDescent="0.2">
      <c r="A24" s="8">
        <v>8.75</v>
      </c>
      <c r="B24" s="238">
        <v>8</v>
      </c>
      <c r="C24" s="44">
        <f t="shared" si="16"/>
        <v>9.9999999999999992E-2</v>
      </c>
      <c r="D24" s="61">
        <f t="shared" si="28"/>
        <v>-0.765625</v>
      </c>
      <c r="E24" s="110">
        <f t="shared" si="29"/>
        <v>0.61250000000000004</v>
      </c>
      <c r="F24" s="61">
        <f t="shared" si="30"/>
        <v>-0.38281250000000006</v>
      </c>
      <c r="G24" s="101">
        <f t="shared" si="31"/>
        <v>0.30625000000000002</v>
      </c>
      <c r="H24" s="61">
        <v>-4.5</v>
      </c>
      <c r="I24" s="110">
        <v>6.14</v>
      </c>
      <c r="J24" s="61">
        <f t="shared" si="39"/>
        <v>-9.40625</v>
      </c>
      <c r="K24" s="101">
        <f t="shared" si="39"/>
        <v>11.969999999999999</v>
      </c>
      <c r="L24" s="168" t="s">
        <v>12</v>
      </c>
      <c r="M24" s="238">
        <v>0.2</v>
      </c>
      <c r="N24" s="298">
        <v>5.5</v>
      </c>
      <c r="O24" s="316">
        <f t="shared" si="32"/>
        <v>0.43636363636363645</v>
      </c>
      <c r="P24" s="225">
        <f t="shared" si="17"/>
        <v>0.43636363636363645</v>
      </c>
      <c r="Q24" s="257">
        <f t="shared" si="36"/>
        <v>5.25</v>
      </c>
      <c r="R24" s="104">
        <f t="shared" si="37"/>
        <v>5.75</v>
      </c>
      <c r="S24" s="289">
        <f t="shared" si="33"/>
        <v>6.9264069264069281E-3</v>
      </c>
      <c r="T24" s="117">
        <f t="shared" si="34"/>
        <v>6.3241106719367605E-3</v>
      </c>
      <c r="U24" s="164"/>
      <c r="V24" s="61">
        <f t="shared" si="18"/>
        <v>12.749829849295091</v>
      </c>
      <c r="W24" s="110">
        <f t="shared" si="19"/>
        <v>14.058920758386002</v>
      </c>
      <c r="X24" s="61">
        <f t="shared" si="20"/>
        <v>12.625376762275161</v>
      </c>
      <c r="Y24" s="101">
        <f t="shared" si="21"/>
        <v>13.93446767136607</v>
      </c>
      <c r="Z24" s="61">
        <f t="shared" si="22"/>
        <v>12.849392318911036</v>
      </c>
      <c r="AA24" s="110">
        <f t="shared" si="23"/>
        <v>14.158483228001947</v>
      </c>
      <c r="AB24" s="9">
        <f t="shared" si="3"/>
        <v>8.75</v>
      </c>
      <c r="AC24" s="60">
        <f t="shared" si="4"/>
        <v>8</v>
      </c>
      <c r="AD24" s="11">
        <f t="shared" si="5"/>
        <v>-9.40625</v>
      </c>
      <c r="AE24" s="107">
        <f t="shared" si="6"/>
        <v>11.969999999999999</v>
      </c>
      <c r="AF24" s="245">
        <v>67</v>
      </c>
      <c r="AG24" s="34">
        <f t="shared" si="7"/>
        <v>0.29236363636363644</v>
      </c>
      <c r="AH24" s="219" t="s">
        <v>144</v>
      </c>
      <c r="AI24" s="44">
        <f>0.2*12/7.5</f>
        <v>0.32000000000000006</v>
      </c>
      <c r="AJ24" s="291">
        <f t="shared" si="24"/>
        <v>0.73333333333333328</v>
      </c>
      <c r="AK24" s="284">
        <f t="shared" si="9"/>
        <v>6.666666666666668E-3</v>
      </c>
      <c r="AL24" s="273" t="str">
        <f t="shared" si="10"/>
        <v>#4 @ 5.5</v>
      </c>
      <c r="AN24" s="8">
        <f t="shared" si="11"/>
        <v>8.75</v>
      </c>
      <c r="AO24" s="60">
        <f t="shared" si="12"/>
        <v>8</v>
      </c>
      <c r="AP24" s="172" t="str">
        <f t="shared" si="13"/>
        <v>#4 @ 5.5</v>
      </c>
      <c r="AQ24" s="175" t="str">
        <f t="shared" si="35"/>
        <v>#4 @ 7.5</v>
      </c>
      <c r="AR24" s="52">
        <f t="shared" si="40"/>
        <v>-9.40625</v>
      </c>
      <c r="AS24" s="113">
        <f t="shared" si="40"/>
        <v>11.969999999999999</v>
      </c>
      <c r="AT24" s="52">
        <f t="shared" si="25"/>
        <v>-12.749829849295091</v>
      </c>
      <c r="AU24" s="113">
        <f t="shared" si="27"/>
        <v>14.058920758386002</v>
      </c>
      <c r="AW24" s="156">
        <f t="shared" si="26"/>
        <v>1.3554636384632655</v>
      </c>
      <c r="AX24" s="155">
        <f t="shared" si="26"/>
        <v>1.1745130123964915</v>
      </c>
    </row>
    <row r="25" spans="1:50" x14ac:dyDescent="0.2">
      <c r="A25" s="2">
        <v>9</v>
      </c>
      <c r="B25" s="236">
        <v>8.25</v>
      </c>
      <c r="C25" s="4">
        <f t="shared" si="16"/>
        <v>0.10312499999999999</v>
      </c>
      <c r="D25" s="253">
        <f t="shared" si="28"/>
        <v>-0.83531250000000001</v>
      </c>
      <c r="E25" s="108">
        <f t="shared" si="29"/>
        <v>0.66825000000000001</v>
      </c>
      <c r="F25" s="253">
        <f t="shared" si="30"/>
        <v>-0.40500000000000008</v>
      </c>
      <c r="G25" s="99">
        <f t="shared" si="31"/>
        <v>0.32400000000000001</v>
      </c>
      <c r="H25" s="253">
        <v>-4.5599999999999996</v>
      </c>
      <c r="I25" s="108">
        <v>6.29</v>
      </c>
      <c r="J25" s="253">
        <f t="shared" si="39"/>
        <v>-9.6316406249999993</v>
      </c>
      <c r="K25" s="99">
        <f t="shared" si="39"/>
        <v>12.3288125</v>
      </c>
      <c r="L25" s="167" t="s">
        <v>12</v>
      </c>
      <c r="M25" s="236">
        <v>0.2</v>
      </c>
      <c r="N25" s="297">
        <v>5.5</v>
      </c>
      <c r="O25" s="315">
        <f t="shared" si="32"/>
        <v>0.43636363636363645</v>
      </c>
      <c r="P25" s="224">
        <f t="shared" si="17"/>
        <v>0.43636363636363645</v>
      </c>
      <c r="Q25" s="195">
        <f t="shared" si="36"/>
        <v>5.5</v>
      </c>
      <c r="R25" s="105">
        <f t="shared" si="37"/>
        <v>6</v>
      </c>
      <c r="S25" s="287">
        <f t="shared" si="33"/>
        <v>6.6115702479338859E-3</v>
      </c>
      <c r="T25" s="115">
        <f t="shared" si="34"/>
        <v>6.0606060606060615E-3</v>
      </c>
      <c r="U25" s="164"/>
      <c r="V25" s="253">
        <f t="shared" si="18"/>
        <v>13.404375303840547</v>
      </c>
      <c r="W25" s="108">
        <f t="shared" si="19"/>
        <v>14.713466212931458</v>
      </c>
      <c r="X25" s="253">
        <f t="shared" si="20"/>
        <v>13.279922216820616</v>
      </c>
      <c r="Y25" s="99">
        <f t="shared" si="21"/>
        <v>14.589013125911526</v>
      </c>
      <c r="Z25" s="253">
        <f t="shared" si="22"/>
        <v>13.503937773456492</v>
      </c>
      <c r="AA25" s="108">
        <f t="shared" si="23"/>
        <v>14.813028682547404</v>
      </c>
      <c r="AB25" s="3">
        <f t="shared" si="3"/>
        <v>9</v>
      </c>
      <c r="AC25" s="246">
        <f t="shared" si="4"/>
        <v>8.25</v>
      </c>
      <c r="AD25" s="5">
        <f t="shared" si="5"/>
        <v>-9.6316406249999993</v>
      </c>
      <c r="AE25" s="105">
        <f t="shared" si="6"/>
        <v>12.3288125</v>
      </c>
      <c r="AF25" s="201">
        <v>67</v>
      </c>
      <c r="AG25" s="32">
        <f t="shared" si="7"/>
        <v>0.29236363636363644</v>
      </c>
      <c r="AH25" s="220" t="s">
        <v>144</v>
      </c>
      <c r="AI25" s="43">
        <f>0.2*12/7.5</f>
        <v>0.32000000000000006</v>
      </c>
      <c r="AJ25" s="290">
        <f t="shared" si="24"/>
        <v>0.73333333333333328</v>
      </c>
      <c r="AK25" s="282">
        <f t="shared" si="9"/>
        <v>6.4646464646464655E-3</v>
      </c>
      <c r="AL25" s="272" t="str">
        <f t="shared" si="10"/>
        <v>#4 @ 5.5</v>
      </c>
      <c r="AN25" s="2">
        <f t="shared" si="11"/>
        <v>9</v>
      </c>
      <c r="AO25" s="246">
        <f t="shared" si="12"/>
        <v>8.25</v>
      </c>
      <c r="AP25" s="171" t="str">
        <f t="shared" si="13"/>
        <v>#4 @ 5.5</v>
      </c>
      <c r="AQ25" s="169" t="str">
        <f t="shared" si="35"/>
        <v>#4 @ 7.5</v>
      </c>
      <c r="AR25" s="157">
        <f t="shared" si="40"/>
        <v>-9.6316406249999993</v>
      </c>
      <c r="AS25" s="111">
        <f t="shared" si="40"/>
        <v>12.3288125</v>
      </c>
      <c r="AT25" s="50">
        <f t="shared" si="25"/>
        <v>-13.404375303840547</v>
      </c>
      <c r="AU25" s="111">
        <f t="shared" si="27"/>
        <v>14.713466212931458</v>
      </c>
      <c r="AW25" s="156">
        <f t="shared" si="26"/>
        <v>1.3917021850927447</v>
      </c>
      <c r="AX25" s="156">
        <f t="shared" si="26"/>
        <v>1.1934212003736335</v>
      </c>
    </row>
    <row r="26" spans="1:50" x14ac:dyDescent="0.2">
      <c r="A26" s="2">
        <v>9.25</v>
      </c>
      <c r="B26" s="236">
        <v>8.25</v>
      </c>
      <c r="C26" s="4">
        <f t="shared" si="16"/>
        <v>0.10312499999999999</v>
      </c>
      <c r="D26" s="253">
        <f t="shared" si="28"/>
        <v>-0.88236328125000008</v>
      </c>
      <c r="E26" s="108">
        <f t="shared" si="29"/>
        <v>0.70589062499999999</v>
      </c>
      <c r="F26" s="253">
        <f t="shared" si="30"/>
        <v>-0.4278125000000001</v>
      </c>
      <c r="G26" s="99">
        <f t="shared" si="31"/>
        <v>0.34225</v>
      </c>
      <c r="H26" s="253">
        <v>-4.66</v>
      </c>
      <c r="I26" s="108">
        <v>6.44</v>
      </c>
      <c r="J26" s="253">
        <f t="shared" si="39"/>
        <v>-9.8996728515625012</v>
      </c>
      <c r="K26" s="99">
        <f t="shared" si="39"/>
        <v>12.66573828125</v>
      </c>
      <c r="L26" s="167" t="s">
        <v>12</v>
      </c>
      <c r="M26" s="236">
        <v>0.2</v>
      </c>
      <c r="N26" s="297">
        <v>5.5</v>
      </c>
      <c r="O26" s="315">
        <f t="shared" si="32"/>
        <v>0.43636363636363645</v>
      </c>
      <c r="P26" s="224">
        <f t="shared" si="17"/>
        <v>0.43636363636363645</v>
      </c>
      <c r="Q26" s="195">
        <f t="shared" si="36"/>
        <v>5.5</v>
      </c>
      <c r="R26" s="105">
        <f t="shared" si="37"/>
        <v>6</v>
      </c>
      <c r="S26" s="287">
        <f t="shared" si="33"/>
        <v>6.6115702479338859E-3</v>
      </c>
      <c r="T26" s="115">
        <f t="shared" si="34"/>
        <v>6.0606060606060615E-3</v>
      </c>
      <c r="U26" s="164"/>
      <c r="V26" s="253">
        <f t="shared" si="18"/>
        <v>13.404375303840547</v>
      </c>
      <c r="W26" s="108">
        <f t="shared" si="19"/>
        <v>14.713466212931458</v>
      </c>
      <c r="X26" s="253">
        <f t="shared" si="20"/>
        <v>13.279922216820616</v>
      </c>
      <c r="Y26" s="99">
        <f t="shared" si="21"/>
        <v>14.589013125911526</v>
      </c>
      <c r="Z26" s="253">
        <f t="shared" si="22"/>
        <v>13.503937773456492</v>
      </c>
      <c r="AA26" s="108">
        <f t="shared" si="23"/>
        <v>14.813028682547404</v>
      </c>
      <c r="AB26" s="3">
        <f t="shared" si="3"/>
        <v>9.25</v>
      </c>
      <c r="AC26" s="246">
        <f t="shared" si="4"/>
        <v>8.25</v>
      </c>
      <c r="AD26" s="5">
        <f t="shared" si="5"/>
        <v>-9.8996728515625012</v>
      </c>
      <c r="AE26" s="105">
        <f t="shared" si="6"/>
        <v>12.66573828125</v>
      </c>
      <c r="AF26" s="201">
        <v>67</v>
      </c>
      <c r="AG26" s="32">
        <f t="shared" si="7"/>
        <v>0.29236363636363644</v>
      </c>
      <c r="AH26" s="218" t="s">
        <v>144</v>
      </c>
      <c r="AI26" s="43">
        <f t="shared" ref="AI26:AI28" si="41">0.2*12/7.5</f>
        <v>0.32000000000000006</v>
      </c>
      <c r="AJ26" s="290">
        <f t="shared" si="24"/>
        <v>0.73333333333333328</v>
      </c>
      <c r="AK26" s="282">
        <f t="shared" si="9"/>
        <v>6.4646464646464655E-3</v>
      </c>
      <c r="AL26" s="272" t="str">
        <f t="shared" si="10"/>
        <v>#4 @ 5.5</v>
      </c>
      <c r="AN26" s="2">
        <f t="shared" si="11"/>
        <v>9.25</v>
      </c>
      <c r="AO26" s="246">
        <f t="shared" si="12"/>
        <v>8.25</v>
      </c>
      <c r="AP26" s="171" t="str">
        <f t="shared" si="13"/>
        <v>#4 @ 5.5</v>
      </c>
      <c r="AQ26" s="169" t="str">
        <f t="shared" si="35"/>
        <v>#4 @ 7.5</v>
      </c>
      <c r="AR26" s="157">
        <f t="shared" si="40"/>
        <v>-9.8996728515625012</v>
      </c>
      <c r="AS26" s="111">
        <f t="shared" si="40"/>
        <v>12.66573828125</v>
      </c>
      <c r="AT26" s="50">
        <f t="shared" si="25"/>
        <v>-13.404375303840547</v>
      </c>
      <c r="AU26" s="111">
        <f t="shared" si="27"/>
        <v>14.713466212931458</v>
      </c>
      <c r="AW26" s="156">
        <f t="shared" si="26"/>
        <v>1.3540220474785574</v>
      </c>
      <c r="AX26" s="156">
        <f t="shared" si="26"/>
        <v>1.1616745811582776</v>
      </c>
    </row>
    <row r="27" spans="1:50" x14ac:dyDescent="0.2">
      <c r="A27" s="2">
        <v>9.5</v>
      </c>
      <c r="B27" s="236">
        <v>8.5</v>
      </c>
      <c r="C27" s="4">
        <f t="shared" si="16"/>
        <v>0.10625</v>
      </c>
      <c r="D27" s="253">
        <f t="shared" si="28"/>
        <v>-0.95890625000000007</v>
      </c>
      <c r="E27" s="108">
        <f t="shared" si="29"/>
        <v>0.76712500000000006</v>
      </c>
      <c r="F27" s="253">
        <f t="shared" si="30"/>
        <v>-0.4512500000000001</v>
      </c>
      <c r="G27" s="99">
        <f t="shared" si="31"/>
        <v>0.36099999999999999</v>
      </c>
      <c r="H27" s="253">
        <v>-4.93</v>
      </c>
      <c r="I27" s="108">
        <v>6.59</v>
      </c>
      <c r="J27" s="253">
        <f t="shared" si="39"/>
        <v>-10.5030078125</v>
      </c>
      <c r="K27" s="99">
        <f t="shared" si="39"/>
        <v>13.03290625</v>
      </c>
      <c r="L27" s="167" t="s">
        <v>12</v>
      </c>
      <c r="M27" s="236">
        <v>0.2</v>
      </c>
      <c r="N27" s="297">
        <v>5.5</v>
      </c>
      <c r="O27" s="315">
        <f t="shared" si="32"/>
        <v>0.43636363636363645</v>
      </c>
      <c r="P27" s="224">
        <f t="shared" si="17"/>
        <v>0.43636363636363645</v>
      </c>
      <c r="Q27" s="195">
        <f t="shared" si="36"/>
        <v>5.75</v>
      </c>
      <c r="R27" s="105">
        <f t="shared" si="37"/>
        <v>6.25</v>
      </c>
      <c r="S27" s="287">
        <f t="shared" si="33"/>
        <v>6.3241106719367605E-3</v>
      </c>
      <c r="T27" s="115">
        <f t="shared" si="34"/>
        <v>5.8181818181818196E-3</v>
      </c>
      <c r="U27" s="164"/>
      <c r="V27" s="253">
        <f t="shared" si="18"/>
        <v>14.058920758386002</v>
      </c>
      <c r="W27" s="108">
        <f t="shared" si="19"/>
        <v>15.368011667476912</v>
      </c>
      <c r="X27" s="253">
        <f t="shared" si="20"/>
        <v>13.93446767136607</v>
      </c>
      <c r="Y27" s="99">
        <f t="shared" si="21"/>
        <v>15.243558580456979</v>
      </c>
      <c r="Z27" s="253">
        <f t="shared" si="22"/>
        <v>14.158483228001947</v>
      </c>
      <c r="AA27" s="108">
        <f t="shared" si="23"/>
        <v>15.467574137092855</v>
      </c>
      <c r="AB27" s="3">
        <f t="shared" si="3"/>
        <v>9.5</v>
      </c>
      <c r="AC27" s="246">
        <f t="shared" si="4"/>
        <v>8.5</v>
      </c>
      <c r="AD27" s="5">
        <f t="shared" si="5"/>
        <v>-10.5030078125</v>
      </c>
      <c r="AE27" s="105">
        <f t="shared" si="6"/>
        <v>13.03290625</v>
      </c>
      <c r="AF27" s="201">
        <v>67</v>
      </c>
      <c r="AG27" s="32">
        <f t="shared" si="7"/>
        <v>0.29236363636363644</v>
      </c>
      <c r="AH27" s="218" t="s">
        <v>144</v>
      </c>
      <c r="AI27" s="43">
        <f t="shared" si="41"/>
        <v>0.32000000000000006</v>
      </c>
      <c r="AJ27" s="290">
        <f t="shared" si="24"/>
        <v>0.73333333333333328</v>
      </c>
      <c r="AK27" s="282">
        <f t="shared" si="9"/>
        <v>6.2745098039215701E-3</v>
      </c>
      <c r="AL27" s="272" t="str">
        <f t="shared" si="10"/>
        <v>#4 @ 5.5</v>
      </c>
      <c r="AN27" s="2">
        <f t="shared" si="11"/>
        <v>9.5</v>
      </c>
      <c r="AO27" s="246">
        <f t="shared" si="12"/>
        <v>8.5</v>
      </c>
      <c r="AP27" s="171" t="str">
        <f t="shared" si="13"/>
        <v>#4 @ 5.5</v>
      </c>
      <c r="AQ27" s="169" t="str">
        <f t="shared" si="35"/>
        <v>#4 @ 7.5</v>
      </c>
      <c r="AR27" s="157">
        <f t="shared" si="40"/>
        <v>-10.5030078125</v>
      </c>
      <c r="AS27" s="111">
        <f t="shared" si="40"/>
        <v>13.03290625</v>
      </c>
      <c r="AT27" s="50">
        <f t="shared" si="25"/>
        <v>-14.058920758386002</v>
      </c>
      <c r="AU27" s="111">
        <f t="shared" si="27"/>
        <v>15.368011667476912</v>
      </c>
      <c r="AW27" s="156">
        <f t="shared" si="26"/>
        <v>1.3385613920665644</v>
      </c>
      <c r="AX27" s="156">
        <f t="shared" si="26"/>
        <v>1.1791699696663522</v>
      </c>
    </row>
    <row r="28" spans="1:50" x14ac:dyDescent="0.2">
      <c r="A28" s="2">
        <v>9.75</v>
      </c>
      <c r="B28" s="236">
        <v>8.5</v>
      </c>
      <c r="C28" s="4">
        <f t="shared" si="16"/>
        <v>0.10625</v>
      </c>
      <c r="D28" s="253">
        <f t="shared" si="28"/>
        <v>-1.0100390625</v>
      </c>
      <c r="E28" s="108">
        <f t="shared" si="29"/>
        <v>0.80803125000000009</v>
      </c>
      <c r="F28" s="253">
        <f t="shared" si="30"/>
        <v>-0.47531250000000008</v>
      </c>
      <c r="G28" s="99">
        <f t="shared" si="31"/>
        <v>0.38025000000000003</v>
      </c>
      <c r="H28" s="253">
        <v>-5.23</v>
      </c>
      <c r="I28" s="108">
        <v>6.74</v>
      </c>
      <c r="J28" s="253">
        <f t="shared" si="39"/>
        <v>-11.128017578125</v>
      </c>
      <c r="K28" s="99">
        <f t="shared" si="39"/>
        <v>13.375414062500001</v>
      </c>
      <c r="L28" s="167" t="s">
        <v>12</v>
      </c>
      <c r="M28" s="236">
        <v>0.2</v>
      </c>
      <c r="N28" s="297">
        <v>5.5</v>
      </c>
      <c r="O28" s="316">
        <f t="shared" si="32"/>
        <v>0.43636363636363645</v>
      </c>
      <c r="P28" s="225">
        <f t="shared" si="17"/>
        <v>0.43636363636363645</v>
      </c>
      <c r="Q28" s="257">
        <f t="shared" si="36"/>
        <v>5.75</v>
      </c>
      <c r="R28" s="104">
        <f t="shared" si="37"/>
        <v>6.25</v>
      </c>
      <c r="S28" s="287">
        <f t="shared" si="33"/>
        <v>6.3241106719367605E-3</v>
      </c>
      <c r="T28" s="115">
        <f t="shared" si="34"/>
        <v>5.8181818181818196E-3</v>
      </c>
      <c r="U28" s="164"/>
      <c r="V28" s="61">
        <f t="shared" si="18"/>
        <v>14.058920758386002</v>
      </c>
      <c r="W28" s="110">
        <f t="shared" si="19"/>
        <v>15.368011667476912</v>
      </c>
      <c r="X28" s="61">
        <f t="shared" si="20"/>
        <v>13.93446767136607</v>
      </c>
      <c r="Y28" s="101">
        <f t="shared" si="21"/>
        <v>15.243558580456979</v>
      </c>
      <c r="Z28" s="61">
        <f t="shared" si="22"/>
        <v>14.158483228001947</v>
      </c>
      <c r="AA28" s="110">
        <f t="shared" si="23"/>
        <v>15.467574137092855</v>
      </c>
      <c r="AB28" s="3">
        <f t="shared" si="3"/>
        <v>9.75</v>
      </c>
      <c r="AC28" s="246">
        <f t="shared" si="4"/>
        <v>8.5</v>
      </c>
      <c r="AD28" s="5">
        <f t="shared" si="5"/>
        <v>-11.128017578125</v>
      </c>
      <c r="AE28" s="105">
        <f t="shared" si="6"/>
        <v>13.375414062500001</v>
      </c>
      <c r="AF28" s="201">
        <v>67</v>
      </c>
      <c r="AG28" s="32">
        <f t="shared" si="7"/>
        <v>0.29236363636363644</v>
      </c>
      <c r="AH28" s="219" t="s">
        <v>144</v>
      </c>
      <c r="AI28" s="44">
        <f t="shared" si="41"/>
        <v>0.32000000000000006</v>
      </c>
      <c r="AJ28" s="291">
        <f t="shared" si="24"/>
        <v>0.73333333333333328</v>
      </c>
      <c r="AK28" s="282">
        <f t="shared" si="9"/>
        <v>6.2745098039215701E-3</v>
      </c>
      <c r="AL28" s="272" t="str">
        <f t="shared" si="10"/>
        <v>#4 @ 5.5</v>
      </c>
      <c r="AN28" s="2">
        <f t="shared" si="11"/>
        <v>9.75</v>
      </c>
      <c r="AO28" s="246">
        <f t="shared" si="12"/>
        <v>8.5</v>
      </c>
      <c r="AP28" s="171" t="str">
        <f t="shared" si="13"/>
        <v>#4 @ 5.5</v>
      </c>
      <c r="AQ28" s="169" t="str">
        <f t="shared" si="35"/>
        <v>#4 @ 7.5</v>
      </c>
      <c r="AR28" s="157">
        <f t="shared" si="40"/>
        <v>-11.128017578125</v>
      </c>
      <c r="AS28" s="111">
        <f t="shared" si="40"/>
        <v>13.375414062500001</v>
      </c>
      <c r="AT28" s="52">
        <f t="shared" si="25"/>
        <v>-14.058920758386002</v>
      </c>
      <c r="AU28" s="113">
        <f t="shared" si="27"/>
        <v>15.368011667476912</v>
      </c>
      <c r="AW28" s="156">
        <f t="shared" si="26"/>
        <v>1.2633805311399264</v>
      </c>
      <c r="AX28" s="156">
        <f t="shared" si="26"/>
        <v>1.1489746482363832</v>
      </c>
    </row>
    <row r="29" spans="1:50" x14ac:dyDescent="0.2">
      <c r="A29" s="17">
        <v>10</v>
      </c>
      <c r="B29" s="237">
        <v>8.5</v>
      </c>
      <c r="C29" s="42">
        <f t="shared" si="16"/>
        <v>0.10625</v>
      </c>
      <c r="D29" s="255">
        <f t="shared" si="28"/>
        <v>-1.0625</v>
      </c>
      <c r="E29" s="109">
        <f t="shared" si="29"/>
        <v>0.85000000000000009</v>
      </c>
      <c r="F29" s="255">
        <f t="shared" si="30"/>
        <v>-0.50000000000000011</v>
      </c>
      <c r="G29" s="100">
        <f t="shared" si="31"/>
        <v>0.4</v>
      </c>
      <c r="H29" s="255">
        <v>-5.55</v>
      </c>
      <c r="I29" s="109">
        <v>6.89</v>
      </c>
      <c r="J29" s="255">
        <f t="shared" si="39"/>
        <v>-11.790625</v>
      </c>
      <c r="K29" s="100">
        <f t="shared" si="39"/>
        <v>13.719999999999999</v>
      </c>
      <c r="L29" s="173" t="s">
        <v>147</v>
      </c>
      <c r="M29" s="237">
        <v>0.2</v>
      </c>
      <c r="N29" s="317">
        <v>5</v>
      </c>
      <c r="O29" s="315">
        <f t="shared" si="32"/>
        <v>0.48000000000000009</v>
      </c>
      <c r="P29" s="224">
        <f t="shared" si="17"/>
        <v>0.48000000000000009</v>
      </c>
      <c r="Q29" s="195">
        <f t="shared" si="36"/>
        <v>5.75</v>
      </c>
      <c r="R29" s="105">
        <f t="shared" si="37"/>
        <v>6.25</v>
      </c>
      <c r="S29" s="288">
        <f t="shared" si="33"/>
        <v>6.9565217391304359E-3</v>
      </c>
      <c r="T29" s="116">
        <f t="shared" si="34"/>
        <v>6.4000000000000012E-3</v>
      </c>
      <c r="U29" s="164"/>
      <c r="V29" s="253">
        <f t="shared" si="18"/>
        <v>15.355294117647063</v>
      </c>
      <c r="W29" s="108">
        <f t="shared" si="19"/>
        <v>16.795294117647064</v>
      </c>
      <c r="X29" s="253">
        <f t="shared" si="20"/>
        <v>15.204705882352945</v>
      </c>
      <c r="Y29" s="99">
        <f t="shared" si="21"/>
        <v>16.644705882352945</v>
      </c>
      <c r="Z29" s="253">
        <f t="shared" si="22"/>
        <v>15.475764705882355</v>
      </c>
      <c r="AA29" s="108">
        <f t="shared" si="23"/>
        <v>16.915764705882356</v>
      </c>
      <c r="AB29" s="18">
        <f t="shared" si="3"/>
        <v>10</v>
      </c>
      <c r="AC29" s="247">
        <f t="shared" si="4"/>
        <v>8.5</v>
      </c>
      <c r="AD29" s="20">
        <f t="shared" si="5"/>
        <v>-11.790625</v>
      </c>
      <c r="AE29" s="106">
        <f t="shared" si="6"/>
        <v>13.719999999999999</v>
      </c>
      <c r="AF29" s="244">
        <v>67</v>
      </c>
      <c r="AG29" s="33">
        <f t="shared" si="7"/>
        <v>0.32160000000000005</v>
      </c>
      <c r="AH29" s="220" t="s">
        <v>145</v>
      </c>
      <c r="AI29" s="43">
        <f t="shared" ref="AI29:AI33" si="42">0.2*12/7</f>
        <v>0.34285714285714292</v>
      </c>
      <c r="AJ29" s="290">
        <f t="shared" si="24"/>
        <v>0.7142857142857143</v>
      </c>
      <c r="AK29" s="283">
        <f t="shared" si="9"/>
        <v>6.7226890756302534E-3</v>
      </c>
      <c r="AL29" s="274" t="str">
        <f t="shared" si="10"/>
        <v>#4 @ 5</v>
      </c>
      <c r="AN29" s="17">
        <f t="shared" si="11"/>
        <v>10</v>
      </c>
      <c r="AO29" s="247">
        <f t="shared" si="12"/>
        <v>8.5</v>
      </c>
      <c r="AP29" s="170" t="str">
        <f t="shared" si="13"/>
        <v>#4 @ 5</v>
      </c>
      <c r="AQ29" s="174" t="str">
        <f t="shared" si="35"/>
        <v>#4 @ 7</v>
      </c>
      <c r="AR29" s="51">
        <f t="shared" si="40"/>
        <v>-11.790625</v>
      </c>
      <c r="AS29" s="112">
        <f t="shared" si="40"/>
        <v>13.719999999999999</v>
      </c>
      <c r="AT29" s="50">
        <f t="shared" si="25"/>
        <v>-15.355294117647063</v>
      </c>
      <c r="AU29" s="111">
        <f t="shared" si="27"/>
        <v>16.795294117647064</v>
      </c>
      <c r="AW29" s="156">
        <f t="shared" si="26"/>
        <v>1.3023308024508506</v>
      </c>
      <c r="AX29" s="156">
        <f t="shared" si="26"/>
        <v>1.2241468015777743</v>
      </c>
    </row>
    <row r="30" spans="1:50" x14ac:dyDescent="0.2">
      <c r="A30" s="2">
        <v>10.25</v>
      </c>
      <c r="B30" s="236">
        <v>8.5</v>
      </c>
      <c r="C30" s="43">
        <f t="shared" si="16"/>
        <v>0.10625</v>
      </c>
      <c r="D30" s="253">
        <f t="shared" si="28"/>
        <v>-1.1162890625000002</v>
      </c>
      <c r="E30" s="108">
        <f t="shared" si="29"/>
        <v>0.89303125000000005</v>
      </c>
      <c r="F30" s="253">
        <f t="shared" si="30"/>
        <v>-0.52531250000000007</v>
      </c>
      <c r="G30" s="99">
        <f t="shared" si="31"/>
        <v>0.42025000000000001</v>
      </c>
      <c r="H30" s="253">
        <v>-5.87</v>
      </c>
      <c r="I30" s="108">
        <v>7.03</v>
      </c>
      <c r="J30" s="253">
        <f t="shared" si="39"/>
        <v>-12.455830078125</v>
      </c>
      <c r="K30" s="99">
        <f t="shared" si="39"/>
        <v>14.049164062500001</v>
      </c>
      <c r="L30" s="167" t="s">
        <v>147</v>
      </c>
      <c r="M30" s="236">
        <v>0.2</v>
      </c>
      <c r="N30" s="297">
        <v>5</v>
      </c>
      <c r="O30" s="315">
        <f t="shared" si="32"/>
        <v>0.48000000000000009</v>
      </c>
      <c r="P30" s="224">
        <f t="shared" si="17"/>
        <v>0.48000000000000009</v>
      </c>
      <c r="Q30" s="195">
        <f t="shared" si="36"/>
        <v>5.75</v>
      </c>
      <c r="R30" s="105">
        <f t="shared" si="37"/>
        <v>6.25</v>
      </c>
      <c r="S30" s="287">
        <f t="shared" si="33"/>
        <v>6.9565217391304359E-3</v>
      </c>
      <c r="T30" s="115">
        <f t="shared" si="34"/>
        <v>6.4000000000000012E-3</v>
      </c>
      <c r="U30" s="164"/>
      <c r="V30" s="253">
        <f t="shared" si="18"/>
        <v>15.355294117647063</v>
      </c>
      <c r="W30" s="108">
        <f t="shared" si="19"/>
        <v>16.795294117647064</v>
      </c>
      <c r="X30" s="253">
        <f t="shared" si="20"/>
        <v>15.204705882352945</v>
      </c>
      <c r="Y30" s="99">
        <f t="shared" si="21"/>
        <v>16.644705882352945</v>
      </c>
      <c r="Z30" s="253">
        <f t="shared" si="22"/>
        <v>15.475764705882355</v>
      </c>
      <c r="AA30" s="108">
        <f t="shared" si="23"/>
        <v>16.915764705882356</v>
      </c>
      <c r="AB30" s="3">
        <f t="shared" si="3"/>
        <v>10.25</v>
      </c>
      <c r="AC30" s="246">
        <f t="shared" si="4"/>
        <v>8.5</v>
      </c>
      <c r="AD30" s="5">
        <f t="shared" si="5"/>
        <v>-12.455830078125</v>
      </c>
      <c r="AE30" s="105">
        <f t="shared" si="6"/>
        <v>14.049164062500001</v>
      </c>
      <c r="AF30" s="201">
        <v>67</v>
      </c>
      <c r="AG30" s="32">
        <f t="shared" si="7"/>
        <v>0.32160000000000005</v>
      </c>
      <c r="AH30" s="218" t="s">
        <v>145</v>
      </c>
      <c r="AI30" s="43">
        <f t="shared" si="42"/>
        <v>0.34285714285714292</v>
      </c>
      <c r="AJ30" s="290">
        <f t="shared" si="24"/>
        <v>0.7142857142857143</v>
      </c>
      <c r="AK30" s="282">
        <f t="shared" si="9"/>
        <v>6.7226890756302534E-3</v>
      </c>
      <c r="AL30" s="272" t="str">
        <f t="shared" si="10"/>
        <v>#4 @ 5</v>
      </c>
      <c r="AN30" s="2">
        <f t="shared" si="11"/>
        <v>10.25</v>
      </c>
      <c r="AO30" s="246">
        <f t="shared" si="12"/>
        <v>8.5</v>
      </c>
      <c r="AP30" s="171" t="str">
        <f t="shared" si="13"/>
        <v>#4 @ 5</v>
      </c>
      <c r="AQ30" s="169" t="str">
        <f t="shared" si="35"/>
        <v>#4 @ 7</v>
      </c>
      <c r="AR30" s="50">
        <f t="shared" si="40"/>
        <v>-12.455830078125</v>
      </c>
      <c r="AS30" s="111">
        <f t="shared" si="40"/>
        <v>14.049164062500001</v>
      </c>
      <c r="AT30" s="50">
        <f t="shared" si="25"/>
        <v>-15.355294117647063</v>
      </c>
      <c r="AU30" s="111">
        <f t="shared" si="27"/>
        <v>16.795294117647064</v>
      </c>
      <c r="AW30" s="156">
        <f t="shared" si="26"/>
        <v>1.2327796719557147</v>
      </c>
      <c r="AX30" s="156">
        <f t="shared" si="26"/>
        <v>1.195465726140748</v>
      </c>
    </row>
    <row r="31" spans="1:50" x14ac:dyDescent="0.2">
      <c r="A31" s="2">
        <v>10.5</v>
      </c>
      <c r="B31" s="236">
        <v>8.75</v>
      </c>
      <c r="C31" s="43">
        <f t="shared" si="16"/>
        <v>0.10937499999999999</v>
      </c>
      <c r="D31" s="253">
        <f t="shared" si="28"/>
        <v>-1.205859375</v>
      </c>
      <c r="E31" s="108">
        <f t="shared" si="29"/>
        <v>0.96468749999999992</v>
      </c>
      <c r="F31" s="253">
        <f t="shared" si="30"/>
        <v>-0.55125000000000013</v>
      </c>
      <c r="G31" s="99">
        <f t="shared" si="31"/>
        <v>0.441</v>
      </c>
      <c r="H31" s="253">
        <v>-6.18</v>
      </c>
      <c r="I31" s="108">
        <v>7.17</v>
      </c>
      <c r="J31" s="253">
        <f t="shared" si="39"/>
        <v>-13.149199218749999</v>
      </c>
      <c r="K31" s="99">
        <f t="shared" si="39"/>
        <v>14.414859374999999</v>
      </c>
      <c r="L31" s="167" t="s">
        <v>147</v>
      </c>
      <c r="M31" s="236">
        <v>0.2</v>
      </c>
      <c r="N31" s="297">
        <v>5</v>
      </c>
      <c r="O31" s="315">
        <f t="shared" si="32"/>
        <v>0.48000000000000009</v>
      </c>
      <c r="P31" s="224">
        <f t="shared" si="17"/>
        <v>0.48000000000000009</v>
      </c>
      <c r="Q31" s="195">
        <f t="shared" si="36"/>
        <v>6</v>
      </c>
      <c r="R31" s="105">
        <f t="shared" si="37"/>
        <v>6.5</v>
      </c>
      <c r="S31" s="287">
        <f t="shared" si="33"/>
        <v>6.666666666666668E-3</v>
      </c>
      <c r="T31" s="115">
        <f t="shared" si="34"/>
        <v>6.1538461538461547E-3</v>
      </c>
      <c r="U31" s="164"/>
      <c r="V31" s="253">
        <f t="shared" si="18"/>
        <v>16.075294117647061</v>
      </c>
      <c r="W31" s="108">
        <f t="shared" si="19"/>
        <v>17.515294117647063</v>
      </c>
      <c r="X31" s="253">
        <f t="shared" si="20"/>
        <v>15.924705882352946</v>
      </c>
      <c r="Y31" s="99">
        <f t="shared" si="21"/>
        <v>17.364705882352947</v>
      </c>
      <c r="Z31" s="253">
        <f t="shared" si="22"/>
        <v>16.195764705882358</v>
      </c>
      <c r="AA31" s="108">
        <f t="shared" si="23"/>
        <v>17.635764705882355</v>
      </c>
      <c r="AB31" s="3">
        <f t="shared" si="3"/>
        <v>10.5</v>
      </c>
      <c r="AC31" s="246">
        <f t="shared" si="4"/>
        <v>8.75</v>
      </c>
      <c r="AD31" s="5">
        <f t="shared" si="5"/>
        <v>-13.149199218749999</v>
      </c>
      <c r="AE31" s="105">
        <f t="shared" si="6"/>
        <v>14.414859374999999</v>
      </c>
      <c r="AF31" s="201">
        <v>67</v>
      </c>
      <c r="AG31" s="32">
        <f t="shared" si="7"/>
        <v>0.32160000000000005</v>
      </c>
      <c r="AH31" s="218" t="s">
        <v>145</v>
      </c>
      <c r="AI31" s="43">
        <f t="shared" si="42"/>
        <v>0.34285714285714292</v>
      </c>
      <c r="AJ31" s="290">
        <f t="shared" si="24"/>
        <v>0.7142857142857143</v>
      </c>
      <c r="AK31" s="282">
        <f t="shared" si="9"/>
        <v>6.5306122448979603E-3</v>
      </c>
      <c r="AL31" s="272" t="str">
        <f t="shared" si="10"/>
        <v>#4 @ 5</v>
      </c>
      <c r="AN31" s="2">
        <f t="shared" si="11"/>
        <v>10.5</v>
      </c>
      <c r="AO31" s="246">
        <f t="shared" si="12"/>
        <v>8.75</v>
      </c>
      <c r="AP31" s="171" t="str">
        <f t="shared" si="13"/>
        <v>#4 @ 5</v>
      </c>
      <c r="AQ31" s="169" t="str">
        <f t="shared" si="35"/>
        <v>#4 @ 7</v>
      </c>
      <c r="AR31" s="50">
        <f t="shared" si="40"/>
        <v>-13.149199218749999</v>
      </c>
      <c r="AS31" s="111">
        <f t="shared" si="40"/>
        <v>14.414859374999999</v>
      </c>
      <c r="AT31" s="50">
        <f t="shared" si="25"/>
        <v>-16.075294117647061</v>
      </c>
      <c r="AU31" s="111">
        <f t="shared" si="27"/>
        <v>17.515294117647063</v>
      </c>
      <c r="AW31" s="156">
        <f t="shared" si="26"/>
        <v>1.2225302735336627</v>
      </c>
      <c r="AX31" s="156">
        <f t="shared" si="26"/>
        <v>1.215086020750519</v>
      </c>
    </row>
    <row r="32" spans="1:50" x14ac:dyDescent="0.2">
      <c r="A32" s="8">
        <v>10.75</v>
      </c>
      <c r="B32" s="238">
        <v>8.75</v>
      </c>
      <c r="C32" s="44">
        <f t="shared" si="16"/>
        <v>0.10937499999999999</v>
      </c>
      <c r="D32" s="61">
        <f t="shared" si="28"/>
        <v>-1.26396484375</v>
      </c>
      <c r="E32" s="110">
        <f t="shared" si="29"/>
        <v>1.0111718749999998</v>
      </c>
      <c r="F32" s="61">
        <f t="shared" si="30"/>
        <v>-0.57781250000000006</v>
      </c>
      <c r="G32" s="101">
        <f t="shared" si="31"/>
        <v>0.46224999999999999</v>
      </c>
      <c r="H32" s="61">
        <v>-6.49</v>
      </c>
      <c r="I32" s="110">
        <v>7.32</v>
      </c>
      <c r="J32" s="61">
        <f t="shared" si="39"/>
        <v>-13.8041748046875</v>
      </c>
      <c r="K32" s="101">
        <f t="shared" si="39"/>
        <v>14.767339843750001</v>
      </c>
      <c r="L32" s="168" t="s">
        <v>147</v>
      </c>
      <c r="M32" s="238">
        <v>0.2</v>
      </c>
      <c r="N32" s="298">
        <v>5</v>
      </c>
      <c r="O32" s="316">
        <f t="shared" si="32"/>
        <v>0.48000000000000009</v>
      </c>
      <c r="P32" s="225">
        <f t="shared" si="17"/>
        <v>0.48000000000000009</v>
      </c>
      <c r="Q32" s="257">
        <f t="shared" si="36"/>
        <v>6</v>
      </c>
      <c r="R32" s="104">
        <f t="shared" si="37"/>
        <v>6.5</v>
      </c>
      <c r="S32" s="289">
        <f t="shared" si="33"/>
        <v>6.666666666666668E-3</v>
      </c>
      <c r="T32" s="117">
        <f t="shared" si="34"/>
        <v>6.1538461538461547E-3</v>
      </c>
      <c r="U32" s="164"/>
      <c r="V32" s="61">
        <f t="shared" si="18"/>
        <v>16.075294117647061</v>
      </c>
      <c r="W32" s="110">
        <f t="shared" si="19"/>
        <v>17.515294117647063</v>
      </c>
      <c r="X32" s="61">
        <f t="shared" si="20"/>
        <v>15.924705882352946</v>
      </c>
      <c r="Y32" s="101">
        <f t="shared" si="21"/>
        <v>17.364705882352947</v>
      </c>
      <c r="Z32" s="61">
        <f t="shared" si="22"/>
        <v>16.195764705882358</v>
      </c>
      <c r="AA32" s="110">
        <f t="shared" si="23"/>
        <v>17.635764705882355</v>
      </c>
      <c r="AB32" s="9">
        <f t="shared" si="3"/>
        <v>10.75</v>
      </c>
      <c r="AC32" s="60">
        <f t="shared" si="4"/>
        <v>8.75</v>
      </c>
      <c r="AD32" s="11">
        <f t="shared" si="5"/>
        <v>-13.8041748046875</v>
      </c>
      <c r="AE32" s="107">
        <f t="shared" si="6"/>
        <v>14.767339843750001</v>
      </c>
      <c r="AF32" s="245">
        <v>67</v>
      </c>
      <c r="AG32" s="34">
        <f t="shared" si="7"/>
        <v>0.32160000000000005</v>
      </c>
      <c r="AH32" s="219" t="s">
        <v>145</v>
      </c>
      <c r="AI32" s="44">
        <f t="shared" si="42"/>
        <v>0.34285714285714292</v>
      </c>
      <c r="AJ32" s="291">
        <f t="shared" si="24"/>
        <v>0.7142857142857143</v>
      </c>
      <c r="AK32" s="284">
        <f t="shared" si="9"/>
        <v>6.5306122448979603E-3</v>
      </c>
      <c r="AL32" s="273" t="str">
        <f t="shared" si="10"/>
        <v>#4 @ 5</v>
      </c>
      <c r="AN32" s="8">
        <f t="shared" si="11"/>
        <v>10.75</v>
      </c>
      <c r="AO32" s="60">
        <f t="shared" si="12"/>
        <v>8.75</v>
      </c>
      <c r="AP32" s="172" t="str">
        <f t="shared" si="13"/>
        <v>#4 @ 5</v>
      </c>
      <c r="AQ32" s="175" t="str">
        <f t="shared" si="35"/>
        <v>#4 @ 7</v>
      </c>
      <c r="AR32" s="52">
        <f t="shared" si="40"/>
        <v>-13.8041748046875</v>
      </c>
      <c r="AS32" s="113">
        <f t="shared" si="40"/>
        <v>14.767339843750001</v>
      </c>
      <c r="AT32" s="52">
        <f t="shared" si="25"/>
        <v>-16.075294117647061</v>
      </c>
      <c r="AU32" s="113">
        <f t="shared" si="27"/>
        <v>17.515294117647063</v>
      </c>
      <c r="AW32" s="156">
        <f t="shared" si="26"/>
        <v>1.1645240910878898</v>
      </c>
      <c r="AX32" s="156">
        <f t="shared" si="26"/>
        <v>1.186083228460411</v>
      </c>
    </row>
    <row r="33" spans="1:50" x14ac:dyDescent="0.2">
      <c r="A33" s="2">
        <v>11</v>
      </c>
      <c r="B33" s="236">
        <v>9</v>
      </c>
      <c r="C33" s="42">
        <f t="shared" si="16"/>
        <v>0.11249999999999999</v>
      </c>
      <c r="D33" s="253">
        <f t="shared" si="28"/>
        <v>-1.3612499999999998</v>
      </c>
      <c r="E33" s="108">
        <f t="shared" si="29"/>
        <v>1.089</v>
      </c>
      <c r="F33" s="253">
        <f t="shared" si="30"/>
        <v>-0.60500000000000009</v>
      </c>
      <c r="G33" s="99">
        <f t="shared" si="31"/>
        <v>0.48399999999999999</v>
      </c>
      <c r="H33" s="253">
        <v>-6.79</v>
      </c>
      <c r="I33" s="108">
        <v>7.46</v>
      </c>
      <c r="J33" s="253">
        <f t="shared" si="39"/>
        <v>-14.491562500000001</v>
      </c>
      <c r="K33" s="99">
        <f t="shared" si="39"/>
        <v>15.142250000000001</v>
      </c>
      <c r="L33" s="167" t="s">
        <v>147</v>
      </c>
      <c r="M33" s="236">
        <v>0.2</v>
      </c>
      <c r="N33" s="297">
        <v>5</v>
      </c>
      <c r="O33" s="315">
        <f t="shared" si="32"/>
        <v>0.48000000000000009</v>
      </c>
      <c r="P33" s="224">
        <f t="shared" si="17"/>
        <v>0.48000000000000009</v>
      </c>
      <c r="Q33" s="195">
        <f t="shared" si="36"/>
        <v>6.25</v>
      </c>
      <c r="R33" s="105">
        <f t="shared" si="37"/>
        <v>6.75</v>
      </c>
      <c r="S33" s="287">
        <f t="shared" si="33"/>
        <v>6.4000000000000012E-3</v>
      </c>
      <c r="T33" s="115">
        <f t="shared" si="34"/>
        <v>5.9259259259259274E-3</v>
      </c>
      <c r="U33" s="164"/>
      <c r="V33" s="253">
        <f t="shared" si="18"/>
        <v>16.795294117647064</v>
      </c>
      <c r="W33" s="108">
        <f t="shared" si="19"/>
        <v>18.235294117647062</v>
      </c>
      <c r="X33" s="253">
        <f t="shared" si="20"/>
        <v>16.644705882352945</v>
      </c>
      <c r="Y33" s="99">
        <f t="shared" si="21"/>
        <v>18.084705882352946</v>
      </c>
      <c r="Z33" s="253">
        <f t="shared" si="22"/>
        <v>16.915764705882356</v>
      </c>
      <c r="AA33" s="108">
        <f t="shared" si="23"/>
        <v>18.355764705882358</v>
      </c>
      <c r="AB33" s="3">
        <f t="shared" si="3"/>
        <v>11</v>
      </c>
      <c r="AC33" s="246">
        <f t="shared" si="4"/>
        <v>9</v>
      </c>
      <c r="AD33" s="5">
        <f t="shared" si="5"/>
        <v>-14.491562500000001</v>
      </c>
      <c r="AE33" s="105">
        <f t="shared" si="6"/>
        <v>15.142250000000001</v>
      </c>
      <c r="AF33" s="201">
        <v>67</v>
      </c>
      <c r="AG33" s="32">
        <f t="shared" si="7"/>
        <v>0.32160000000000005</v>
      </c>
      <c r="AH33" s="220" t="s">
        <v>145</v>
      </c>
      <c r="AI33" s="43">
        <f t="shared" si="42"/>
        <v>0.34285714285714292</v>
      </c>
      <c r="AJ33" s="290">
        <f t="shared" si="24"/>
        <v>0.7142857142857143</v>
      </c>
      <c r="AK33" s="283">
        <f t="shared" si="9"/>
        <v>6.3492063492063501E-3</v>
      </c>
      <c r="AL33" s="274" t="str">
        <f t="shared" si="10"/>
        <v>#4 @ 5</v>
      </c>
      <c r="AN33" s="2">
        <f t="shared" si="11"/>
        <v>11</v>
      </c>
      <c r="AO33" s="246">
        <f t="shared" si="12"/>
        <v>9</v>
      </c>
      <c r="AP33" s="173" t="str">
        <f t="shared" si="13"/>
        <v>#4 @ 5</v>
      </c>
      <c r="AQ33" s="174" t="str">
        <f t="shared" si="35"/>
        <v>#4 @ 7</v>
      </c>
      <c r="AR33" s="51">
        <f t="shared" si="40"/>
        <v>-14.491562500000001</v>
      </c>
      <c r="AS33" s="112">
        <f t="shared" si="40"/>
        <v>15.142250000000001</v>
      </c>
      <c r="AT33" s="50">
        <f t="shared" si="25"/>
        <v>-16.795294117647064</v>
      </c>
      <c r="AU33" s="111">
        <f t="shared" si="27"/>
        <v>18.235294117647062</v>
      </c>
      <c r="AW33" s="156">
        <f t="shared" si="26"/>
        <v>1.1589705470094798</v>
      </c>
      <c r="AX33" s="156">
        <f t="shared" si="26"/>
        <v>1.2042658203138279</v>
      </c>
    </row>
    <row r="34" spans="1:50" x14ac:dyDescent="0.2">
      <c r="A34" s="2">
        <v>11.25</v>
      </c>
      <c r="B34" s="236">
        <v>9</v>
      </c>
      <c r="C34" s="43">
        <f t="shared" si="16"/>
        <v>0.11249999999999999</v>
      </c>
      <c r="D34" s="253">
        <f t="shared" si="28"/>
        <v>-1.423828125</v>
      </c>
      <c r="E34" s="108">
        <f t="shared" si="29"/>
        <v>1.1390624999999999</v>
      </c>
      <c r="F34" s="253">
        <f t="shared" si="30"/>
        <v>-0.63281250000000011</v>
      </c>
      <c r="G34" s="99">
        <f t="shared" si="31"/>
        <v>0.50624999999999998</v>
      </c>
      <c r="H34" s="253">
        <v>-7.08</v>
      </c>
      <c r="I34" s="108">
        <v>7.6</v>
      </c>
      <c r="J34" s="253">
        <f t="shared" si="39"/>
        <v>-15.119003906250001</v>
      </c>
      <c r="K34" s="99">
        <f t="shared" si="39"/>
        <v>15.483203124999999</v>
      </c>
      <c r="L34" s="167" t="s">
        <v>147</v>
      </c>
      <c r="M34" s="236">
        <v>0.2</v>
      </c>
      <c r="N34" s="297">
        <v>5</v>
      </c>
      <c r="O34" s="315">
        <f t="shared" si="32"/>
        <v>0.48000000000000009</v>
      </c>
      <c r="P34" s="224">
        <f t="shared" si="17"/>
        <v>0.48000000000000009</v>
      </c>
      <c r="Q34" s="195">
        <f t="shared" si="36"/>
        <v>6.25</v>
      </c>
      <c r="R34" s="105">
        <f t="shared" si="37"/>
        <v>6.75</v>
      </c>
      <c r="S34" s="287">
        <f t="shared" si="33"/>
        <v>6.4000000000000012E-3</v>
      </c>
      <c r="T34" s="115">
        <f t="shared" si="34"/>
        <v>5.9259259259259274E-3</v>
      </c>
      <c r="U34" s="164"/>
      <c r="V34" s="253">
        <f t="shared" si="18"/>
        <v>16.795294117647064</v>
      </c>
      <c r="W34" s="108">
        <f t="shared" si="19"/>
        <v>18.235294117647062</v>
      </c>
      <c r="X34" s="253">
        <f t="shared" si="20"/>
        <v>16.644705882352945</v>
      </c>
      <c r="Y34" s="99">
        <f t="shared" si="21"/>
        <v>18.084705882352946</v>
      </c>
      <c r="Z34" s="253">
        <f t="shared" si="22"/>
        <v>16.915764705882356</v>
      </c>
      <c r="AA34" s="108">
        <f t="shared" si="23"/>
        <v>18.355764705882358</v>
      </c>
      <c r="AB34" s="3">
        <f t="shared" si="3"/>
        <v>11.25</v>
      </c>
      <c r="AC34" s="246">
        <f t="shared" si="4"/>
        <v>9</v>
      </c>
      <c r="AD34" s="5">
        <f t="shared" si="5"/>
        <v>-15.119003906250001</v>
      </c>
      <c r="AE34" s="105">
        <f t="shared" si="6"/>
        <v>15.483203124999999</v>
      </c>
      <c r="AF34" s="201">
        <v>67</v>
      </c>
      <c r="AG34" s="32">
        <f t="shared" si="7"/>
        <v>0.32160000000000005</v>
      </c>
      <c r="AH34" s="218" t="s">
        <v>42</v>
      </c>
      <c r="AI34" s="43">
        <f>0.2*12/6.5</f>
        <v>0.36923076923076931</v>
      </c>
      <c r="AJ34" s="290">
        <f t="shared" si="24"/>
        <v>0.76923076923076927</v>
      </c>
      <c r="AK34" s="282">
        <f t="shared" si="9"/>
        <v>6.8376068376068393E-3</v>
      </c>
      <c r="AL34" s="272" t="str">
        <f t="shared" si="10"/>
        <v>#4 @ 5</v>
      </c>
      <c r="AN34" s="2">
        <f t="shared" si="11"/>
        <v>11.25</v>
      </c>
      <c r="AO34" s="246">
        <f t="shared" si="12"/>
        <v>9</v>
      </c>
      <c r="AP34" s="167" t="str">
        <f t="shared" si="13"/>
        <v>#4 @ 5</v>
      </c>
      <c r="AQ34" s="169" t="str">
        <f t="shared" si="35"/>
        <v>#4 @ 6.5</v>
      </c>
      <c r="AR34" s="50">
        <f t="shared" si="40"/>
        <v>-15.119003906250001</v>
      </c>
      <c r="AS34" s="111">
        <f t="shared" si="40"/>
        <v>15.483203124999999</v>
      </c>
      <c r="AT34" s="50">
        <f t="shared" si="25"/>
        <v>-16.795294117647064</v>
      </c>
      <c r="AU34" s="111">
        <f t="shared" si="27"/>
        <v>18.235294117647062</v>
      </c>
      <c r="AW34" s="156">
        <f t="shared" si="26"/>
        <v>1.1108730589522573</v>
      </c>
      <c r="AX34" s="156">
        <f t="shared" si="26"/>
        <v>1.1777468764330419</v>
      </c>
    </row>
    <row r="35" spans="1:50" x14ac:dyDescent="0.2">
      <c r="A35" s="2">
        <v>11.5</v>
      </c>
      <c r="B35" s="236">
        <v>9.25</v>
      </c>
      <c r="C35" s="43">
        <f t="shared" si="16"/>
        <v>0.11562500000000001</v>
      </c>
      <c r="D35" s="253">
        <f t="shared" si="28"/>
        <v>-1.5291406250000001</v>
      </c>
      <c r="E35" s="108">
        <f t="shared" si="29"/>
        <v>1.2233125000000002</v>
      </c>
      <c r="F35" s="253">
        <f t="shared" si="30"/>
        <v>-0.66125000000000012</v>
      </c>
      <c r="G35" s="99">
        <f t="shared" si="31"/>
        <v>0.52900000000000003</v>
      </c>
      <c r="H35" s="253">
        <v>-7.37</v>
      </c>
      <c r="I35" s="108">
        <v>7.74</v>
      </c>
      <c r="J35" s="253">
        <f t="shared" si="39"/>
        <v>-15.80080078125</v>
      </c>
      <c r="K35" s="99">
        <f t="shared" si="39"/>
        <v>15.867640625</v>
      </c>
      <c r="L35" s="167" t="s">
        <v>147</v>
      </c>
      <c r="M35" s="236">
        <v>0.2</v>
      </c>
      <c r="N35" s="297">
        <v>5</v>
      </c>
      <c r="O35" s="315">
        <f t="shared" si="32"/>
        <v>0.48000000000000009</v>
      </c>
      <c r="P35" s="224">
        <f t="shared" si="17"/>
        <v>0.48000000000000009</v>
      </c>
      <c r="Q35" s="195">
        <f t="shared" si="36"/>
        <v>6.5</v>
      </c>
      <c r="R35" s="105">
        <f t="shared" si="37"/>
        <v>7</v>
      </c>
      <c r="S35" s="287">
        <f t="shared" si="33"/>
        <v>6.1538461538461547E-3</v>
      </c>
      <c r="T35" s="115">
        <f t="shared" si="34"/>
        <v>5.7142857142857151E-3</v>
      </c>
      <c r="U35" s="164"/>
      <c r="V35" s="253">
        <f t="shared" si="18"/>
        <v>17.515294117647063</v>
      </c>
      <c r="W35" s="108">
        <f t="shared" si="19"/>
        <v>18.955294117647064</v>
      </c>
      <c r="X35" s="253">
        <f t="shared" si="20"/>
        <v>17.364705882352947</v>
      </c>
      <c r="Y35" s="99">
        <f t="shared" si="21"/>
        <v>18.804705882352945</v>
      </c>
      <c r="Z35" s="253">
        <f t="shared" si="22"/>
        <v>17.635764705882355</v>
      </c>
      <c r="AA35" s="108">
        <f t="shared" si="23"/>
        <v>19.075764705882357</v>
      </c>
      <c r="AB35" s="3">
        <f t="shared" si="3"/>
        <v>11.5</v>
      </c>
      <c r="AC35" s="246">
        <f t="shared" si="4"/>
        <v>9.25</v>
      </c>
      <c r="AD35" s="5">
        <f t="shared" si="5"/>
        <v>-15.80080078125</v>
      </c>
      <c r="AE35" s="105">
        <f t="shared" si="6"/>
        <v>15.867640625</v>
      </c>
      <c r="AF35" s="201">
        <v>67</v>
      </c>
      <c r="AG35" s="32">
        <f t="shared" si="7"/>
        <v>0.32160000000000005</v>
      </c>
      <c r="AH35" s="218" t="s">
        <v>42</v>
      </c>
      <c r="AI35" s="43">
        <f>0.2*12/6.5</f>
        <v>0.36923076923076931</v>
      </c>
      <c r="AJ35" s="290">
        <f t="shared" si="24"/>
        <v>0.76923076923076927</v>
      </c>
      <c r="AK35" s="282">
        <f t="shared" si="9"/>
        <v>6.652806652806654E-3</v>
      </c>
      <c r="AL35" s="272" t="str">
        <f t="shared" si="10"/>
        <v>#4 @ 5</v>
      </c>
      <c r="AN35" s="2">
        <f t="shared" si="11"/>
        <v>11.5</v>
      </c>
      <c r="AO35" s="246">
        <f t="shared" si="12"/>
        <v>9.25</v>
      </c>
      <c r="AP35" s="167" t="str">
        <f t="shared" si="13"/>
        <v>#4 @ 5</v>
      </c>
      <c r="AQ35" s="169" t="str">
        <f t="shared" si="35"/>
        <v>#4 @ 6.5</v>
      </c>
      <c r="AR35" s="50">
        <f t="shared" si="40"/>
        <v>-15.80080078125</v>
      </c>
      <c r="AS35" s="111">
        <f t="shared" si="40"/>
        <v>15.867640625</v>
      </c>
      <c r="AT35" s="50">
        <f t="shared" si="25"/>
        <v>-17.515294117647063</v>
      </c>
      <c r="AU35" s="111">
        <f t="shared" si="27"/>
        <v>18.955294117647064</v>
      </c>
      <c r="AW35" s="156">
        <f t="shared" si="26"/>
        <v>1.1085067371035753</v>
      </c>
      <c r="AX35" s="156">
        <f t="shared" si="26"/>
        <v>1.1945880654608703</v>
      </c>
    </row>
    <row r="36" spans="1:50" x14ac:dyDescent="0.2">
      <c r="A36" s="2">
        <v>11.75</v>
      </c>
      <c r="B36" s="236">
        <v>9.25</v>
      </c>
      <c r="C36" s="43">
        <f t="shared" si="16"/>
        <v>0.11562500000000001</v>
      </c>
      <c r="D36" s="253">
        <f t="shared" si="28"/>
        <v>-1.5963476562500003</v>
      </c>
      <c r="E36" s="108">
        <f t="shared" si="29"/>
        <v>1.2770781250000003</v>
      </c>
      <c r="F36" s="253">
        <f t="shared" si="30"/>
        <v>-0.69031250000000011</v>
      </c>
      <c r="G36" s="99">
        <f t="shared" si="31"/>
        <v>0.55225000000000002</v>
      </c>
      <c r="H36" s="253">
        <v>-7.65</v>
      </c>
      <c r="I36" s="108">
        <v>7.88</v>
      </c>
      <c r="J36" s="253">
        <f t="shared" si="39"/>
        <v>-16.4184033203125</v>
      </c>
      <c r="K36" s="99">
        <f t="shared" si="39"/>
        <v>16.21472265625</v>
      </c>
      <c r="L36" s="167" t="s">
        <v>147</v>
      </c>
      <c r="M36" s="236">
        <v>0.2</v>
      </c>
      <c r="N36" s="297">
        <v>5</v>
      </c>
      <c r="O36" s="315">
        <f t="shared" si="32"/>
        <v>0.48000000000000009</v>
      </c>
      <c r="P36" s="224">
        <f t="shared" si="17"/>
        <v>0.48000000000000009</v>
      </c>
      <c r="Q36" s="195">
        <f t="shared" si="36"/>
        <v>6.5</v>
      </c>
      <c r="R36" s="105">
        <f t="shared" si="37"/>
        <v>7</v>
      </c>
      <c r="S36" s="287">
        <f t="shared" si="33"/>
        <v>6.1538461538461547E-3</v>
      </c>
      <c r="T36" s="115">
        <f t="shared" si="34"/>
        <v>5.7142857142857151E-3</v>
      </c>
      <c r="U36" s="164"/>
      <c r="V36" s="253">
        <f t="shared" si="18"/>
        <v>17.515294117647063</v>
      </c>
      <c r="W36" s="108">
        <f t="shared" si="19"/>
        <v>18.955294117647064</v>
      </c>
      <c r="X36" s="253">
        <f t="shared" si="20"/>
        <v>17.364705882352947</v>
      </c>
      <c r="Y36" s="99">
        <f t="shared" si="21"/>
        <v>18.804705882352945</v>
      </c>
      <c r="Z36" s="253">
        <f t="shared" si="22"/>
        <v>17.635764705882355</v>
      </c>
      <c r="AA36" s="108">
        <f t="shared" si="23"/>
        <v>19.075764705882357</v>
      </c>
      <c r="AB36" s="3">
        <f t="shared" si="3"/>
        <v>11.75</v>
      </c>
      <c r="AC36" s="246">
        <f t="shared" si="4"/>
        <v>9.25</v>
      </c>
      <c r="AD36" s="5">
        <f t="shared" si="5"/>
        <v>-16.4184033203125</v>
      </c>
      <c r="AE36" s="105">
        <f t="shared" si="6"/>
        <v>16.21472265625</v>
      </c>
      <c r="AF36" s="201">
        <v>67</v>
      </c>
      <c r="AG36" s="32">
        <f t="shared" si="7"/>
        <v>0.32160000000000005</v>
      </c>
      <c r="AH36" s="218" t="s">
        <v>42</v>
      </c>
      <c r="AI36" s="43">
        <f t="shared" ref="AI36:AI37" si="43">0.2*12/6.5</f>
        <v>0.36923076923076931</v>
      </c>
      <c r="AJ36" s="290">
        <f t="shared" si="24"/>
        <v>0.76923076923076927</v>
      </c>
      <c r="AK36" s="282">
        <f t="shared" si="9"/>
        <v>6.652806652806654E-3</v>
      </c>
      <c r="AL36" s="272" t="str">
        <f t="shared" si="10"/>
        <v>#4 @ 5</v>
      </c>
      <c r="AN36" s="2">
        <f t="shared" si="11"/>
        <v>11.75</v>
      </c>
      <c r="AO36" s="246">
        <f t="shared" si="12"/>
        <v>9.25</v>
      </c>
      <c r="AP36" s="167" t="str">
        <f t="shared" si="13"/>
        <v>#4 @ 5</v>
      </c>
      <c r="AQ36" s="169" t="str">
        <f t="shared" si="35"/>
        <v>#4 @ 6.5</v>
      </c>
      <c r="AR36" s="50">
        <f t="shared" si="40"/>
        <v>-16.4184033203125</v>
      </c>
      <c r="AS36" s="111">
        <f t="shared" si="40"/>
        <v>16.21472265625</v>
      </c>
      <c r="AT36" s="50">
        <f t="shared" si="25"/>
        <v>-17.515294117647063</v>
      </c>
      <c r="AU36" s="111">
        <f t="shared" si="27"/>
        <v>18.955294117647064</v>
      </c>
      <c r="AW36" s="156">
        <f t="shared" si="26"/>
        <v>1.0668086156695586</v>
      </c>
      <c r="AX36" s="156">
        <f t="shared" si="26"/>
        <v>1.1690174737796519</v>
      </c>
    </row>
    <row r="37" spans="1:50" x14ac:dyDescent="0.2">
      <c r="A37" s="8">
        <v>12</v>
      </c>
      <c r="B37" s="238">
        <v>9.5</v>
      </c>
      <c r="C37" s="44">
        <f t="shared" si="16"/>
        <v>0.11874999999999999</v>
      </c>
      <c r="D37" s="61">
        <f t="shared" si="28"/>
        <v>-1.71</v>
      </c>
      <c r="E37" s="110">
        <f t="shared" si="29"/>
        <v>1.3679999999999999</v>
      </c>
      <c r="F37" s="158">
        <f t="shared" si="30"/>
        <v>-0.7200000000000002</v>
      </c>
      <c r="G37" s="101">
        <f t="shared" si="31"/>
        <v>0.57600000000000007</v>
      </c>
      <c r="H37" s="61">
        <v>-7.92</v>
      </c>
      <c r="I37" s="110">
        <v>8.01</v>
      </c>
      <c r="J37" s="61">
        <f t="shared" si="39"/>
        <v>-17.077500000000001</v>
      </c>
      <c r="K37" s="101">
        <f t="shared" si="39"/>
        <v>16.5915</v>
      </c>
      <c r="L37" s="168" t="s">
        <v>147</v>
      </c>
      <c r="M37" s="238">
        <v>0.2</v>
      </c>
      <c r="N37" s="298">
        <v>5</v>
      </c>
      <c r="O37" s="316">
        <f t="shared" si="32"/>
        <v>0.48000000000000009</v>
      </c>
      <c r="P37" s="225">
        <f t="shared" si="17"/>
        <v>0.48000000000000009</v>
      </c>
      <c r="Q37" s="257">
        <f t="shared" si="36"/>
        <v>6.75</v>
      </c>
      <c r="R37" s="104">
        <f t="shared" si="37"/>
        <v>7.25</v>
      </c>
      <c r="S37" s="289">
        <f t="shared" si="33"/>
        <v>5.9259259259259274E-3</v>
      </c>
      <c r="T37" s="117">
        <f t="shared" si="34"/>
        <v>5.5172413793103461E-3</v>
      </c>
      <c r="U37" s="164"/>
      <c r="V37" s="61">
        <f t="shared" si="18"/>
        <v>18.235294117647062</v>
      </c>
      <c r="W37" s="110">
        <f t="shared" si="19"/>
        <v>19.675294117647063</v>
      </c>
      <c r="X37" s="61">
        <f t="shared" si="20"/>
        <v>18.084705882352946</v>
      </c>
      <c r="Y37" s="101">
        <f t="shared" si="21"/>
        <v>19.524705882352947</v>
      </c>
      <c r="Z37" s="61">
        <f t="shared" si="22"/>
        <v>18.355764705882358</v>
      </c>
      <c r="AA37" s="110">
        <f t="shared" si="23"/>
        <v>19.795764705882359</v>
      </c>
      <c r="AB37" s="9">
        <f t="shared" si="3"/>
        <v>12</v>
      </c>
      <c r="AC37" s="60">
        <f t="shared" si="4"/>
        <v>9.5</v>
      </c>
      <c r="AD37" s="11">
        <f t="shared" si="5"/>
        <v>-17.077500000000001</v>
      </c>
      <c r="AE37" s="107">
        <f t="shared" si="6"/>
        <v>16.5915</v>
      </c>
      <c r="AF37" s="245">
        <v>67</v>
      </c>
      <c r="AG37" s="34">
        <f t="shared" si="7"/>
        <v>0.32160000000000005</v>
      </c>
      <c r="AH37" s="219" t="s">
        <v>42</v>
      </c>
      <c r="AI37" s="44">
        <f t="shared" si="43"/>
        <v>0.36923076923076931</v>
      </c>
      <c r="AJ37" s="291">
        <f t="shared" si="24"/>
        <v>0.76923076923076927</v>
      </c>
      <c r="AK37" s="284">
        <f t="shared" si="9"/>
        <v>6.4777327935222687E-3</v>
      </c>
      <c r="AL37" s="273" t="str">
        <f t="shared" si="10"/>
        <v>#4 @ 5</v>
      </c>
      <c r="AN37" s="8">
        <f t="shared" si="11"/>
        <v>12</v>
      </c>
      <c r="AO37" s="60">
        <f t="shared" si="12"/>
        <v>9.5</v>
      </c>
      <c r="AP37" s="168" t="str">
        <f t="shared" si="13"/>
        <v>#4 @ 5</v>
      </c>
      <c r="AQ37" s="175" t="str">
        <f t="shared" si="35"/>
        <v>#4 @ 6.5</v>
      </c>
      <c r="AR37" s="52">
        <f t="shared" si="40"/>
        <v>-17.077500000000001</v>
      </c>
      <c r="AS37" s="113">
        <f t="shared" si="40"/>
        <v>16.5915</v>
      </c>
      <c r="AT37" s="52">
        <f t="shared" si="25"/>
        <v>-18.235294117647062</v>
      </c>
      <c r="AU37" s="113">
        <f t="shared" si="27"/>
        <v>19.675294117647063</v>
      </c>
      <c r="AW37" s="156">
        <f t="shared" si="26"/>
        <v>1.0677964642159017</v>
      </c>
      <c r="AX37" s="156">
        <f t="shared" si="26"/>
        <v>1.185865902278098</v>
      </c>
    </row>
    <row r="38" spans="1:50" x14ac:dyDescent="0.2">
      <c r="AP38" s="140" t="s">
        <v>113</v>
      </c>
      <c r="AQ38" s="140" t="s">
        <v>113</v>
      </c>
      <c r="AR38" s="140" t="s">
        <v>113</v>
      </c>
      <c r="AS38" s="140" t="s">
        <v>113</v>
      </c>
      <c r="AT38" s="140" t="s">
        <v>113</v>
      </c>
      <c r="AU38" s="140" t="s">
        <v>113</v>
      </c>
      <c r="AW38" s="155">
        <f>MIN(AW7:AW37)</f>
        <v>1.0668086156695586</v>
      </c>
      <c r="AX38" s="155">
        <f>MIN(AX7:AX37)</f>
        <v>1.1489746482363832</v>
      </c>
    </row>
    <row r="39" spans="1:50" x14ac:dyDescent="0.2">
      <c r="B39" s="141"/>
      <c r="P39" s="153"/>
      <c r="R39" s="141"/>
      <c r="AO39" s="134"/>
    </row>
    <row r="40" spans="1:50" x14ac:dyDescent="0.2">
      <c r="P40" s="153"/>
      <c r="R40" s="141"/>
      <c r="AH40" s="141" t="s">
        <v>148</v>
      </c>
      <c r="AO40" s="59"/>
      <c r="AP40" s="59"/>
      <c r="AQ40" s="59"/>
    </row>
    <row r="41" spans="1:50" x14ac:dyDescent="0.2">
      <c r="P41" s="153"/>
      <c r="AQ41" s="141"/>
    </row>
    <row r="42" spans="1:50" x14ac:dyDescent="0.2">
      <c r="A42" s="148"/>
      <c r="P42" s="153"/>
      <c r="V42" s="141" t="s">
        <v>126</v>
      </c>
      <c r="AA42" s="141" t="s">
        <v>127</v>
      </c>
      <c r="AQ42" s="141"/>
    </row>
    <row r="43" spans="1:50" x14ac:dyDescent="0.2">
      <c r="P43" s="153"/>
      <c r="V43" s="154">
        <v>4000</v>
      </c>
      <c r="W43" s="154">
        <v>4500</v>
      </c>
      <c r="AA43" s="141" t="s">
        <v>128</v>
      </c>
      <c r="AH43" s="154" t="s">
        <v>159</v>
      </c>
      <c r="AI43" s="148"/>
      <c r="AJ43" s="148"/>
    </row>
    <row r="44" spans="1:50" x14ac:dyDescent="0.2">
      <c r="P44" s="153"/>
      <c r="V44" s="154">
        <v>4500</v>
      </c>
      <c r="W44" s="154">
        <v>5000</v>
      </c>
      <c r="AA44" s="141" t="s">
        <v>129</v>
      </c>
      <c r="AC44" s="141" t="s">
        <v>130</v>
      </c>
      <c r="AE44" s="141" t="s">
        <v>131</v>
      </c>
      <c r="AH44" s="154" t="s">
        <v>160</v>
      </c>
    </row>
    <row r="45" spans="1:50" x14ac:dyDescent="0.2">
      <c r="P45" s="153"/>
      <c r="V45" s="144">
        <f>W7-Y7</f>
        <v>6.6928104575163516E-2</v>
      </c>
      <c r="W45" s="144">
        <f>AA7-W7</f>
        <v>5.3542483660130813E-2</v>
      </c>
      <c r="AA45" s="177">
        <f t="shared" ref="AA45:AA75" si="44">-X7/AD7</f>
        <v>2.4270543044362438</v>
      </c>
      <c r="AB45" s="156">
        <f>Y7/AE7</f>
        <v>1.2386693240163216</v>
      </c>
      <c r="AC45" s="144">
        <f>-V7/AD7</f>
        <v>2.4441933837128542</v>
      </c>
      <c r="AD45" s="144">
        <f>W7/AE7</f>
        <v>1.2466118985817003</v>
      </c>
      <c r="AE45" s="144">
        <f>AC45-AA45</f>
        <v>1.7139079276610403E-2</v>
      </c>
      <c r="AF45" s="144">
        <f>AD45-AB45</f>
        <v>7.9425745653787239E-3</v>
      </c>
    </row>
    <row r="46" spans="1:50" x14ac:dyDescent="0.2">
      <c r="P46" s="153"/>
      <c r="V46" s="144">
        <f t="shared" ref="V46:V75" si="45">W8-Y8</f>
        <v>6.6928104575163516E-2</v>
      </c>
      <c r="W46" s="144">
        <f t="shared" ref="W46:W75" si="46">AA8-W8</f>
        <v>5.3542483660130813E-2</v>
      </c>
      <c r="AA46" s="177">
        <f t="shared" si="44"/>
        <v>2.2124650268628026</v>
      </c>
      <c r="AB46" s="156">
        <f t="shared" ref="AB46:AB75" si="47">Y8/AE8</f>
        <v>1.2307094751590064</v>
      </c>
      <c r="AC46" s="144">
        <f t="shared" ref="AC46:AC75" si="48">-V8/AD8</f>
        <v>2.2280887454680349</v>
      </c>
      <c r="AD46" s="144">
        <f t="shared" ref="AD46:AD75" si="49">W8/AE8</f>
        <v>1.2386010097156817</v>
      </c>
      <c r="AE46" s="144">
        <f t="shared" ref="AE46:AF75" si="50">AC46-AA46</f>
        <v>1.5623718605232373E-2</v>
      </c>
      <c r="AF46" s="144">
        <f t="shared" si="50"/>
        <v>7.8915345566752393E-3</v>
      </c>
    </row>
    <row r="47" spans="1:50" x14ac:dyDescent="0.2">
      <c r="P47" s="153"/>
      <c r="V47" s="144">
        <f t="shared" si="45"/>
        <v>6.6928104575163516E-2</v>
      </c>
      <c r="W47" s="144">
        <f t="shared" si="46"/>
        <v>5.3542483660130813E-2</v>
      </c>
      <c r="AA47" s="177">
        <f t="shared" si="44"/>
        <v>2.0316499590189778</v>
      </c>
      <c r="AB47" s="156">
        <f t="shared" si="47"/>
        <v>1.2225648092326244</v>
      </c>
      <c r="AC47" s="144">
        <f t="shared" si="48"/>
        <v>2.0459968195924318</v>
      </c>
      <c r="AD47" s="144">
        <f t="shared" si="49"/>
        <v>1.2304041186997008</v>
      </c>
      <c r="AE47" s="144">
        <f t="shared" si="50"/>
        <v>1.4346860573454023E-2</v>
      </c>
      <c r="AF47" s="144">
        <f t="shared" si="50"/>
        <v>7.8393094670763386E-3</v>
      </c>
    </row>
    <row r="48" spans="1:50" x14ac:dyDescent="0.2">
      <c r="P48" s="153"/>
      <c r="V48" s="144">
        <f t="shared" si="45"/>
        <v>6.6928104575163516E-2</v>
      </c>
      <c r="W48" s="144">
        <f t="shared" si="46"/>
        <v>5.3542483660130813E-2</v>
      </c>
      <c r="AA48" s="177">
        <f t="shared" si="44"/>
        <v>1.8772264538397687</v>
      </c>
      <c r="AB48" s="156">
        <f t="shared" si="47"/>
        <v>1.2117776814098256</v>
      </c>
      <c r="AC48" s="144">
        <f t="shared" si="48"/>
        <v>1.8904828251346759</v>
      </c>
      <c r="AD48" s="144">
        <f t="shared" si="49"/>
        <v>1.2195478218376614</v>
      </c>
      <c r="AE48" s="144">
        <f t="shared" si="50"/>
        <v>1.3256371294907199E-2</v>
      </c>
      <c r="AF48" s="144">
        <f t="shared" si="50"/>
        <v>7.7701404278358588E-3</v>
      </c>
    </row>
    <row r="49" spans="16:32" x14ac:dyDescent="0.2">
      <c r="P49" s="153"/>
      <c r="V49" s="144">
        <f t="shared" si="45"/>
        <v>6.6928104575163516E-2</v>
      </c>
      <c r="W49" s="144">
        <f t="shared" si="46"/>
        <v>5.3542483660130813E-2</v>
      </c>
      <c r="AA49" s="177">
        <f t="shared" si="44"/>
        <v>1.7438173061312845</v>
      </c>
      <c r="AB49" s="156">
        <f t="shared" si="47"/>
        <v>1.1960862956309555</v>
      </c>
      <c r="AC49" s="144">
        <f t="shared" si="48"/>
        <v>1.7561315848019676</v>
      </c>
      <c r="AD49" s="144">
        <f t="shared" si="49"/>
        <v>1.2037558200193315</v>
      </c>
      <c r="AE49" s="144">
        <f t="shared" si="50"/>
        <v>1.2314278670683132E-2</v>
      </c>
      <c r="AF49" s="144">
        <f t="shared" si="50"/>
        <v>7.6695243883759812E-3</v>
      </c>
    </row>
    <row r="50" spans="16:32" x14ac:dyDescent="0.2">
      <c r="P50" s="153"/>
      <c r="V50" s="144">
        <f t="shared" si="45"/>
        <v>6.6928104575163516E-2</v>
      </c>
      <c r="W50" s="144">
        <f t="shared" si="46"/>
        <v>5.3542483660130813E-2</v>
      </c>
      <c r="AA50" s="177">
        <f t="shared" si="44"/>
        <v>1.6422173807794729</v>
      </c>
      <c r="AB50" s="156">
        <f t="shared" si="47"/>
        <v>1.1758741687403294</v>
      </c>
      <c r="AC50" s="144">
        <f t="shared" si="48"/>
        <v>1.6538141933547665</v>
      </c>
      <c r="AD50" s="144">
        <f t="shared" si="49"/>
        <v>1.1834140892692724</v>
      </c>
      <c r="AE50" s="144">
        <f t="shared" si="50"/>
        <v>1.1596812575293658E-2</v>
      </c>
      <c r="AF50" s="144">
        <f t="shared" si="50"/>
        <v>7.5399205289430338E-3</v>
      </c>
    </row>
    <row r="51" spans="16:32" x14ac:dyDescent="0.2">
      <c r="P51" s="153"/>
      <c r="V51" s="144">
        <f t="shared" si="45"/>
        <v>7.6830732292915371E-2</v>
      </c>
      <c r="W51" s="144">
        <f t="shared" si="46"/>
        <v>6.1464585834333008E-2</v>
      </c>
      <c r="AA51" s="177">
        <f t="shared" si="44"/>
        <v>1.6496978228255812</v>
      </c>
      <c r="AB51" s="156">
        <f t="shared" si="47"/>
        <v>1.2335487443025062</v>
      </c>
      <c r="AC51" s="144">
        <f t="shared" si="48"/>
        <v>1.6622364980263837</v>
      </c>
      <c r="AD51" s="144">
        <f t="shared" si="49"/>
        <v>1.2420585446340027</v>
      </c>
      <c r="AE51" s="144">
        <f t="shared" si="50"/>
        <v>1.253867520080254E-2</v>
      </c>
      <c r="AF51" s="144">
        <f t="shared" si="50"/>
        <v>8.5098003314965087E-3</v>
      </c>
    </row>
    <row r="52" spans="16:32" x14ac:dyDescent="0.2">
      <c r="P52" s="153"/>
      <c r="V52" s="144">
        <f t="shared" si="45"/>
        <v>7.6830732292915371E-2</v>
      </c>
      <c r="W52" s="144">
        <f t="shared" si="46"/>
        <v>6.1464585834333008E-2</v>
      </c>
      <c r="AA52" s="178">
        <f t="shared" si="44"/>
        <v>1.5669092670976552</v>
      </c>
      <c r="AB52" s="156">
        <f t="shared" si="47"/>
        <v>1.2082554746878413</v>
      </c>
      <c r="AC52" s="144">
        <f t="shared" si="48"/>
        <v>1.5788187005086867</v>
      </c>
      <c r="AD52" s="144">
        <f t="shared" si="49"/>
        <v>1.2165907860296277</v>
      </c>
      <c r="AE52" s="144">
        <f t="shared" si="50"/>
        <v>1.1909433411031456E-2</v>
      </c>
      <c r="AF52" s="144">
        <f t="shared" si="50"/>
        <v>8.3353113417863334E-3</v>
      </c>
    </row>
    <row r="53" spans="16:32" x14ac:dyDescent="0.2">
      <c r="P53" s="153"/>
      <c r="V53" s="144">
        <f t="shared" si="45"/>
        <v>8.9105464671076717E-2</v>
      </c>
      <c r="W53" s="144">
        <f t="shared" si="46"/>
        <v>7.1284371736860308E-2</v>
      </c>
      <c r="AA53" s="178">
        <f t="shared" si="44"/>
        <v>1.6018964569126557</v>
      </c>
      <c r="AB53" s="156">
        <f t="shared" si="47"/>
        <v>1.2663390999811011</v>
      </c>
      <c r="AC53" s="144">
        <f t="shared" si="48"/>
        <v>1.6150777386687325</v>
      </c>
      <c r="AD53" s="144">
        <f t="shared" si="49"/>
        <v>1.2757922577013512</v>
      </c>
      <c r="AE53" s="144">
        <f t="shared" si="50"/>
        <v>1.3181281756076801E-2</v>
      </c>
      <c r="AF53" s="144">
        <f t="shared" si="50"/>
        <v>9.4531577202501271E-3</v>
      </c>
    </row>
    <row r="54" spans="16:32" x14ac:dyDescent="0.2">
      <c r="P54" s="153"/>
      <c r="V54" s="144">
        <f t="shared" si="45"/>
        <v>8.9105464671076717E-2</v>
      </c>
      <c r="W54" s="144">
        <f t="shared" si="46"/>
        <v>7.1284371736860308E-2</v>
      </c>
      <c r="AA54" s="178">
        <f t="shared" si="44"/>
        <v>1.5351862553577249</v>
      </c>
      <c r="AB54" s="156">
        <f t="shared" si="47"/>
        <v>1.2364317750592357</v>
      </c>
      <c r="AC54" s="144">
        <f t="shared" si="48"/>
        <v>1.5478186090236585</v>
      </c>
      <c r="AD54" s="144">
        <f t="shared" si="49"/>
        <v>1.2456616761024382</v>
      </c>
      <c r="AE54" s="144">
        <f t="shared" si="50"/>
        <v>1.2632353665933627E-2</v>
      </c>
      <c r="AF54" s="144">
        <f t="shared" si="50"/>
        <v>9.2299010432024264E-3</v>
      </c>
    </row>
    <row r="55" spans="16:32" x14ac:dyDescent="0.2">
      <c r="P55" s="153"/>
      <c r="V55" s="144">
        <f t="shared" si="45"/>
        <v>8.9105464671076717E-2</v>
      </c>
      <c r="W55" s="144">
        <f t="shared" si="46"/>
        <v>7.1284371736860308E-2</v>
      </c>
      <c r="AA55" s="178">
        <f t="shared" si="44"/>
        <v>1.4095437746475172</v>
      </c>
      <c r="AB55" s="156">
        <f t="shared" si="47"/>
        <v>1.2055256634269413</v>
      </c>
      <c r="AC55" s="144">
        <f t="shared" si="48"/>
        <v>1.4211422731403358</v>
      </c>
      <c r="AD55" s="144">
        <f t="shared" si="49"/>
        <v>1.2145248519005136</v>
      </c>
      <c r="AE55" s="144">
        <f t="shared" si="50"/>
        <v>1.1598498492818576E-2</v>
      </c>
      <c r="AF55" s="144">
        <f t="shared" si="50"/>
        <v>8.9991884735722838E-3</v>
      </c>
    </row>
    <row r="56" spans="16:32" x14ac:dyDescent="0.2">
      <c r="P56" s="153"/>
      <c r="V56" s="144">
        <f t="shared" si="45"/>
        <v>0.10457516339869244</v>
      </c>
      <c r="W56" s="144">
        <f t="shared" si="46"/>
        <v>8.3660130718957504E-2</v>
      </c>
      <c r="AA56" s="178">
        <f t="shared" si="44"/>
        <v>1.4639866305963605</v>
      </c>
      <c r="AB56" s="156">
        <f t="shared" si="47"/>
        <v>1.2667543620738615</v>
      </c>
      <c r="AC56" s="144">
        <f t="shared" si="48"/>
        <v>1.4771180276641607</v>
      </c>
      <c r="AD56" s="144">
        <f t="shared" si="49"/>
        <v>1.2770563188661668</v>
      </c>
      <c r="AE56" s="144">
        <f t="shared" si="50"/>
        <v>1.3131397067800199E-2</v>
      </c>
      <c r="AF56" s="144">
        <f t="shared" si="50"/>
        <v>1.0301956792305278E-2</v>
      </c>
    </row>
    <row r="57" spans="16:32" x14ac:dyDescent="0.2">
      <c r="P57" s="153"/>
      <c r="V57" s="144">
        <f t="shared" si="45"/>
        <v>0.10457516339869244</v>
      </c>
      <c r="W57" s="144">
        <f t="shared" si="46"/>
        <v>8.3660130718957504E-2</v>
      </c>
      <c r="AA57" s="178">
        <f t="shared" si="44"/>
        <v>1.4166249731970555</v>
      </c>
      <c r="AB57" s="156">
        <f t="shared" si="47"/>
        <v>1.2340521621316474</v>
      </c>
      <c r="AC57" s="144">
        <f t="shared" si="48"/>
        <v>1.4293315544119636</v>
      </c>
      <c r="AD57" s="144">
        <f t="shared" si="49"/>
        <v>1.244088166296589</v>
      </c>
      <c r="AE57" s="144">
        <f t="shared" si="50"/>
        <v>1.2706581214908086E-2</v>
      </c>
      <c r="AF57" s="144">
        <f t="shared" si="50"/>
        <v>1.0036004164941659E-2</v>
      </c>
    </row>
    <row r="58" spans="16:32" x14ac:dyDescent="0.2">
      <c r="P58" s="153"/>
      <c r="V58" s="144">
        <f t="shared" si="45"/>
        <v>0.10457516339869244</v>
      </c>
      <c r="W58" s="144">
        <f t="shared" si="46"/>
        <v>8.3660130718957504E-2</v>
      </c>
      <c r="AA58" s="178">
        <f t="shared" si="44"/>
        <v>1.374658632797261</v>
      </c>
      <c r="AB58" s="156">
        <f t="shared" si="47"/>
        <v>1.2027708848014</v>
      </c>
      <c r="AC58" s="144">
        <f t="shared" si="48"/>
        <v>1.3869887920778732</v>
      </c>
      <c r="AD58" s="144">
        <f t="shared" si="49"/>
        <v>1.2125524920784267</v>
      </c>
      <c r="AE58" s="144">
        <f t="shared" si="50"/>
        <v>1.2330159280612207E-2</v>
      </c>
      <c r="AF58" s="144">
        <f t="shared" si="50"/>
        <v>9.7816072770267048E-3</v>
      </c>
    </row>
    <row r="59" spans="16:32" x14ac:dyDescent="0.2">
      <c r="P59" s="153"/>
      <c r="V59" s="144">
        <f t="shared" si="45"/>
        <v>0.10457516339869244</v>
      </c>
      <c r="W59" s="144">
        <f t="shared" si="46"/>
        <v>8.3660130718957504E-2</v>
      </c>
      <c r="AA59" s="178">
        <f t="shared" si="44"/>
        <v>1.3347250749183479</v>
      </c>
      <c r="AB59" s="156">
        <f t="shared" si="47"/>
        <v>1.170953287748647</v>
      </c>
      <c r="AC59" s="144">
        <f t="shared" si="48"/>
        <v>1.346697045542125</v>
      </c>
      <c r="AD59" s="144">
        <f t="shared" si="49"/>
        <v>1.1804761364850394</v>
      </c>
      <c r="AE59" s="144">
        <f t="shared" si="50"/>
        <v>1.1971970623777084E-2</v>
      </c>
      <c r="AF59" s="144">
        <f t="shared" si="50"/>
        <v>9.5228487363923087E-3</v>
      </c>
    </row>
    <row r="60" spans="16:32" x14ac:dyDescent="0.2">
      <c r="P60" s="153"/>
      <c r="V60" s="144">
        <f t="shared" si="45"/>
        <v>0.12445308701993163</v>
      </c>
      <c r="W60" s="144">
        <f t="shared" si="46"/>
        <v>9.9562469615944948E-2</v>
      </c>
      <c r="AA60" s="178">
        <f t="shared" si="44"/>
        <v>1.4096722135129278</v>
      </c>
      <c r="AB60" s="156">
        <f t="shared" si="47"/>
        <v>1.2340670124754078</v>
      </c>
      <c r="AC60" s="144">
        <f t="shared" si="48"/>
        <v>1.4235678826847276</v>
      </c>
      <c r="AD60" s="144">
        <f t="shared" si="49"/>
        <v>1.245088850762609</v>
      </c>
      <c r="AE60" s="144">
        <f t="shared" si="50"/>
        <v>1.389566917179974E-2</v>
      </c>
      <c r="AF60" s="144">
        <f t="shared" si="50"/>
        <v>1.1021838287201158E-2</v>
      </c>
    </row>
    <row r="61" spans="16:32" x14ac:dyDescent="0.2">
      <c r="P61" s="153"/>
      <c r="V61" s="144">
        <f t="shared" si="45"/>
        <v>0.12445308701993163</v>
      </c>
      <c r="W61" s="144">
        <f t="shared" si="46"/>
        <v>9.9562469615944948E-2</v>
      </c>
      <c r="AA61" s="178">
        <f t="shared" si="44"/>
        <v>1.3753133727968585</v>
      </c>
      <c r="AB61" s="156">
        <f t="shared" si="47"/>
        <v>1.1972735035757245</v>
      </c>
      <c r="AC61" s="144">
        <f t="shared" si="48"/>
        <v>1.3888703539537137</v>
      </c>
      <c r="AD61" s="144">
        <f t="shared" si="49"/>
        <v>1.207966727532414</v>
      </c>
      <c r="AE61" s="144">
        <f t="shared" si="50"/>
        <v>1.3556981156855219E-2</v>
      </c>
      <c r="AF61" s="144">
        <f t="shared" si="50"/>
        <v>1.0693223956689479E-2</v>
      </c>
    </row>
    <row r="62" spans="16:32" x14ac:dyDescent="0.2">
      <c r="P62" s="153"/>
      <c r="V62" s="144">
        <f t="shared" si="45"/>
        <v>0.12445308701993163</v>
      </c>
      <c r="W62" s="144">
        <f t="shared" si="46"/>
        <v>9.9562469615944948E-2</v>
      </c>
      <c r="AA62" s="178">
        <f t="shared" si="44"/>
        <v>1.342232745491047</v>
      </c>
      <c r="AB62" s="156">
        <f t="shared" si="47"/>
        <v>1.1641159291032641</v>
      </c>
      <c r="AC62" s="144">
        <f t="shared" si="48"/>
        <v>1.3554636384632655</v>
      </c>
      <c r="AD62" s="144">
        <f t="shared" si="49"/>
        <v>1.1745130123964915</v>
      </c>
      <c r="AE62" s="144">
        <f t="shared" si="50"/>
        <v>1.3230892972218466E-2</v>
      </c>
      <c r="AF62" s="144">
        <f t="shared" si="50"/>
        <v>1.0397083293227416E-2</v>
      </c>
    </row>
    <row r="63" spans="16:32" x14ac:dyDescent="0.2">
      <c r="P63" s="153"/>
      <c r="V63" s="144">
        <f t="shared" si="45"/>
        <v>0.12445308701993163</v>
      </c>
      <c r="W63" s="144">
        <f t="shared" si="46"/>
        <v>9.9562469615946725E-2</v>
      </c>
      <c r="AA63" s="178">
        <f t="shared" si="44"/>
        <v>1.3787809090749392</v>
      </c>
      <c r="AB63" s="156">
        <f t="shared" si="47"/>
        <v>1.1833267093575741</v>
      </c>
      <c r="AC63" s="144">
        <f t="shared" si="48"/>
        <v>1.3917021850927447</v>
      </c>
      <c r="AD63" s="144">
        <f t="shared" si="49"/>
        <v>1.1934212003736335</v>
      </c>
      <c r="AE63" s="144">
        <f t="shared" si="50"/>
        <v>1.2921276017805461E-2</v>
      </c>
      <c r="AF63" s="144">
        <f t="shared" si="50"/>
        <v>1.0094491016059415E-2</v>
      </c>
    </row>
    <row r="64" spans="16:32" x14ac:dyDescent="0.2">
      <c r="P64" s="153"/>
      <c r="V64" s="144">
        <f t="shared" si="45"/>
        <v>0.12445308701993163</v>
      </c>
      <c r="W64" s="144">
        <f t="shared" si="46"/>
        <v>9.9562469615946725E-2</v>
      </c>
      <c r="AA64" s="178">
        <f t="shared" si="44"/>
        <v>1.3414506131608781</v>
      </c>
      <c r="AB64" s="156">
        <f t="shared" si="47"/>
        <v>1.1518486172660529</v>
      </c>
      <c r="AC64" s="144">
        <f t="shared" si="48"/>
        <v>1.3540220474785574</v>
      </c>
      <c r="AD64" s="144">
        <f t="shared" si="49"/>
        <v>1.1616745811582776</v>
      </c>
      <c r="AE64" s="144">
        <f t="shared" si="50"/>
        <v>1.2571434317679264E-2</v>
      </c>
      <c r="AF64" s="144">
        <f t="shared" si="50"/>
        <v>9.8259638922246761E-3</v>
      </c>
    </row>
    <row r="65" spans="16:32" x14ac:dyDescent="0.2">
      <c r="P65" s="153"/>
      <c r="V65" s="144">
        <f t="shared" si="45"/>
        <v>0.12445308701993341</v>
      </c>
      <c r="W65" s="144">
        <f t="shared" si="46"/>
        <v>9.9562469615943172E-2</v>
      </c>
      <c r="AA65" s="156">
        <f t="shared" si="44"/>
        <v>1.3267121114374654</v>
      </c>
      <c r="AB65" s="156">
        <f t="shared" si="47"/>
        <v>1.16962082654872</v>
      </c>
      <c r="AC65" s="144">
        <f t="shared" si="48"/>
        <v>1.3385613920665644</v>
      </c>
      <c r="AD65" s="144">
        <f t="shared" si="49"/>
        <v>1.1791699696663522</v>
      </c>
      <c r="AE65" s="144">
        <f t="shared" si="50"/>
        <v>1.1849280629099068E-2</v>
      </c>
      <c r="AF65" s="144">
        <f t="shared" si="50"/>
        <v>9.5491431176322195E-3</v>
      </c>
    </row>
    <row r="66" spans="16:32" x14ac:dyDescent="0.2">
      <c r="P66" s="153"/>
      <c r="V66" s="144">
        <f t="shared" si="45"/>
        <v>0.12445308701993341</v>
      </c>
      <c r="W66" s="144">
        <f t="shared" si="46"/>
        <v>9.9562469615943172E-2</v>
      </c>
      <c r="AA66" s="156">
        <f t="shared" si="44"/>
        <v>1.2521967703176418</v>
      </c>
      <c r="AB66" s="156">
        <f t="shared" si="47"/>
        <v>1.1396700325857279</v>
      </c>
      <c r="AC66" s="144">
        <f t="shared" si="48"/>
        <v>1.2633805311399264</v>
      </c>
      <c r="AD66" s="144">
        <f t="shared" si="49"/>
        <v>1.1489746482363832</v>
      </c>
      <c r="AE66" s="144">
        <f t="shared" si="50"/>
        <v>1.1183760822284672E-2</v>
      </c>
      <c r="AF66" s="144">
        <f t="shared" si="50"/>
        <v>9.3046156506553235E-3</v>
      </c>
    </row>
    <row r="67" spans="16:32" x14ac:dyDescent="0.2">
      <c r="P67" s="153"/>
      <c r="V67" s="144">
        <f t="shared" si="45"/>
        <v>0.15058823529411924</v>
      </c>
      <c r="W67" s="144">
        <f t="shared" si="46"/>
        <v>0.12047058823529255</v>
      </c>
      <c r="AA67" s="156">
        <f t="shared" si="44"/>
        <v>1.2895589404593009</v>
      </c>
      <c r="AB67" s="156">
        <f t="shared" si="47"/>
        <v>1.2131709826787862</v>
      </c>
      <c r="AC67" s="144">
        <f t="shared" si="48"/>
        <v>1.3023308024508506</v>
      </c>
      <c r="AD67" s="144">
        <f t="shared" si="49"/>
        <v>1.2241468015777743</v>
      </c>
      <c r="AE67" s="144">
        <f t="shared" si="50"/>
        <v>1.2771861991549782E-2</v>
      </c>
      <c r="AF67" s="144">
        <f t="shared" si="50"/>
        <v>1.0975818898988132E-2</v>
      </c>
    </row>
    <row r="68" spans="16:32" x14ac:dyDescent="0.2">
      <c r="P68" s="153"/>
      <c r="V68" s="144">
        <f t="shared" si="45"/>
        <v>0.15058823529411924</v>
      </c>
      <c r="W68" s="144">
        <f t="shared" si="46"/>
        <v>0.12047058823529255</v>
      </c>
      <c r="AA68" s="156">
        <f t="shared" si="44"/>
        <v>1.2206898927639946</v>
      </c>
      <c r="AB68" s="156">
        <f t="shared" si="47"/>
        <v>1.1847470645446414</v>
      </c>
      <c r="AC68" s="144">
        <f t="shared" si="48"/>
        <v>1.2327796719557147</v>
      </c>
      <c r="AD68" s="144">
        <f t="shared" si="49"/>
        <v>1.195465726140748</v>
      </c>
      <c r="AE68" s="144">
        <f t="shared" si="50"/>
        <v>1.2089779191720051E-2</v>
      </c>
      <c r="AF68" s="144">
        <f t="shared" si="50"/>
        <v>1.0718661596106571E-2</v>
      </c>
    </row>
    <row r="69" spans="16:32" x14ac:dyDescent="0.2">
      <c r="P69" s="153"/>
      <c r="V69" s="144">
        <f t="shared" si="45"/>
        <v>0.15058823529411569</v>
      </c>
      <c r="W69" s="144">
        <f t="shared" si="46"/>
        <v>0.12047058823529255</v>
      </c>
      <c r="AA69" s="156">
        <f t="shared" si="44"/>
        <v>1.2110779993085232</v>
      </c>
      <c r="AB69" s="156">
        <f t="shared" si="47"/>
        <v>1.204639284408763</v>
      </c>
      <c r="AC69" s="144">
        <f t="shared" si="48"/>
        <v>1.2225302735336627</v>
      </c>
      <c r="AD69" s="144">
        <f t="shared" si="49"/>
        <v>1.215086020750519</v>
      </c>
      <c r="AE69" s="144">
        <f t="shared" si="50"/>
        <v>1.1452274225139503E-2</v>
      </c>
      <c r="AF69" s="144">
        <f t="shared" si="50"/>
        <v>1.0446736341755969E-2</v>
      </c>
    </row>
    <row r="70" spans="16:32" x14ac:dyDescent="0.2">
      <c r="P70" s="153"/>
      <c r="V70" s="144">
        <f t="shared" si="45"/>
        <v>0.15058823529411569</v>
      </c>
      <c r="W70" s="144">
        <f t="shared" si="46"/>
        <v>0.12047058823529255</v>
      </c>
      <c r="AA70" s="156">
        <f t="shared" si="44"/>
        <v>1.1536152003048654</v>
      </c>
      <c r="AB70" s="156">
        <f t="shared" si="47"/>
        <v>1.1758858444435565</v>
      </c>
      <c r="AC70" s="144">
        <f t="shared" si="48"/>
        <v>1.1645240910878898</v>
      </c>
      <c r="AD70" s="144">
        <f t="shared" si="49"/>
        <v>1.186083228460411</v>
      </c>
      <c r="AE70" s="144">
        <f t="shared" si="50"/>
        <v>1.0908890783024372E-2</v>
      </c>
      <c r="AF70" s="144">
        <f t="shared" si="50"/>
        <v>1.0197384016854549E-2</v>
      </c>
    </row>
    <row r="71" spans="16:32" x14ac:dyDescent="0.2">
      <c r="P71" s="153"/>
      <c r="V71" s="144">
        <f t="shared" si="45"/>
        <v>0.15058823529411569</v>
      </c>
      <c r="W71" s="144">
        <f t="shared" si="46"/>
        <v>0.12047058823529611</v>
      </c>
      <c r="AA71" s="156">
        <f t="shared" si="44"/>
        <v>1.1485791047275229</v>
      </c>
      <c r="AB71" s="156">
        <f t="shared" si="47"/>
        <v>1.1943209154751073</v>
      </c>
      <c r="AC71" s="144">
        <f t="shared" si="48"/>
        <v>1.1589705470094798</v>
      </c>
      <c r="AD71" s="144">
        <f t="shared" si="49"/>
        <v>1.2042658203138279</v>
      </c>
      <c r="AE71" s="144">
        <f t="shared" si="50"/>
        <v>1.0391442281956875E-2</v>
      </c>
      <c r="AF71" s="144">
        <f t="shared" si="50"/>
        <v>9.9449048387205696E-3</v>
      </c>
    </row>
    <row r="72" spans="16:32" x14ac:dyDescent="0.2">
      <c r="P72" s="153"/>
      <c r="V72" s="144">
        <f t="shared" si="45"/>
        <v>0.15058823529411569</v>
      </c>
      <c r="W72" s="144">
        <f t="shared" si="46"/>
        <v>0.12047058823529611</v>
      </c>
      <c r="AA72" s="156">
        <f t="shared" si="44"/>
        <v>1.100912863411077</v>
      </c>
      <c r="AB72" s="156">
        <f t="shared" si="47"/>
        <v>1.1680209667437884</v>
      </c>
      <c r="AC72" s="144">
        <f t="shared" si="48"/>
        <v>1.1108730589522573</v>
      </c>
      <c r="AD72" s="144">
        <f t="shared" si="49"/>
        <v>1.1777468764330419</v>
      </c>
      <c r="AE72" s="144">
        <f t="shared" si="50"/>
        <v>9.9601955411803278E-3</v>
      </c>
      <c r="AF72" s="144">
        <f t="shared" si="50"/>
        <v>9.7259096892534647E-3</v>
      </c>
    </row>
    <row r="73" spans="16:32" x14ac:dyDescent="0.2">
      <c r="P73" s="153"/>
      <c r="V73" s="144">
        <f t="shared" si="45"/>
        <v>0.15058823529411924</v>
      </c>
      <c r="W73" s="144">
        <f t="shared" si="46"/>
        <v>0.12047058823529255</v>
      </c>
      <c r="AA73" s="156">
        <f t="shared" si="44"/>
        <v>1.0989763191596436</v>
      </c>
      <c r="AB73" s="156">
        <f t="shared" si="47"/>
        <v>1.1850977928454909</v>
      </c>
      <c r="AC73" s="144">
        <f t="shared" si="48"/>
        <v>1.1085067371035753</v>
      </c>
      <c r="AD73" s="144">
        <f t="shared" si="49"/>
        <v>1.1945880654608703</v>
      </c>
      <c r="AE73" s="144">
        <f t="shared" si="50"/>
        <v>9.5304179439317238E-3</v>
      </c>
      <c r="AF73" s="144">
        <f t="shared" si="50"/>
        <v>9.4902726153793804E-3</v>
      </c>
    </row>
    <row r="74" spans="16:32" x14ac:dyDescent="0.2">
      <c r="P74" s="153"/>
      <c r="V74" s="144">
        <f>W36-Y36</f>
        <v>0.15058823529411924</v>
      </c>
      <c r="W74" s="144">
        <f t="shared" si="46"/>
        <v>0.12047058823529255</v>
      </c>
      <c r="AA74" s="156">
        <f t="shared" si="44"/>
        <v>1.0576366985009864</v>
      </c>
      <c r="AB74" s="156">
        <f t="shared" si="47"/>
        <v>1.1597303438985822</v>
      </c>
      <c r="AC74" s="144">
        <f t="shared" si="48"/>
        <v>1.0668086156695586</v>
      </c>
      <c r="AD74" s="144">
        <f t="shared" si="49"/>
        <v>1.1690174737796519</v>
      </c>
      <c r="AE74" s="144">
        <f t="shared" si="50"/>
        <v>9.1719171685722412E-3</v>
      </c>
      <c r="AF74" s="144">
        <f t="shared" si="50"/>
        <v>9.2871298810697223E-3</v>
      </c>
    </row>
    <row r="75" spans="16:32" x14ac:dyDescent="0.2">
      <c r="P75" s="153"/>
      <c r="V75" s="144">
        <f t="shared" si="45"/>
        <v>0.15058823529411569</v>
      </c>
      <c r="W75" s="144">
        <f t="shared" si="46"/>
        <v>0.12047058823529611</v>
      </c>
      <c r="AA75" s="156">
        <f t="shared" si="44"/>
        <v>1.0589785321243124</v>
      </c>
      <c r="AB75" s="156">
        <f t="shared" si="47"/>
        <v>1.1767896743725972</v>
      </c>
      <c r="AC75" s="144">
        <f t="shared" si="48"/>
        <v>1.0677964642159017</v>
      </c>
      <c r="AD75" s="144">
        <f t="shared" si="49"/>
        <v>1.185865902278098</v>
      </c>
      <c r="AE75" s="144">
        <f t="shared" si="50"/>
        <v>8.81793209158932E-3</v>
      </c>
      <c r="AF75" s="144">
        <f t="shared" si="50"/>
        <v>9.0762279055007777E-3</v>
      </c>
    </row>
    <row r="76" spans="16:32" x14ac:dyDescent="0.2">
      <c r="P76" s="153"/>
      <c r="V76" s="144"/>
    </row>
    <row r="77" spans="16:32" x14ac:dyDescent="0.2">
      <c r="P77" s="153"/>
      <c r="V77" s="144"/>
      <c r="AA77" s="141" t="s">
        <v>132</v>
      </c>
    </row>
    <row r="78" spans="16:32" x14ac:dyDescent="0.2">
      <c r="P78" s="153"/>
      <c r="V78" s="144"/>
    </row>
    <row r="79" spans="16:32" x14ac:dyDescent="0.2">
      <c r="P79" s="153"/>
    </row>
    <row r="80" spans="16:32" x14ac:dyDescent="0.2">
      <c r="P80" s="153"/>
    </row>
    <row r="81" spans="16:16" x14ac:dyDescent="0.2">
      <c r="P81" s="153"/>
    </row>
    <row r="82" spans="16:16" x14ac:dyDescent="0.2">
      <c r="P82" s="153"/>
    </row>
    <row r="83" spans="16:16" x14ac:dyDescent="0.2">
      <c r="P83" s="153"/>
    </row>
    <row r="84" spans="16:16" x14ac:dyDescent="0.2">
      <c r="P84" s="153"/>
    </row>
    <row r="85" spans="16:16" x14ac:dyDescent="0.2">
      <c r="P85" s="153"/>
    </row>
    <row r="86" spans="16:16" x14ac:dyDescent="0.2">
      <c r="P86" s="153"/>
    </row>
    <row r="87" spans="16:16" x14ac:dyDescent="0.2">
      <c r="P87" s="153"/>
    </row>
    <row r="88" spans="16:16" x14ac:dyDescent="0.2">
      <c r="P88" s="153"/>
    </row>
    <row r="89" spans="16:16" x14ac:dyDescent="0.2">
      <c r="P89" s="153"/>
    </row>
    <row r="90" spans="16:16" x14ac:dyDescent="0.2">
      <c r="P90" s="153"/>
    </row>
    <row r="91" spans="16:16" x14ac:dyDescent="0.2">
      <c r="P91" s="153"/>
    </row>
    <row r="92" spans="16:16" x14ac:dyDescent="0.2">
      <c r="P92" s="153"/>
    </row>
    <row r="93" spans="16:16" x14ac:dyDescent="0.2">
      <c r="P93" s="153"/>
    </row>
    <row r="94" spans="16:16" x14ac:dyDescent="0.2">
      <c r="P94" s="153"/>
    </row>
    <row r="95" spans="16:16" x14ac:dyDescent="0.2">
      <c r="P95" s="153"/>
    </row>
    <row r="96" spans="16:16" x14ac:dyDescent="0.2">
      <c r="P96" s="153"/>
    </row>
    <row r="97" spans="16:16" x14ac:dyDescent="0.2">
      <c r="P97" s="153"/>
    </row>
    <row r="98" spans="16:16" x14ac:dyDescent="0.2">
      <c r="P98" s="153"/>
    </row>
  </sheetData>
  <mergeCells count="7">
    <mergeCell ref="AN1:AU1"/>
    <mergeCell ref="AN2:AU2"/>
    <mergeCell ref="AN3:AU3"/>
    <mergeCell ref="AN4:AU4"/>
    <mergeCell ref="AP5:AQ5"/>
    <mergeCell ref="AR5:AS5"/>
    <mergeCell ref="AT5:AU5"/>
  </mergeCells>
  <pageMargins left="1"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U46"/>
  <sheetViews>
    <sheetView zoomScaleNormal="100" workbookViewId="0">
      <selection activeCell="T24" sqref="T24"/>
    </sheetView>
  </sheetViews>
  <sheetFormatPr defaultRowHeight="12.75" x14ac:dyDescent="0.2"/>
  <cols>
    <col min="1" max="1" width="7.7109375" style="154" customWidth="1"/>
    <col min="2" max="2" width="5.7109375" style="154" customWidth="1"/>
    <col min="3" max="3" width="7.7109375" style="154" customWidth="1"/>
    <col min="4" max="9" width="6.7109375" style="154" customWidth="1"/>
    <col min="10" max="11" width="7.7109375" style="154" customWidth="1"/>
    <col min="12" max="12" width="9.7109375" style="154" customWidth="1"/>
    <col min="13" max="13" width="7.7109375" style="154" customWidth="1"/>
    <col min="14" max="14" width="6.85546875" style="154" customWidth="1"/>
    <col min="15" max="15" width="8.5703125" style="154" customWidth="1"/>
    <col min="16" max="20" width="6.7109375" style="154" customWidth="1"/>
    <col min="21" max="27" width="4.7109375" style="154" customWidth="1"/>
    <col min="28" max="29" width="6.7109375" style="154" customWidth="1"/>
    <col min="30" max="30" width="7.7109375" style="154" customWidth="1"/>
    <col min="31" max="31" width="1.7109375" style="154" customWidth="1"/>
    <col min="32" max="32" width="8.7109375" style="154" customWidth="1"/>
    <col min="33" max="33" width="6.7109375" style="154" customWidth="1"/>
    <col min="34" max="34" width="9.7109375" style="154" customWidth="1"/>
    <col min="35" max="35" width="4.7109375" style="154" customWidth="1"/>
    <col min="36" max="47" width="6.7109375" style="154" customWidth="1"/>
    <col min="48" max="49" width="7.7109375" style="154" customWidth="1"/>
    <col min="50" max="55" width="6.7109375" style="154" customWidth="1"/>
    <col min="56" max="56" width="1.7109375" style="154" customWidth="1"/>
    <col min="57" max="57" width="9.28515625" style="154" customWidth="1"/>
    <col min="58" max="58" width="6.7109375" style="154" customWidth="1"/>
    <col min="59" max="59" width="11.7109375" style="154" customWidth="1"/>
    <col min="60" max="60" width="6.7109375" style="154" customWidth="1"/>
    <col min="61" max="61" width="10.28515625" style="154" customWidth="1"/>
    <col min="62" max="63" width="7.28515625" style="154" customWidth="1"/>
    <col min="64" max="64" width="6.7109375" style="154" customWidth="1"/>
    <col min="65" max="65" width="7.28515625" style="154" customWidth="1"/>
    <col min="66" max="66" width="8.28515625" style="154" customWidth="1"/>
    <col min="67" max="67" width="1.7109375" style="154" customWidth="1"/>
    <col min="68" max="68" width="6.7109375" style="154" customWidth="1"/>
    <col min="69" max="69" width="10.28515625" style="154" customWidth="1"/>
    <col min="70" max="72" width="7.28515625" style="154" customWidth="1"/>
    <col min="73" max="73" width="8.28515625" style="154" customWidth="1"/>
    <col min="74" max="16384" width="9.140625" style="154"/>
  </cols>
  <sheetData>
    <row r="1" spans="1:73" ht="18" x14ac:dyDescent="0.25">
      <c r="A1" s="29" t="s">
        <v>36</v>
      </c>
      <c r="Q1" s="154" t="s">
        <v>99</v>
      </c>
      <c r="AF1" s="29" t="s">
        <v>36</v>
      </c>
      <c r="BE1" s="29" t="s">
        <v>36</v>
      </c>
      <c r="BF1" s="123"/>
      <c r="BG1" s="123"/>
    </row>
    <row r="2" spans="1:73" ht="15.75" x14ac:dyDescent="0.25">
      <c r="L2" s="140" t="s">
        <v>113</v>
      </c>
      <c r="M2" s="140"/>
      <c r="N2" s="140"/>
      <c r="O2" s="140"/>
      <c r="Q2" s="154" t="s">
        <v>98</v>
      </c>
      <c r="AF2" s="123" t="s">
        <v>184</v>
      </c>
      <c r="AV2" s="141" t="s">
        <v>123</v>
      </c>
      <c r="BE2" s="123" t="s">
        <v>155</v>
      </c>
      <c r="BF2" s="123"/>
      <c r="BG2" s="123"/>
    </row>
    <row r="3" spans="1:73" x14ac:dyDescent="0.2">
      <c r="D3" s="140" t="s">
        <v>113</v>
      </c>
      <c r="E3" s="140" t="s">
        <v>113</v>
      </c>
      <c r="F3" s="140" t="s">
        <v>113</v>
      </c>
      <c r="G3" s="140" t="s">
        <v>113</v>
      </c>
      <c r="H3" s="140" t="s">
        <v>113</v>
      </c>
      <c r="I3" s="140" t="s">
        <v>113</v>
      </c>
      <c r="J3" s="140" t="s">
        <v>113</v>
      </c>
      <c r="K3" s="140" t="s">
        <v>113</v>
      </c>
      <c r="L3" s="154" t="s">
        <v>103</v>
      </c>
      <c r="N3" s="140"/>
      <c r="O3" s="140"/>
      <c r="P3" s="140" t="s">
        <v>113</v>
      </c>
      <c r="Q3" s="140" t="s">
        <v>113</v>
      </c>
      <c r="R3" s="154" t="s">
        <v>104</v>
      </c>
      <c r="U3" s="140" t="s">
        <v>113</v>
      </c>
      <c r="V3" s="140" t="s">
        <v>113</v>
      </c>
      <c r="W3" s="140" t="s">
        <v>113</v>
      </c>
      <c r="X3" s="140" t="s">
        <v>113</v>
      </c>
      <c r="Y3" s="140" t="s">
        <v>113</v>
      </c>
      <c r="Z3" s="140" t="s">
        <v>113</v>
      </c>
      <c r="AA3" s="140" t="s">
        <v>113</v>
      </c>
      <c r="AB3" s="140" t="s">
        <v>113</v>
      </c>
      <c r="AC3" s="140" t="s">
        <v>113</v>
      </c>
      <c r="AD3" s="141" t="s">
        <v>149</v>
      </c>
      <c r="AF3" s="140" t="s">
        <v>113</v>
      </c>
      <c r="AG3" s="140" t="s">
        <v>113</v>
      </c>
      <c r="AH3" s="140" t="s">
        <v>113</v>
      </c>
      <c r="AI3" s="140" t="s">
        <v>113</v>
      </c>
      <c r="AJ3" s="140" t="s">
        <v>113</v>
      </c>
      <c r="AK3" s="140" t="s">
        <v>113</v>
      </c>
      <c r="AL3" s="140" t="s">
        <v>113</v>
      </c>
      <c r="AM3" s="140" t="s">
        <v>113</v>
      </c>
      <c r="AN3" s="140" t="s">
        <v>113</v>
      </c>
      <c r="AO3" s="140" t="s">
        <v>113</v>
      </c>
      <c r="AP3" s="140" t="s">
        <v>113</v>
      </c>
      <c r="AQ3" s="140" t="s">
        <v>113</v>
      </c>
      <c r="AR3" s="140" t="s">
        <v>113</v>
      </c>
      <c r="AS3" s="140" t="s">
        <v>113</v>
      </c>
      <c r="AT3" s="140" t="s">
        <v>113</v>
      </c>
      <c r="AU3" s="140" t="s">
        <v>113</v>
      </c>
      <c r="AV3" s="140" t="s">
        <v>113</v>
      </c>
      <c r="AW3" s="140" t="s">
        <v>113</v>
      </c>
      <c r="AX3" s="140" t="s">
        <v>113</v>
      </c>
      <c r="AY3" s="140" t="s">
        <v>113</v>
      </c>
      <c r="AZ3" s="140" t="s">
        <v>113</v>
      </c>
      <c r="BB3" s="140" t="s">
        <v>113</v>
      </c>
      <c r="BE3" s="140" t="s">
        <v>113</v>
      </c>
      <c r="BF3" s="140" t="s">
        <v>113</v>
      </c>
      <c r="BG3" s="140" t="s">
        <v>113</v>
      </c>
      <c r="BH3" s="140" t="s">
        <v>113</v>
      </c>
      <c r="BI3" s="140" t="s">
        <v>113</v>
      </c>
      <c r="BJ3" s="140" t="s">
        <v>113</v>
      </c>
      <c r="BK3" s="140" t="s">
        <v>113</v>
      </c>
      <c r="BL3" s="140" t="s">
        <v>113</v>
      </c>
      <c r="BM3" s="140" t="s">
        <v>113</v>
      </c>
      <c r="BN3" s="140" t="s">
        <v>113</v>
      </c>
      <c r="BP3" s="140" t="s">
        <v>113</v>
      </c>
      <c r="BQ3" s="140" t="s">
        <v>113</v>
      </c>
      <c r="BR3" s="140" t="s">
        <v>113</v>
      </c>
      <c r="BS3" s="140" t="s">
        <v>113</v>
      </c>
      <c r="BT3" s="140" t="s">
        <v>113</v>
      </c>
      <c r="BU3" s="140" t="s">
        <v>113</v>
      </c>
    </row>
    <row r="4" spans="1:73" ht="13.5" thickBot="1" x14ac:dyDescent="0.25">
      <c r="A4" s="159" t="s">
        <v>5</v>
      </c>
      <c r="B4" s="54" t="s">
        <v>10</v>
      </c>
      <c r="C4" s="54" t="s">
        <v>75</v>
      </c>
      <c r="D4" s="194" t="s">
        <v>2</v>
      </c>
      <c r="E4" s="91" t="s">
        <v>3</v>
      </c>
      <c r="F4" s="75" t="s">
        <v>6</v>
      </c>
      <c r="G4" s="95" t="s">
        <v>7</v>
      </c>
      <c r="H4" s="194" t="s">
        <v>37</v>
      </c>
      <c r="I4" s="91" t="s">
        <v>4</v>
      </c>
      <c r="J4" s="194" t="s">
        <v>1</v>
      </c>
      <c r="K4" s="95" t="s">
        <v>0</v>
      </c>
      <c r="L4" s="14" t="s">
        <v>8</v>
      </c>
      <c r="M4" s="54"/>
      <c r="N4" s="54"/>
      <c r="O4" s="54"/>
      <c r="P4" s="54" t="s">
        <v>9</v>
      </c>
      <c r="Q4" s="194" t="s">
        <v>13</v>
      </c>
      <c r="R4" s="95" t="s">
        <v>14</v>
      </c>
      <c r="S4" s="194" t="s">
        <v>28</v>
      </c>
      <c r="T4" s="91" t="s">
        <v>29</v>
      </c>
      <c r="U4" s="67" t="s">
        <v>21</v>
      </c>
      <c r="V4" s="16" t="s">
        <v>22</v>
      </c>
      <c r="W4" s="67"/>
      <c r="X4" s="15" t="s">
        <v>30</v>
      </c>
      <c r="Y4" s="67" t="s">
        <v>23</v>
      </c>
      <c r="Z4" s="16" t="s">
        <v>24</v>
      </c>
      <c r="AA4" s="15" t="s">
        <v>25</v>
      </c>
      <c r="AB4" s="248" t="s">
        <v>26</v>
      </c>
      <c r="AC4" s="182" t="s">
        <v>27</v>
      </c>
      <c r="AD4" s="16" t="s">
        <v>31</v>
      </c>
      <c r="AF4" s="159" t="s">
        <v>5</v>
      </c>
      <c r="AG4" s="54" t="s">
        <v>10</v>
      </c>
      <c r="AH4" s="14" t="s">
        <v>8</v>
      </c>
      <c r="AI4" s="67" t="s">
        <v>54</v>
      </c>
      <c r="AJ4" s="67" t="s">
        <v>55</v>
      </c>
      <c r="AK4" s="16" t="s">
        <v>56</v>
      </c>
      <c r="AL4" s="15" t="s">
        <v>57</v>
      </c>
      <c r="AM4" s="15" t="s">
        <v>58</v>
      </c>
      <c r="AN4" s="194" t="s">
        <v>1</v>
      </c>
      <c r="AO4" s="95" t="s">
        <v>0</v>
      </c>
      <c r="AP4" s="194" t="s">
        <v>59</v>
      </c>
      <c r="AQ4" s="194" t="s">
        <v>85</v>
      </c>
      <c r="AR4" s="74" t="s">
        <v>86</v>
      </c>
      <c r="AS4" s="196" t="s">
        <v>85</v>
      </c>
      <c r="AT4" s="196" t="s">
        <v>86</v>
      </c>
      <c r="AU4" s="95" t="s">
        <v>60</v>
      </c>
      <c r="AV4" s="194" t="s">
        <v>63</v>
      </c>
      <c r="AW4" s="95" t="s">
        <v>62</v>
      </c>
      <c r="AX4" s="74" t="s">
        <v>61</v>
      </c>
      <c r="AY4" s="91" t="s">
        <v>66</v>
      </c>
      <c r="AZ4" s="194" t="s">
        <v>64</v>
      </c>
      <c r="BA4" s="90"/>
      <c r="BB4" s="95" t="s">
        <v>65</v>
      </c>
      <c r="BC4" s="90"/>
      <c r="BE4" s="159" t="s">
        <v>5</v>
      </c>
      <c r="BF4" s="54" t="s">
        <v>10</v>
      </c>
      <c r="BG4" s="67" t="s">
        <v>80</v>
      </c>
      <c r="BH4" s="159" t="s">
        <v>77</v>
      </c>
      <c r="BI4" s="159" t="s">
        <v>84</v>
      </c>
      <c r="BJ4" s="90" t="s">
        <v>21</v>
      </c>
      <c r="BK4" s="126" t="s">
        <v>64</v>
      </c>
      <c r="BL4" s="90" t="s">
        <v>78</v>
      </c>
      <c r="BM4" s="90" t="s">
        <v>79</v>
      </c>
      <c r="BN4" s="86" t="s">
        <v>81</v>
      </c>
      <c r="BP4" s="159" t="s">
        <v>77</v>
      </c>
      <c r="BQ4" s="159" t="s">
        <v>84</v>
      </c>
      <c r="BR4" s="90" t="s">
        <v>22</v>
      </c>
      <c r="BS4" s="126" t="s">
        <v>65</v>
      </c>
      <c r="BT4" s="90" t="s">
        <v>83</v>
      </c>
      <c r="BU4" s="86" t="s">
        <v>82</v>
      </c>
    </row>
    <row r="5" spans="1:73" ht="13.5" thickTop="1" x14ac:dyDescent="0.2">
      <c r="A5" s="2">
        <v>5</v>
      </c>
      <c r="B5" s="236">
        <v>8</v>
      </c>
      <c r="C5" s="43">
        <f>B5/12*0.15</f>
        <v>9.9999999999999992E-2</v>
      </c>
      <c r="D5" s="195">
        <f>-0.1*C5*A5^2</f>
        <v>-0.25</v>
      </c>
      <c r="E5" s="92">
        <f>0.08*C5*A5^2</f>
        <v>0.2</v>
      </c>
      <c r="F5" s="76">
        <f>-0.1*0.05*A5^2</f>
        <v>-0.12500000000000003</v>
      </c>
      <c r="G5" s="96">
        <f>0.08*0.05*A5^2</f>
        <v>0.1</v>
      </c>
      <c r="H5" s="253">
        <v>-2.38</v>
      </c>
      <c r="I5" s="99">
        <v>4.6500000000000004</v>
      </c>
      <c r="J5" s="195">
        <f>D5+F5+H5</f>
        <v>-2.7549999999999999</v>
      </c>
      <c r="K5" s="102">
        <f>E5+G5+I5</f>
        <v>4.95</v>
      </c>
      <c r="L5" s="167" t="s">
        <v>144</v>
      </c>
      <c r="M5" s="236">
        <v>0.2</v>
      </c>
      <c r="N5" s="297">
        <v>7.5</v>
      </c>
      <c r="O5" s="315">
        <f>M5*12/N5</f>
        <v>0.32000000000000006</v>
      </c>
      <c r="P5" s="224">
        <f>O5</f>
        <v>0.32000000000000006</v>
      </c>
      <c r="Q5" s="195">
        <f t="shared" ref="Q5:Q16" si="0">B5-2.5-0.5/2</f>
        <v>5.25</v>
      </c>
      <c r="R5" s="102">
        <f t="shared" ref="R5:R16" si="1">B5-1.5-0.5/2-0.5</f>
        <v>5.75</v>
      </c>
      <c r="S5" s="253">
        <f>J5*12/(P5*AL5*Q5)</f>
        <v>-19.744166666666668</v>
      </c>
      <c r="T5" s="105">
        <f>K5*12/(P5*AL5*R5)</f>
        <v>32.390217391304347</v>
      </c>
      <c r="U5" s="131">
        <v>2</v>
      </c>
      <c r="V5" s="69">
        <v>1.5</v>
      </c>
      <c r="W5" s="131">
        <f>12/N5</f>
        <v>1.6</v>
      </c>
      <c r="X5" s="23">
        <f>W5</f>
        <v>1.6</v>
      </c>
      <c r="Y5" s="201">
        <f>12*2*U5/X5</f>
        <v>30</v>
      </c>
      <c r="Z5" s="24">
        <f>12*2*V5/X5</f>
        <v>22.5</v>
      </c>
      <c r="AA5" s="3">
        <v>130</v>
      </c>
      <c r="AB5" s="249">
        <f>AA5/(U5*Y5)^0.333</f>
        <v>33.252092958316553</v>
      </c>
      <c r="AC5" s="183">
        <f>AA5/(V5*Z5)^0.333</f>
        <v>40.274317039476536</v>
      </c>
      <c r="AD5" s="24">
        <f>0.6*80</f>
        <v>48</v>
      </c>
      <c r="AF5" s="2">
        <f t="shared" ref="AF5:AF33" si="2">A5</f>
        <v>5</v>
      </c>
      <c r="AG5" s="246">
        <f t="shared" ref="AG5:AG33" si="3">B5</f>
        <v>8</v>
      </c>
      <c r="AH5" s="169" t="str">
        <f t="shared" ref="AH5:AH33" si="4">L5</f>
        <v>#4 @ 7.5</v>
      </c>
      <c r="AI5" s="55">
        <v>8</v>
      </c>
      <c r="AJ5" s="55">
        <f>0.4*4500</f>
        <v>1800</v>
      </c>
      <c r="AK5" s="47">
        <f>0.6*80</f>
        <v>48</v>
      </c>
      <c r="AL5" s="4">
        <f>AJ5/((AK5/AI5)+AJ5)</f>
        <v>0.99667774086378735</v>
      </c>
      <c r="AM5" s="4">
        <f>1-AL5/3</f>
        <v>0.66777408637873759</v>
      </c>
      <c r="AN5" s="253">
        <f t="shared" ref="AN5:AN33" si="5">J5</f>
        <v>-2.7549999999999999</v>
      </c>
      <c r="AO5" s="108">
        <f t="shared" ref="AO5:AO33" si="6">K5</f>
        <v>4.95</v>
      </c>
      <c r="AP5" s="195">
        <f>(-AQ5+(AQ5^2-4*1*AR5)^0.5)/(2*1)</f>
        <v>1.298457363526226</v>
      </c>
      <c r="AQ5" s="253">
        <f>P5*AI5/6</f>
        <v>0.42666666666666675</v>
      </c>
      <c r="AR5" s="157">
        <f>-P5*AI5*Q5/6</f>
        <v>-2.2400000000000007</v>
      </c>
      <c r="AS5" s="111">
        <f>P5*AI5/6</f>
        <v>0.42666666666666675</v>
      </c>
      <c r="AT5" s="111">
        <f>-P5*AI5*R5/6</f>
        <v>-2.4533333333333336</v>
      </c>
      <c r="AU5" s="102">
        <f>(-AS5+(AS5^2-4*1*AT5)^0.5)/(2*1)</f>
        <v>1.367440035763086</v>
      </c>
      <c r="AV5" s="253">
        <f t="shared" ref="AV5:AV33" si="7">12*AN5/(Q5-AP5/3)</f>
        <v>-6.8629351547344752</v>
      </c>
      <c r="AW5" s="108">
        <f t="shared" ref="AW5:AW33" si="8">12*AO5/(R5-AU5/3)</f>
        <v>11.219853751615394</v>
      </c>
      <c r="AX5" s="5">
        <f>AV5/(6*AP5)</f>
        <v>-0.88090880603333455</v>
      </c>
      <c r="AY5" s="105">
        <f>AW5/(6*AU5)</f>
        <v>1.3675010065254609</v>
      </c>
      <c r="AZ5" s="253">
        <f>AX5*AI5*(Q5-AP5)/AP5</f>
        <v>-21.446672358545225</v>
      </c>
      <c r="BA5" s="258">
        <f>AV5/P5</f>
        <v>-21.446672358545232</v>
      </c>
      <c r="BB5" s="108">
        <f>AY5*AI5*(R5-AU5)/AU5</f>
        <v>35.062042973798107</v>
      </c>
      <c r="BC5" s="258">
        <f>AW5/P5</f>
        <v>35.0620429737981</v>
      </c>
      <c r="BE5" s="2">
        <f t="shared" ref="BE5:BE33" si="9">A5</f>
        <v>5</v>
      </c>
      <c r="BF5" s="138">
        <f t="shared" ref="BF5:BF33" si="10">B5</f>
        <v>8</v>
      </c>
      <c r="BG5" s="169" t="str">
        <f t="shared" ref="BG5:BG33" si="11">L5</f>
        <v>#4 @ 7.5</v>
      </c>
      <c r="BH5" s="66">
        <f>BM5*BK5*(BN5+2*BJ5)/700</f>
        <v>0.6316621960888783</v>
      </c>
      <c r="BI5" s="129">
        <f>0.017*BH5/0.75</f>
        <v>1.4317676444681243E-2</v>
      </c>
      <c r="BJ5" s="43">
        <f>2+0.5</f>
        <v>2.5</v>
      </c>
      <c r="BK5" s="22">
        <f>-AZ5</f>
        <v>21.446672358545225</v>
      </c>
      <c r="BL5" s="55">
        <f t="shared" ref="BL5:BL33" si="12">B5</f>
        <v>8</v>
      </c>
      <c r="BM5" s="87">
        <f>1+BJ5/(0.7*(BL5-BJ5))</f>
        <v>1.6493506493506493</v>
      </c>
      <c r="BN5" s="227">
        <v>7.5</v>
      </c>
      <c r="BP5" s="66">
        <f>BT5*BS5*(BU5+2*BR5)/700</f>
        <v>0.93706187610541158</v>
      </c>
      <c r="BQ5" s="129">
        <f>0.017*BP5</f>
        <v>1.5930051893791999E-2</v>
      </c>
      <c r="BR5" s="191">
        <f>1.5+0.5+0.5/2</f>
        <v>2.25</v>
      </c>
      <c r="BS5" s="22">
        <f>BB5</f>
        <v>35.062042973798107</v>
      </c>
      <c r="BT5" s="87">
        <f>1+BR5/(0.7*(BL5-BR5))</f>
        <v>1.5590062111801242</v>
      </c>
      <c r="BU5" s="230">
        <f>BN5</f>
        <v>7.5</v>
      </c>
    </row>
    <row r="6" spans="1:73" x14ac:dyDescent="0.2">
      <c r="A6" s="2">
        <v>5.25</v>
      </c>
      <c r="B6" s="236">
        <v>8</v>
      </c>
      <c r="C6" s="43">
        <f t="shared" ref="C6:C33" si="13">B6/12*0.15</f>
        <v>9.9999999999999992E-2</v>
      </c>
      <c r="D6" s="195">
        <f t="shared" ref="D6:D33" si="14">-0.1*C6*A6^2</f>
        <v>-0.27562500000000001</v>
      </c>
      <c r="E6" s="92">
        <f t="shared" ref="E6:E33" si="15">0.08*C6*A6^2</f>
        <v>0.2205</v>
      </c>
      <c r="F6" s="76">
        <f t="shared" ref="F6:F33" si="16">-0.1*0.05*A6^2</f>
        <v>-0.13781250000000003</v>
      </c>
      <c r="G6" s="96">
        <f t="shared" ref="G6:G33" si="17">0.08*0.05*A6^2</f>
        <v>0.11025</v>
      </c>
      <c r="H6" s="253">
        <v>-2.57</v>
      </c>
      <c r="I6" s="99">
        <v>4.67</v>
      </c>
      <c r="J6" s="195">
        <f t="shared" ref="J6:K33" si="18">D6+F6+H6</f>
        <v>-2.9834375</v>
      </c>
      <c r="K6" s="102">
        <f t="shared" si="18"/>
        <v>5.00075</v>
      </c>
      <c r="L6" s="167" t="s">
        <v>144</v>
      </c>
      <c r="M6" s="236">
        <v>0.2</v>
      </c>
      <c r="N6" s="297">
        <v>7.5</v>
      </c>
      <c r="O6" s="315">
        <f t="shared" ref="O6:O33" si="19">M6*12/N6</f>
        <v>0.32000000000000006</v>
      </c>
      <c r="P6" s="224">
        <f t="shared" ref="P6:P33" si="20">O6</f>
        <v>0.32000000000000006</v>
      </c>
      <c r="Q6" s="195">
        <f t="shared" si="0"/>
        <v>5.25</v>
      </c>
      <c r="R6" s="102">
        <f t="shared" si="1"/>
        <v>5.75</v>
      </c>
      <c r="S6" s="253">
        <f t="shared" ref="S6:S33" si="21">J6*12/(P6*AL6*Q6)</f>
        <v>-21.381302083333331</v>
      </c>
      <c r="T6" s="105">
        <f t="shared" ref="T6:T33" si="22">K6*12/(P6*AL6*R6)</f>
        <v>32.722298913043474</v>
      </c>
      <c r="U6" s="131">
        <v>2</v>
      </c>
      <c r="V6" s="69">
        <v>1.5</v>
      </c>
      <c r="W6" s="131">
        <f t="shared" ref="W6:W33" si="23">12/N6</f>
        <v>1.6</v>
      </c>
      <c r="X6" s="23">
        <f t="shared" ref="X6:X33" si="24">W6</f>
        <v>1.6</v>
      </c>
      <c r="Y6" s="201">
        <f t="shared" ref="Y6:Y33" si="25">12*2*U6/X6</f>
        <v>30</v>
      </c>
      <c r="Z6" s="24">
        <f t="shared" ref="Z6:Z33" si="26">12*2*V6/X6</f>
        <v>22.5</v>
      </c>
      <c r="AA6" s="3">
        <v>130</v>
      </c>
      <c r="AB6" s="249">
        <f t="shared" ref="AB6:AB33" si="27">AA6/(U6*Y6)^0.333</f>
        <v>33.252092958316553</v>
      </c>
      <c r="AC6" s="183">
        <f t="shared" ref="AC6:AC33" si="28">AA6/(V6*Z6)^0.333</f>
        <v>40.274317039476536</v>
      </c>
      <c r="AD6" s="24">
        <f t="shared" ref="AD6:AD33" si="29">0.6*80</f>
        <v>48</v>
      </c>
      <c r="AF6" s="2">
        <f t="shared" si="2"/>
        <v>5.25</v>
      </c>
      <c r="AG6" s="246">
        <f t="shared" si="3"/>
        <v>8</v>
      </c>
      <c r="AH6" s="169" t="str">
        <f t="shared" si="4"/>
        <v>#4 @ 7.5</v>
      </c>
      <c r="AI6" s="55">
        <v>8</v>
      </c>
      <c r="AJ6" s="55">
        <f t="shared" ref="AJ6:AJ33" si="30">0.4*4500</f>
        <v>1800</v>
      </c>
      <c r="AK6" s="47">
        <f t="shared" ref="AK6:AK33" si="31">0.6*80</f>
        <v>48</v>
      </c>
      <c r="AL6" s="4">
        <f t="shared" ref="AL6:AL33" si="32">AJ6/((AK6/AI6)+AJ6)</f>
        <v>0.99667774086378735</v>
      </c>
      <c r="AM6" s="4">
        <f t="shared" ref="AM6:AM33" si="33">1-AL6/3</f>
        <v>0.66777408637873759</v>
      </c>
      <c r="AN6" s="253">
        <f t="shared" si="5"/>
        <v>-2.9834375</v>
      </c>
      <c r="AO6" s="108">
        <f t="shared" si="6"/>
        <v>5.00075</v>
      </c>
      <c r="AP6" s="195">
        <f t="shared" ref="AP6:AP33" si="34">(-AQ6+(AQ6^2-4*1*AR6)^0.5)/(2*1)</f>
        <v>1.298457363526226</v>
      </c>
      <c r="AQ6" s="253">
        <f t="shared" ref="AQ6:AQ33" si="35">P6*AI6/6</f>
        <v>0.42666666666666675</v>
      </c>
      <c r="AR6" s="157">
        <f t="shared" ref="AR6:AR33" si="36">-P6*AI6*Q6/6</f>
        <v>-2.2400000000000007</v>
      </c>
      <c r="AS6" s="111">
        <f t="shared" ref="AS6:AS33" si="37">P6*AI6/6</f>
        <v>0.42666666666666675</v>
      </c>
      <c r="AT6" s="111">
        <f t="shared" ref="AT6:AT33" si="38">-P6*AI6*R6/6</f>
        <v>-2.4533333333333336</v>
      </c>
      <c r="AU6" s="102">
        <f t="shared" ref="AU6:AU33" si="39">(-AS6+(AS6^2-4*1*AT6)^0.5)/(2*1)</f>
        <v>1.367440035763086</v>
      </c>
      <c r="AV6" s="253">
        <f t="shared" si="7"/>
        <v>-7.4319920510719175</v>
      </c>
      <c r="AW6" s="108">
        <f t="shared" si="8"/>
        <v>11.33488558553347</v>
      </c>
      <c r="AX6" s="5">
        <f t="shared" ref="AX6:AX33" si="40">AV6/(6*AP6)</f>
        <v>-0.95395149401091694</v>
      </c>
      <c r="AY6" s="105">
        <f t="shared" ref="AY6:AY33" si="41">AW6/(6*AU6)</f>
        <v>1.3815213451277168</v>
      </c>
      <c r="AZ6" s="253">
        <f t="shared" ref="AZ6:AZ33" si="42">AX6*AI6*(Q6-AP6)/AP6</f>
        <v>-23.22497515959973</v>
      </c>
      <c r="BA6" s="258">
        <f t="shared" ref="BA6:BA33" si="43">AV6/P6</f>
        <v>-23.224975159599737</v>
      </c>
      <c r="BB6" s="108">
        <f t="shared" ref="BB6:BB33" si="44">AY6*AI6*(R6-AU6)/AU6</f>
        <v>35.421517454792095</v>
      </c>
      <c r="BC6" s="258">
        <f t="shared" ref="BC6:BC33" si="45">AW6/P6</f>
        <v>35.421517454792088</v>
      </c>
      <c r="BE6" s="2">
        <f t="shared" si="9"/>
        <v>5.25</v>
      </c>
      <c r="BF6" s="138">
        <f t="shared" si="10"/>
        <v>8</v>
      </c>
      <c r="BG6" s="169" t="str">
        <f t="shared" si="11"/>
        <v>#4 @ 7.5</v>
      </c>
      <c r="BH6" s="66">
        <f t="shared" ref="BH6:BH33" si="46">BM6*BK6*(BN6+2*BJ6)/700</f>
        <v>0.68403799751140204</v>
      </c>
      <c r="BI6" s="129">
        <f t="shared" ref="BI6:BI16" si="47">0.017*BH6/0.75</f>
        <v>1.5504861276925115E-2</v>
      </c>
      <c r="BJ6" s="43">
        <f t="shared" ref="BJ6:BJ33" si="48">2+0.5</f>
        <v>2.5</v>
      </c>
      <c r="BK6" s="22">
        <f t="shared" ref="BK6:BK33" si="49">-AZ6</f>
        <v>23.22497515959973</v>
      </c>
      <c r="BL6" s="55">
        <f t="shared" si="12"/>
        <v>8</v>
      </c>
      <c r="BM6" s="87">
        <f t="shared" ref="BM6:BM33" si="50">1+BJ6/(0.7*(BL6-BJ6))</f>
        <v>1.6493506493506493</v>
      </c>
      <c r="BN6" s="227">
        <v>7.5</v>
      </c>
      <c r="BP6" s="66">
        <f t="shared" ref="BP6:BP33" si="51">BT6*BS6*(BU6+2*BR6)/700</f>
        <v>0.946669126653361</v>
      </c>
      <c r="BQ6" s="129">
        <f t="shared" ref="BQ6:BQ33" si="52">0.017*BP6</f>
        <v>1.6093375153107138E-2</v>
      </c>
      <c r="BR6" s="191">
        <f t="shared" ref="BR6:BR33" si="53">1.5+0.5+0.5/2</f>
        <v>2.25</v>
      </c>
      <c r="BS6" s="22">
        <f t="shared" ref="BS6:BS33" si="54">BB6</f>
        <v>35.421517454792095</v>
      </c>
      <c r="BT6" s="87">
        <f t="shared" ref="BT6:BT33" si="55">1+BR6/(0.7*(BL6-BR6))</f>
        <v>1.5590062111801242</v>
      </c>
      <c r="BU6" s="230">
        <f t="shared" ref="BU6:BU33" si="56">BN6</f>
        <v>7.5</v>
      </c>
    </row>
    <row r="7" spans="1:73" x14ac:dyDescent="0.2">
      <c r="A7" s="2">
        <v>5.5</v>
      </c>
      <c r="B7" s="236">
        <v>8</v>
      </c>
      <c r="C7" s="43">
        <f t="shared" si="13"/>
        <v>9.9999999999999992E-2</v>
      </c>
      <c r="D7" s="195">
        <f t="shared" si="14"/>
        <v>-0.30249999999999999</v>
      </c>
      <c r="E7" s="92">
        <f t="shared" si="15"/>
        <v>0.24199999999999999</v>
      </c>
      <c r="F7" s="76">
        <f t="shared" si="16"/>
        <v>-0.15125000000000002</v>
      </c>
      <c r="G7" s="96">
        <f t="shared" si="17"/>
        <v>0.121</v>
      </c>
      <c r="H7" s="253">
        <v>-2.76</v>
      </c>
      <c r="I7" s="99">
        <v>4.71</v>
      </c>
      <c r="J7" s="195">
        <f t="shared" si="18"/>
        <v>-3.2137499999999997</v>
      </c>
      <c r="K7" s="102">
        <f t="shared" si="18"/>
        <v>5.0730000000000004</v>
      </c>
      <c r="L7" s="167" t="s">
        <v>144</v>
      </c>
      <c r="M7" s="236">
        <v>0.2</v>
      </c>
      <c r="N7" s="297">
        <v>7.5</v>
      </c>
      <c r="O7" s="315">
        <f t="shared" si="19"/>
        <v>0.32000000000000006</v>
      </c>
      <c r="P7" s="224">
        <f t="shared" si="20"/>
        <v>0.32000000000000006</v>
      </c>
      <c r="Q7" s="195">
        <f t="shared" si="0"/>
        <v>5.25</v>
      </c>
      <c r="R7" s="102">
        <f t="shared" si="1"/>
        <v>5.75</v>
      </c>
      <c r="S7" s="253">
        <f t="shared" si="21"/>
        <v>-23.031874999999996</v>
      </c>
      <c r="T7" s="105">
        <f t="shared" si="22"/>
        <v>33.195065217391303</v>
      </c>
      <c r="U7" s="131">
        <v>2</v>
      </c>
      <c r="V7" s="69">
        <v>1.5</v>
      </c>
      <c r="W7" s="131">
        <f t="shared" si="23"/>
        <v>1.6</v>
      </c>
      <c r="X7" s="23">
        <f t="shared" si="24"/>
        <v>1.6</v>
      </c>
      <c r="Y7" s="201">
        <f t="shared" si="25"/>
        <v>30</v>
      </c>
      <c r="Z7" s="24">
        <f t="shared" si="26"/>
        <v>22.5</v>
      </c>
      <c r="AA7" s="3">
        <v>130</v>
      </c>
      <c r="AB7" s="249">
        <f t="shared" si="27"/>
        <v>33.252092958316553</v>
      </c>
      <c r="AC7" s="183">
        <f t="shared" si="28"/>
        <v>40.274317039476536</v>
      </c>
      <c r="AD7" s="24">
        <f t="shared" si="29"/>
        <v>48</v>
      </c>
      <c r="AF7" s="2">
        <f t="shared" si="2"/>
        <v>5.5</v>
      </c>
      <c r="AG7" s="246">
        <f t="shared" si="3"/>
        <v>8</v>
      </c>
      <c r="AH7" s="169" t="str">
        <f t="shared" si="4"/>
        <v>#4 @ 7.5</v>
      </c>
      <c r="AI7" s="55">
        <v>8</v>
      </c>
      <c r="AJ7" s="55">
        <f t="shared" si="30"/>
        <v>1800</v>
      </c>
      <c r="AK7" s="47">
        <f t="shared" si="31"/>
        <v>48</v>
      </c>
      <c r="AL7" s="4">
        <f t="shared" si="32"/>
        <v>0.99667774086378735</v>
      </c>
      <c r="AM7" s="4">
        <f t="shared" si="33"/>
        <v>0.66777408637873759</v>
      </c>
      <c r="AN7" s="253">
        <f t="shared" si="5"/>
        <v>-3.2137499999999997</v>
      </c>
      <c r="AO7" s="108">
        <f t="shared" si="6"/>
        <v>5.0730000000000004</v>
      </c>
      <c r="AP7" s="195">
        <f t="shared" si="34"/>
        <v>1.298457363526226</v>
      </c>
      <c r="AQ7" s="253">
        <f t="shared" si="35"/>
        <v>0.42666666666666675</v>
      </c>
      <c r="AR7" s="157">
        <f t="shared" si="36"/>
        <v>-2.2400000000000007</v>
      </c>
      <c r="AS7" s="111">
        <f t="shared" si="37"/>
        <v>0.42666666666666675</v>
      </c>
      <c r="AT7" s="111">
        <f t="shared" si="38"/>
        <v>-2.4533333333333336</v>
      </c>
      <c r="AU7" s="102">
        <f t="shared" si="39"/>
        <v>1.367440035763086</v>
      </c>
      <c r="AV7" s="253">
        <f t="shared" si="7"/>
        <v>-8.0057197290482449</v>
      </c>
      <c r="AW7" s="108">
        <f t="shared" si="8"/>
        <v>11.498650117564626</v>
      </c>
      <c r="AX7" s="5">
        <f t="shared" si="40"/>
        <v>-1.0275937115751828</v>
      </c>
      <c r="AY7" s="105">
        <f t="shared" si="41"/>
        <v>1.4014813345663966</v>
      </c>
      <c r="AZ7" s="253">
        <f t="shared" si="42"/>
        <v>-25.017874153275756</v>
      </c>
      <c r="BA7" s="258">
        <f t="shared" si="43"/>
        <v>-25.017874153275759</v>
      </c>
      <c r="BB7" s="108">
        <f t="shared" si="44"/>
        <v>35.933281617389454</v>
      </c>
      <c r="BC7" s="258">
        <f t="shared" si="45"/>
        <v>35.933281617389447</v>
      </c>
      <c r="BE7" s="2">
        <f t="shared" si="9"/>
        <v>5.5</v>
      </c>
      <c r="BF7" s="138">
        <f t="shared" si="10"/>
        <v>8</v>
      </c>
      <c r="BG7" s="169" t="str">
        <f t="shared" si="11"/>
        <v>#4 @ 7.5</v>
      </c>
      <c r="BH7" s="66">
        <f t="shared" si="46"/>
        <v>0.73684369607282485</v>
      </c>
      <c r="BI7" s="129">
        <f t="shared" si="47"/>
        <v>1.6701790444317365E-2</v>
      </c>
      <c r="BJ7" s="43">
        <f t="shared" si="48"/>
        <v>2.5</v>
      </c>
      <c r="BK7" s="22">
        <f t="shared" si="49"/>
        <v>25.017874153275756</v>
      </c>
      <c r="BL7" s="55">
        <f t="shared" si="12"/>
        <v>8</v>
      </c>
      <c r="BM7" s="87">
        <f t="shared" si="50"/>
        <v>1.6493506493506493</v>
      </c>
      <c r="BN7" s="227">
        <v>7.5</v>
      </c>
      <c r="BP7" s="66">
        <f t="shared" si="51"/>
        <v>0.96034644393590973</v>
      </c>
      <c r="BQ7" s="129">
        <f t="shared" si="52"/>
        <v>1.6325889546910468E-2</v>
      </c>
      <c r="BR7" s="191">
        <f t="shared" si="53"/>
        <v>2.25</v>
      </c>
      <c r="BS7" s="22">
        <f>BB7</f>
        <v>35.933281617389454</v>
      </c>
      <c r="BT7" s="87">
        <f t="shared" si="55"/>
        <v>1.5590062111801242</v>
      </c>
      <c r="BU7" s="230">
        <f t="shared" si="56"/>
        <v>7.5</v>
      </c>
    </row>
    <row r="8" spans="1:73" x14ac:dyDescent="0.2">
      <c r="A8" s="2">
        <v>5.75</v>
      </c>
      <c r="B8" s="236">
        <v>8</v>
      </c>
      <c r="C8" s="43">
        <f t="shared" si="13"/>
        <v>9.9999999999999992E-2</v>
      </c>
      <c r="D8" s="195">
        <f t="shared" si="14"/>
        <v>-0.330625</v>
      </c>
      <c r="E8" s="92">
        <f t="shared" si="15"/>
        <v>0.26450000000000001</v>
      </c>
      <c r="F8" s="76">
        <f t="shared" si="16"/>
        <v>-0.16531250000000003</v>
      </c>
      <c r="G8" s="96">
        <f t="shared" si="17"/>
        <v>0.13225000000000001</v>
      </c>
      <c r="H8" s="253">
        <v>-2.92</v>
      </c>
      <c r="I8" s="99">
        <v>4.7699999999999996</v>
      </c>
      <c r="J8" s="195">
        <f t="shared" si="18"/>
        <v>-3.4159375000000001</v>
      </c>
      <c r="K8" s="102">
        <f t="shared" si="18"/>
        <v>5.1667499999999995</v>
      </c>
      <c r="L8" s="167" t="s">
        <v>144</v>
      </c>
      <c r="M8" s="238">
        <v>0.2</v>
      </c>
      <c r="N8" s="297">
        <v>7.5</v>
      </c>
      <c r="O8" s="316">
        <f t="shared" si="19"/>
        <v>0.32000000000000006</v>
      </c>
      <c r="P8" s="225">
        <f t="shared" si="20"/>
        <v>0.32000000000000006</v>
      </c>
      <c r="Q8" s="195">
        <f t="shared" si="0"/>
        <v>5.25</v>
      </c>
      <c r="R8" s="102">
        <f t="shared" si="1"/>
        <v>5.75</v>
      </c>
      <c r="S8" s="61">
        <f t="shared" si="21"/>
        <v>-24.480885416666666</v>
      </c>
      <c r="T8" s="254">
        <f t="shared" si="22"/>
        <v>33.808516304347819</v>
      </c>
      <c r="U8" s="131">
        <v>2</v>
      </c>
      <c r="V8" s="69">
        <v>1.5</v>
      </c>
      <c r="W8" s="132">
        <f t="shared" si="23"/>
        <v>1.6</v>
      </c>
      <c r="X8" s="73">
        <f t="shared" si="24"/>
        <v>1.6</v>
      </c>
      <c r="Y8" s="201">
        <f t="shared" si="25"/>
        <v>30</v>
      </c>
      <c r="Z8" s="24">
        <f t="shared" si="26"/>
        <v>22.5</v>
      </c>
      <c r="AA8" s="3">
        <v>130</v>
      </c>
      <c r="AB8" s="249">
        <f t="shared" si="27"/>
        <v>33.252092958316553</v>
      </c>
      <c r="AC8" s="183">
        <f t="shared" si="28"/>
        <v>40.274317039476536</v>
      </c>
      <c r="AD8" s="245">
        <f t="shared" si="29"/>
        <v>48</v>
      </c>
      <c r="AF8" s="2">
        <f t="shared" si="2"/>
        <v>5.75</v>
      </c>
      <c r="AG8" s="246">
        <f t="shared" si="3"/>
        <v>8</v>
      </c>
      <c r="AH8" s="169" t="str">
        <f t="shared" si="4"/>
        <v>#4 @ 7.5</v>
      </c>
      <c r="AI8" s="55">
        <v>8</v>
      </c>
      <c r="AJ8" s="57">
        <f t="shared" si="30"/>
        <v>1800</v>
      </c>
      <c r="AK8" s="49">
        <f t="shared" si="31"/>
        <v>48</v>
      </c>
      <c r="AL8" s="4">
        <f t="shared" si="32"/>
        <v>0.99667774086378735</v>
      </c>
      <c r="AM8" s="4">
        <f t="shared" si="33"/>
        <v>0.66777408637873759</v>
      </c>
      <c r="AN8" s="253">
        <f t="shared" si="5"/>
        <v>-3.4159375000000001</v>
      </c>
      <c r="AO8" s="108">
        <f t="shared" si="6"/>
        <v>5.1667499999999995</v>
      </c>
      <c r="AP8" s="195">
        <f t="shared" si="34"/>
        <v>1.298457363526226</v>
      </c>
      <c r="AQ8" s="253">
        <f t="shared" si="35"/>
        <v>0.42666666666666675</v>
      </c>
      <c r="AR8" s="157">
        <f t="shared" si="36"/>
        <v>-2.2400000000000007</v>
      </c>
      <c r="AS8" s="111">
        <f t="shared" si="37"/>
        <v>0.42666666666666675</v>
      </c>
      <c r="AT8" s="111">
        <f t="shared" si="38"/>
        <v>-2.4533333333333336</v>
      </c>
      <c r="AU8" s="102">
        <f t="shared" si="39"/>
        <v>1.367440035763086</v>
      </c>
      <c r="AV8" s="253">
        <f t="shared" si="7"/>
        <v>-8.5093856824413052</v>
      </c>
      <c r="AW8" s="108">
        <f t="shared" si="8"/>
        <v>11.711147347708854</v>
      </c>
      <c r="AX8" s="5">
        <f t="shared" si="40"/>
        <v>-1.0922429853391993</v>
      </c>
      <c r="AY8" s="105">
        <f t="shared" si="41"/>
        <v>1.4273809748414998</v>
      </c>
      <c r="AZ8" s="253">
        <f t="shared" si="42"/>
        <v>-26.591830257629066</v>
      </c>
      <c r="BA8" s="259">
        <f t="shared" si="43"/>
        <v>-26.591830257629073</v>
      </c>
      <c r="BB8" s="108">
        <f t="shared" si="44"/>
        <v>36.59733546159017</v>
      </c>
      <c r="BC8" s="259">
        <f t="shared" si="45"/>
        <v>36.597335461590163</v>
      </c>
      <c r="BE8" s="2">
        <f t="shared" si="9"/>
        <v>5.75</v>
      </c>
      <c r="BF8" s="138">
        <f t="shared" si="10"/>
        <v>8</v>
      </c>
      <c r="BG8" s="175" t="str">
        <f t="shared" si="11"/>
        <v>#4 @ 7.5</v>
      </c>
      <c r="BH8" s="66">
        <f t="shared" si="46"/>
        <v>0.78320093755076337</v>
      </c>
      <c r="BI8" s="44">
        <f t="shared" si="47"/>
        <v>1.7752554584483972E-2</v>
      </c>
      <c r="BJ8" s="44">
        <f t="shared" si="48"/>
        <v>2.5</v>
      </c>
      <c r="BK8" s="25">
        <f t="shared" si="49"/>
        <v>26.591830257629066</v>
      </c>
      <c r="BL8" s="57">
        <f t="shared" si="12"/>
        <v>8</v>
      </c>
      <c r="BM8" s="89">
        <f t="shared" si="50"/>
        <v>1.6493506493506493</v>
      </c>
      <c r="BN8" s="228">
        <v>7.5</v>
      </c>
      <c r="BP8" s="66">
        <f t="shared" si="51"/>
        <v>0.97809382795305755</v>
      </c>
      <c r="BQ8" s="129">
        <f t="shared" si="52"/>
        <v>1.6627595075201979E-2</v>
      </c>
      <c r="BR8" s="234">
        <f t="shared" si="53"/>
        <v>2.25</v>
      </c>
      <c r="BS8" s="22">
        <f t="shared" si="54"/>
        <v>36.59733546159017</v>
      </c>
      <c r="BT8" s="87">
        <f t="shared" si="55"/>
        <v>1.5590062111801242</v>
      </c>
      <c r="BU8" s="230">
        <f t="shared" si="56"/>
        <v>7.5</v>
      </c>
    </row>
    <row r="9" spans="1:73" x14ac:dyDescent="0.2">
      <c r="A9" s="17">
        <v>6</v>
      </c>
      <c r="B9" s="237">
        <v>8</v>
      </c>
      <c r="C9" s="42">
        <f t="shared" si="13"/>
        <v>9.9999999999999992E-2</v>
      </c>
      <c r="D9" s="256">
        <f t="shared" si="14"/>
        <v>-0.36</v>
      </c>
      <c r="E9" s="93">
        <f t="shared" si="15"/>
        <v>0.28800000000000003</v>
      </c>
      <c r="F9" s="77">
        <f t="shared" si="16"/>
        <v>-0.18000000000000005</v>
      </c>
      <c r="G9" s="97">
        <f t="shared" si="17"/>
        <v>0.14400000000000002</v>
      </c>
      <c r="H9" s="255">
        <v>-3.09</v>
      </c>
      <c r="I9" s="100">
        <v>4.83</v>
      </c>
      <c r="J9" s="256">
        <f t="shared" si="18"/>
        <v>-3.63</v>
      </c>
      <c r="K9" s="103">
        <f t="shared" si="18"/>
        <v>5.2620000000000005</v>
      </c>
      <c r="L9" s="173" t="s">
        <v>145</v>
      </c>
      <c r="M9" s="237">
        <v>0.2</v>
      </c>
      <c r="N9" s="317">
        <v>7</v>
      </c>
      <c r="O9" s="315">
        <f t="shared" si="19"/>
        <v>0.34285714285714292</v>
      </c>
      <c r="P9" s="224">
        <f t="shared" si="20"/>
        <v>0.34285714285714292</v>
      </c>
      <c r="Q9" s="256">
        <f t="shared" si="0"/>
        <v>5.25</v>
      </c>
      <c r="R9" s="103">
        <f t="shared" si="1"/>
        <v>5.75</v>
      </c>
      <c r="S9" s="253">
        <f t="shared" si="21"/>
        <v>-24.280666666666662</v>
      </c>
      <c r="T9" s="105">
        <f t="shared" si="22"/>
        <v>32.136330434782607</v>
      </c>
      <c r="U9" s="130">
        <v>2</v>
      </c>
      <c r="V9" s="71">
        <v>1.5</v>
      </c>
      <c r="W9" s="131">
        <f t="shared" si="23"/>
        <v>1.7142857142857142</v>
      </c>
      <c r="X9" s="23">
        <f t="shared" si="24"/>
        <v>1.7142857142857142</v>
      </c>
      <c r="Y9" s="244">
        <f t="shared" si="25"/>
        <v>28</v>
      </c>
      <c r="Z9" s="28">
        <f t="shared" si="26"/>
        <v>21</v>
      </c>
      <c r="AA9" s="18">
        <v>130</v>
      </c>
      <c r="AB9" s="250">
        <f t="shared" si="27"/>
        <v>34.02489074260842</v>
      </c>
      <c r="AC9" s="184">
        <f t="shared" si="28"/>
        <v>41.210315354259073</v>
      </c>
      <c r="AD9" s="24">
        <f t="shared" si="29"/>
        <v>48</v>
      </c>
      <c r="AF9" s="56">
        <f t="shared" si="2"/>
        <v>6</v>
      </c>
      <c r="AG9" s="247">
        <f t="shared" si="3"/>
        <v>8</v>
      </c>
      <c r="AH9" s="174" t="str">
        <f t="shared" si="4"/>
        <v>#4 @ 7</v>
      </c>
      <c r="AI9" s="56">
        <v>8</v>
      </c>
      <c r="AJ9" s="55">
        <f t="shared" si="30"/>
        <v>1800</v>
      </c>
      <c r="AK9" s="47">
        <f t="shared" si="31"/>
        <v>48</v>
      </c>
      <c r="AL9" s="19">
        <f t="shared" si="32"/>
        <v>0.99667774086378735</v>
      </c>
      <c r="AM9" s="19">
        <f t="shared" si="33"/>
        <v>0.66777408637873759</v>
      </c>
      <c r="AN9" s="255">
        <f t="shared" si="5"/>
        <v>-3.63</v>
      </c>
      <c r="AO9" s="109">
        <f t="shared" si="6"/>
        <v>5.2620000000000005</v>
      </c>
      <c r="AP9" s="256">
        <f t="shared" si="34"/>
        <v>1.3373930978336825</v>
      </c>
      <c r="AQ9" s="255">
        <f t="shared" si="35"/>
        <v>0.45714285714285724</v>
      </c>
      <c r="AR9" s="160">
        <f t="shared" si="36"/>
        <v>-2.4000000000000004</v>
      </c>
      <c r="AS9" s="112">
        <f t="shared" si="37"/>
        <v>0.45714285714285724</v>
      </c>
      <c r="AT9" s="112">
        <f t="shared" si="38"/>
        <v>-2.628571428571429</v>
      </c>
      <c r="AU9" s="103">
        <f t="shared" si="39"/>
        <v>1.4087484322165034</v>
      </c>
      <c r="AV9" s="255">
        <f t="shared" si="7"/>
        <v>-9.0670619747741732</v>
      </c>
      <c r="AW9" s="109">
        <f t="shared" si="8"/>
        <v>11.958146058689559</v>
      </c>
      <c r="AX9" s="20">
        <f t="shared" si="40"/>
        <v>-1.1299422722036694</v>
      </c>
      <c r="AY9" s="106">
        <f t="shared" si="41"/>
        <v>1.4147482244073433</v>
      </c>
      <c r="AZ9" s="255">
        <f t="shared" si="42"/>
        <v>-26.445597426424669</v>
      </c>
      <c r="BA9" s="258">
        <f t="shared" si="43"/>
        <v>-26.445597426424666</v>
      </c>
      <c r="BB9" s="109">
        <f t="shared" si="44"/>
        <v>34.87792600451121</v>
      </c>
      <c r="BC9" s="258">
        <f t="shared" si="45"/>
        <v>34.87792600451121</v>
      </c>
      <c r="BE9" s="56">
        <f t="shared" si="9"/>
        <v>6</v>
      </c>
      <c r="BF9" s="150">
        <f t="shared" si="10"/>
        <v>8</v>
      </c>
      <c r="BG9" s="174" t="str">
        <f t="shared" si="11"/>
        <v>#4 @ 7</v>
      </c>
      <c r="BH9" s="88">
        <f>BM9*BK9*(BN9+2*BJ9)/700</f>
        <v>0.74773822778981802</v>
      </c>
      <c r="BI9" s="129">
        <f t="shared" si="47"/>
        <v>1.6948733163235877E-2</v>
      </c>
      <c r="BJ9" s="43">
        <f t="shared" si="48"/>
        <v>2.5</v>
      </c>
      <c r="BK9" s="27">
        <f t="shared" si="49"/>
        <v>26.445597426424669</v>
      </c>
      <c r="BL9" s="56">
        <f t="shared" si="12"/>
        <v>8</v>
      </c>
      <c r="BM9" s="88">
        <f t="shared" si="50"/>
        <v>1.6493506493506493</v>
      </c>
      <c r="BN9" s="229">
        <v>7</v>
      </c>
      <c r="BP9" s="88">
        <f t="shared" si="51"/>
        <v>0.89330198236044012</v>
      </c>
      <c r="BQ9" s="42">
        <f t="shared" si="52"/>
        <v>1.5186133700127483E-2</v>
      </c>
      <c r="BR9" s="191">
        <f t="shared" si="53"/>
        <v>2.25</v>
      </c>
      <c r="BS9" s="27">
        <f t="shared" si="54"/>
        <v>34.87792600451121</v>
      </c>
      <c r="BT9" s="88">
        <f t="shared" si="55"/>
        <v>1.5590062111801242</v>
      </c>
      <c r="BU9" s="231">
        <f t="shared" si="56"/>
        <v>7</v>
      </c>
    </row>
    <row r="10" spans="1:73" x14ac:dyDescent="0.2">
      <c r="A10" s="2">
        <v>6.25</v>
      </c>
      <c r="B10" s="236">
        <v>8</v>
      </c>
      <c r="C10" s="43">
        <f t="shared" si="13"/>
        <v>9.9999999999999992E-2</v>
      </c>
      <c r="D10" s="195">
        <f t="shared" si="14"/>
        <v>-0.390625</v>
      </c>
      <c r="E10" s="92">
        <f t="shared" si="15"/>
        <v>0.3125</v>
      </c>
      <c r="F10" s="76">
        <f t="shared" si="16"/>
        <v>-0.19531250000000003</v>
      </c>
      <c r="G10" s="96">
        <f t="shared" si="17"/>
        <v>0.15625</v>
      </c>
      <c r="H10" s="253">
        <v>-3.24</v>
      </c>
      <c r="I10" s="99">
        <v>4.91</v>
      </c>
      <c r="J10" s="195">
        <f t="shared" si="18"/>
        <v>-3.8259375000000002</v>
      </c>
      <c r="K10" s="102">
        <f t="shared" si="18"/>
        <v>5.3787500000000001</v>
      </c>
      <c r="L10" s="167" t="s">
        <v>145</v>
      </c>
      <c r="M10" s="236">
        <v>0.2</v>
      </c>
      <c r="N10" s="297">
        <v>7</v>
      </c>
      <c r="O10" s="315">
        <f t="shared" si="19"/>
        <v>0.34285714285714292</v>
      </c>
      <c r="P10" s="224">
        <f t="shared" si="20"/>
        <v>0.34285714285714292</v>
      </c>
      <c r="Q10" s="195">
        <f t="shared" si="0"/>
        <v>5.25</v>
      </c>
      <c r="R10" s="102">
        <f t="shared" si="1"/>
        <v>5.75</v>
      </c>
      <c r="S10" s="253">
        <f t="shared" si="21"/>
        <v>-25.591270833333329</v>
      </c>
      <c r="T10" s="105">
        <f t="shared" si="22"/>
        <v>32.849351449275353</v>
      </c>
      <c r="U10" s="131">
        <v>2</v>
      </c>
      <c r="V10" s="69">
        <v>1.5</v>
      </c>
      <c r="W10" s="131">
        <f t="shared" si="23"/>
        <v>1.7142857142857142</v>
      </c>
      <c r="X10" s="23">
        <f t="shared" si="24"/>
        <v>1.7142857142857142</v>
      </c>
      <c r="Y10" s="201">
        <f t="shared" si="25"/>
        <v>28</v>
      </c>
      <c r="Z10" s="24">
        <f t="shared" si="26"/>
        <v>21</v>
      </c>
      <c r="AA10" s="3">
        <v>130</v>
      </c>
      <c r="AB10" s="249">
        <f t="shared" si="27"/>
        <v>34.02489074260842</v>
      </c>
      <c r="AC10" s="183">
        <f t="shared" si="28"/>
        <v>41.210315354259073</v>
      </c>
      <c r="AD10" s="24">
        <f t="shared" si="29"/>
        <v>48</v>
      </c>
      <c r="AF10" s="55">
        <f t="shared" si="2"/>
        <v>6.25</v>
      </c>
      <c r="AG10" s="246">
        <f t="shared" si="3"/>
        <v>8</v>
      </c>
      <c r="AH10" s="169" t="str">
        <f t="shared" si="4"/>
        <v>#4 @ 7</v>
      </c>
      <c r="AI10" s="55">
        <v>8</v>
      </c>
      <c r="AJ10" s="55">
        <f t="shared" si="30"/>
        <v>1800</v>
      </c>
      <c r="AK10" s="47">
        <f t="shared" si="31"/>
        <v>48</v>
      </c>
      <c r="AL10" s="4">
        <f t="shared" si="32"/>
        <v>0.99667774086378735</v>
      </c>
      <c r="AM10" s="4">
        <f t="shared" si="33"/>
        <v>0.66777408637873759</v>
      </c>
      <c r="AN10" s="253">
        <f t="shared" si="5"/>
        <v>-3.8259375000000002</v>
      </c>
      <c r="AO10" s="108">
        <f t="shared" si="6"/>
        <v>5.3787500000000001</v>
      </c>
      <c r="AP10" s="195">
        <f t="shared" si="34"/>
        <v>1.3373930978336825</v>
      </c>
      <c r="AQ10" s="253">
        <f t="shared" si="35"/>
        <v>0.45714285714285724</v>
      </c>
      <c r="AR10" s="157">
        <f t="shared" si="36"/>
        <v>-2.4000000000000004</v>
      </c>
      <c r="AS10" s="111">
        <f t="shared" si="37"/>
        <v>0.45714285714285724</v>
      </c>
      <c r="AT10" s="111">
        <f t="shared" si="38"/>
        <v>-2.628571428571429</v>
      </c>
      <c r="AU10" s="102">
        <f t="shared" si="39"/>
        <v>1.4087484322165034</v>
      </c>
      <c r="AV10" s="253">
        <f t="shared" si="7"/>
        <v>-9.5564772518216419</v>
      </c>
      <c r="AW10" s="108">
        <f t="shared" si="8"/>
        <v>12.223466004024413</v>
      </c>
      <c r="AX10" s="5">
        <f t="shared" si="40"/>
        <v>-1.190933474396481</v>
      </c>
      <c r="AY10" s="105">
        <f t="shared" si="41"/>
        <v>1.446137782598061</v>
      </c>
      <c r="AZ10" s="253">
        <f t="shared" si="42"/>
        <v>-27.873058651146454</v>
      </c>
      <c r="BA10" s="258">
        <f t="shared" si="43"/>
        <v>-27.873058651146451</v>
      </c>
      <c r="BB10" s="108">
        <f t="shared" si="44"/>
        <v>35.651775845071192</v>
      </c>
      <c r="BC10" s="258">
        <f t="shared" si="45"/>
        <v>35.651775845071199</v>
      </c>
      <c r="BE10" s="55">
        <f t="shared" si="9"/>
        <v>6.25</v>
      </c>
      <c r="BF10" s="149">
        <f t="shared" si="10"/>
        <v>8</v>
      </c>
      <c r="BG10" s="169" t="str">
        <f t="shared" si="11"/>
        <v>#4 @ 7</v>
      </c>
      <c r="BH10" s="87">
        <f t="shared" si="46"/>
        <v>0.78809909803983669</v>
      </c>
      <c r="BI10" s="129">
        <f t="shared" si="47"/>
        <v>1.7863579555569633E-2</v>
      </c>
      <c r="BJ10" s="43">
        <f t="shared" si="48"/>
        <v>2.5</v>
      </c>
      <c r="BK10" s="22">
        <f t="shared" si="49"/>
        <v>27.873058651146454</v>
      </c>
      <c r="BL10" s="55">
        <f t="shared" si="12"/>
        <v>8</v>
      </c>
      <c r="BM10" s="87">
        <f t="shared" si="50"/>
        <v>1.6493506493506493</v>
      </c>
      <c r="BN10" s="227">
        <v>7</v>
      </c>
      <c r="BP10" s="87">
        <f t="shared" si="51"/>
        <v>0.91312201399110904</v>
      </c>
      <c r="BQ10" s="43">
        <f t="shared" si="52"/>
        <v>1.5523074237848855E-2</v>
      </c>
      <c r="BR10" s="191">
        <f t="shared" si="53"/>
        <v>2.25</v>
      </c>
      <c r="BS10" s="22">
        <f t="shared" si="54"/>
        <v>35.651775845071192</v>
      </c>
      <c r="BT10" s="87">
        <f t="shared" si="55"/>
        <v>1.5590062111801242</v>
      </c>
      <c r="BU10" s="232">
        <f t="shared" si="56"/>
        <v>7</v>
      </c>
    </row>
    <row r="11" spans="1:73" x14ac:dyDescent="0.2">
      <c r="A11" s="2">
        <v>6.5</v>
      </c>
      <c r="B11" s="236">
        <v>8</v>
      </c>
      <c r="C11" s="43">
        <f t="shared" si="13"/>
        <v>9.9999999999999992E-2</v>
      </c>
      <c r="D11" s="195">
        <f t="shared" si="14"/>
        <v>-0.42249999999999999</v>
      </c>
      <c r="E11" s="92">
        <f t="shared" si="15"/>
        <v>0.33800000000000002</v>
      </c>
      <c r="F11" s="76">
        <f t="shared" si="16"/>
        <v>-0.21125000000000005</v>
      </c>
      <c r="G11" s="96">
        <f t="shared" si="17"/>
        <v>0.16900000000000001</v>
      </c>
      <c r="H11" s="253">
        <v>-3.38</v>
      </c>
      <c r="I11" s="99">
        <v>5</v>
      </c>
      <c r="J11" s="195">
        <f t="shared" si="18"/>
        <v>-4.0137499999999999</v>
      </c>
      <c r="K11" s="102">
        <f t="shared" si="18"/>
        <v>5.5069999999999997</v>
      </c>
      <c r="L11" s="167" t="s">
        <v>42</v>
      </c>
      <c r="M11" s="236">
        <v>0.2</v>
      </c>
      <c r="N11" s="297">
        <v>6.5</v>
      </c>
      <c r="O11" s="315">
        <f t="shared" si="19"/>
        <v>0.36923076923076931</v>
      </c>
      <c r="P11" s="224">
        <f t="shared" si="20"/>
        <v>0.36923076923076931</v>
      </c>
      <c r="Q11" s="195">
        <f t="shared" si="0"/>
        <v>5.25</v>
      </c>
      <c r="R11" s="102">
        <f t="shared" si="1"/>
        <v>5.75</v>
      </c>
      <c r="S11" s="253">
        <f t="shared" si="21"/>
        <v>-24.929847222222214</v>
      </c>
      <c r="T11" s="105">
        <f t="shared" si="22"/>
        <v>31.230276811594198</v>
      </c>
      <c r="U11" s="131">
        <v>2</v>
      </c>
      <c r="V11" s="69">
        <v>1.5</v>
      </c>
      <c r="W11" s="131">
        <f t="shared" si="23"/>
        <v>1.8461538461538463</v>
      </c>
      <c r="X11" s="23">
        <f t="shared" si="24"/>
        <v>1.8461538461538463</v>
      </c>
      <c r="Y11" s="201">
        <f t="shared" si="25"/>
        <v>26</v>
      </c>
      <c r="Z11" s="24">
        <f t="shared" si="26"/>
        <v>19.5</v>
      </c>
      <c r="AA11" s="3">
        <v>130</v>
      </c>
      <c r="AB11" s="249">
        <f t="shared" si="27"/>
        <v>34.875001814422049</v>
      </c>
      <c r="AC11" s="183">
        <f t="shared" si="28"/>
        <v>42.239954086110011</v>
      </c>
      <c r="AD11" s="24">
        <f t="shared" si="29"/>
        <v>48</v>
      </c>
      <c r="AF11" s="55">
        <f t="shared" si="2"/>
        <v>6.5</v>
      </c>
      <c r="AG11" s="246">
        <f t="shared" si="3"/>
        <v>8</v>
      </c>
      <c r="AH11" s="169" t="str">
        <f t="shared" si="4"/>
        <v>#4 @ 6.5</v>
      </c>
      <c r="AI11" s="55">
        <v>8</v>
      </c>
      <c r="AJ11" s="55">
        <f t="shared" si="30"/>
        <v>1800</v>
      </c>
      <c r="AK11" s="47">
        <f t="shared" si="31"/>
        <v>48</v>
      </c>
      <c r="AL11" s="4">
        <f t="shared" si="32"/>
        <v>0.99667774086378735</v>
      </c>
      <c r="AM11" s="4">
        <f t="shared" si="33"/>
        <v>0.66777408637873759</v>
      </c>
      <c r="AN11" s="253">
        <f t="shared" si="5"/>
        <v>-4.0137499999999999</v>
      </c>
      <c r="AO11" s="108">
        <f t="shared" si="6"/>
        <v>5.5069999999999997</v>
      </c>
      <c r="AP11" s="195">
        <f t="shared" si="34"/>
        <v>1.3802554198649246</v>
      </c>
      <c r="AQ11" s="253">
        <f t="shared" si="35"/>
        <v>0.49230769230769239</v>
      </c>
      <c r="AR11" s="157">
        <f t="shared" si="36"/>
        <v>-2.5846153846153852</v>
      </c>
      <c r="AS11" s="111">
        <f t="shared" si="37"/>
        <v>0.49230769230769239</v>
      </c>
      <c r="AT11" s="111">
        <f t="shared" si="38"/>
        <v>-2.8307692307692314</v>
      </c>
      <c r="AU11" s="102">
        <f t="shared" si="39"/>
        <v>1.4542463851874585</v>
      </c>
      <c r="AV11" s="253">
        <f t="shared" si="7"/>
        <v>-10.055502322550103</v>
      </c>
      <c r="AW11" s="108">
        <f t="shared" si="8"/>
        <v>12.55096811677844</v>
      </c>
      <c r="AX11" s="5">
        <f t="shared" si="40"/>
        <v>-1.2142079137224908</v>
      </c>
      <c r="AY11" s="105">
        <f t="shared" si="41"/>
        <v>1.4384275187271156</v>
      </c>
      <c r="AZ11" s="253">
        <f t="shared" si="42"/>
        <v>-27.23365212357319</v>
      </c>
      <c r="BA11" s="258">
        <f t="shared" si="43"/>
        <v>-27.23365212357319</v>
      </c>
      <c r="BB11" s="108">
        <f t="shared" si="44"/>
        <v>33.992205316274941</v>
      </c>
      <c r="BC11" s="258">
        <f t="shared" si="45"/>
        <v>33.992205316274934</v>
      </c>
      <c r="BE11" s="55">
        <f t="shared" si="9"/>
        <v>6.5</v>
      </c>
      <c r="BF11" s="149">
        <f t="shared" si="10"/>
        <v>8</v>
      </c>
      <c r="BG11" s="169" t="str">
        <f t="shared" si="11"/>
        <v>#4 @ 6.5</v>
      </c>
      <c r="BH11" s="87">
        <f t="shared" si="46"/>
        <v>0.73793597266194155</v>
      </c>
      <c r="BI11" s="129">
        <f t="shared" si="47"/>
        <v>1.6726548713670675E-2</v>
      </c>
      <c r="BJ11" s="43">
        <f t="shared" si="48"/>
        <v>2.5</v>
      </c>
      <c r="BK11" s="22">
        <f t="shared" si="49"/>
        <v>27.23365212357319</v>
      </c>
      <c r="BL11" s="55">
        <f t="shared" si="12"/>
        <v>8</v>
      </c>
      <c r="BM11" s="87">
        <f t="shared" si="50"/>
        <v>1.6493506493506493</v>
      </c>
      <c r="BN11" s="227">
        <v>6.5</v>
      </c>
      <c r="BP11" s="87">
        <f t="shared" si="51"/>
        <v>0.83276378773944204</v>
      </c>
      <c r="BQ11" s="43">
        <f t="shared" si="52"/>
        <v>1.4156984391570517E-2</v>
      </c>
      <c r="BR11" s="191">
        <f t="shared" si="53"/>
        <v>2.25</v>
      </c>
      <c r="BS11" s="22">
        <f t="shared" si="54"/>
        <v>33.992205316274941</v>
      </c>
      <c r="BT11" s="87">
        <f t="shared" si="55"/>
        <v>1.5590062111801242</v>
      </c>
      <c r="BU11" s="232">
        <f t="shared" si="56"/>
        <v>6.5</v>
      </c>
    </row>
    <row r="12" spans="1:73" x14ac:dyDescent="0.2">
      <c r="A12" s="8">
        <v>6.75</v>
      </c>
      <c r="B12" s="238">
        <v>8</v>
      </c>
      <c r="C12" s="44">
        <f t="shared" si="13"/>
        <v>9.9999999999999992E-2</v>
      </c>
      <c r="D12" s="257">
        <f t="shared" si="14"/>
        <v>-0.455625</v>
      </c>
      <c r="E12" s="94">
        <f t="shared" si="15"/>
        <v>0.36449999999999999</v>
      </c>
      <c r="F12" s="78">
        <f t="shared" si="16"/>
        <v>-0.22781250000000006</v>
      </c>
      <c r="G12" s="98">
        <f t="shared" si="17"/>
        <v>0.18225</v>
      </c>
      <c r="H12" s="61">
        <v>-3.51</v>
      </c>
      <c r="I12" s="101">
        <v>5.0999999999999996</v>
      </c>
      <c r="J12" s="257">
        <f t="shared" si="18"/>
        <v>-4.1934374999999999</v>
      </c>
      <c r="K12" s="104">
        <f t="shared" si="18"/>
        <v>5.6467499999999999</v>
      </c>
      <c r="L12" s="168" t="s">
        <v>42</v>
      </c>
      <c r="M12" s="238">
        <v>0.2</v>
      </c>
      <c r="N12" s="298">
        <v>6.5</v>
      </c>
      <c r="O12" s="316">
        <f t="shared" si="19"/>
        <v>0.36923076923076931</v>
      </c>
      <c r="P12" s="225">
        <f t="shared" si="20"/>
        <v>0.36923076923076931</v>
      </c>
      <c r="Q12" s="257">
        <f t="shared" si="0"/>
        <v>5.25</v>
      </c>
      <c r="R12" s="104">
        <f t="shared" si="1"/>
        <v>5.75</v>
      </c>
      <c r="S12" s="61">
        <f t="shared" si="21"/>
        <v>-26.045906249999994</v>
      </c>
      <c r="T12" s="254">
        <f t="shared" si="22"/>
        <v>32.022801086956513</v>
      </c>
      <c r="U12" s="132">
        <v>2</v>
      </c>
      <c r="V12" s="73">
        <v>1.5</v>
      </c>
      <c r="W12" s="132">
        <f t="shared" si="23"/>
        <v>1.8461538461538463</v>
      </c>
      <c r="X12" s="73">
        <f t="shared" si="24"/>
        <v>1.8461538461538463</v>
      </c>
      <c r="Y12" s="245">
        <f t="shared" si="25"/>
        <v>26</v>
      </c>
      <c r="Z12" s="26">
        <f t="shared" si="26"/>
        <v>19.5</v>
      </c>
      <c r="AA12" s="9">
        <v>130</v>
      </c>
      <c r="AB12" s="251">
        <f t="shared" si="27"/>
        <v>34.875001814422049</v>
      </c>
      <c r="AC12" s="185">
        <f t="shared" si="28"/>
        <v>42.239954086110011</v>
      </c>
      <c r="AD12" s="245">
        <f t="shared" si="29"/>
        <v>48</v>
      </c>
      <c r="AF12" s="57">
        <f t="shared" si="2"/>
        <v>6.75</v>
      </c>
      <c r="AG12" s="60">
        <f t="shared" si="3"/>
        <v>8</v>
      </c>
      <c r="AH12" s="175" t="str">
        <f t="shared" si="4"/>
        <v>#4 @ 6.5</v>
      </c>
      <c r="AI12" s="57">
        <v>8</v>
      </c>
      <c r="AJ12" s="57">
        <f t="shared" si="30"/>
        <v>1800</v>
      </c>
      <c r="AK12" s="49">
        <f t="shared" si="31"/>
        <v>48</v>
      </c>
      <c r="AL12" s="10">
        <f t="shared" si="32"/>
        <v>0.99667774086378735</v>
      </c>
      <c r="AM12" s="10">
        <f t="shared" si="33"/>
        <v>0.66777408637873759</v>
      </c>
      <c r="AN12" s="61">
        <f t="shared" si="5"/>
        <v>-4.1934374999999999</v>
      </c>
      <c r="AO12" s="110">
        <f t="shared" si="6"/>
        <v>5.6467499999999999</v>
      </c>
      <c r="AP12" s="257">
        <f t="shared" si="34"/>
        <v>1.3802554198649246</v>
      </c>
      <c r="AQ12" s="61">
        <f t="shared" si="35"/>
        <v>0.49230769230769239</v>
      </c>
      <c r="AR12" s="158">
        <f t="shared" si="36"/>
        <v>-2.5846153846153852</v>
      </c>
      <c r="AS12" s="113">
        <f t="shared" si="37"/>
        <v>0.49230769230769239</v>
      </c>
      <c r="AT12" s="113">
        <f t="shared" si="38"/>
        <v>-2.8307692307692314</v>
      </c>
      <c r="AU12" s="104">
        <f t="shared" si="39"/>
        <v>1.4542463851874585</v>
      </c>
      <c r="AV12" s="61">
        <f t="shared" si="7"/>
        <v>-10.505666900210201</v>
      </c>
      <c r="AW12" s="110">
        <f t="shared" si="8"/>
        <v>12.869471438790384</v>
      </c>
      <c r="AX12" s="11">
        <f t="shared" si="40"/>
        <v>-1.2685655554532935</v>
      </c>
      <c r="AY12" s="107">
        <f t="shared" si="41"/>
        <v>1.4749301963632357</v>
      </c>
      <c r="AZ12" s="61">
        <f t="shared" si="42"/>
        <v>-28.452847854735953</v>
      </c>
      <c r="BA12" s="259">
        <f t="shared" si="43"/>
        <v>-28.452847854735957</v>
      </c>
      <c r="BB12" s="110">
        <f t="shared" si="44"/>
        <v>34.854818480057283</v>
      </c>
      <c r="BC12" s="259">
        <f t="shared" si="45"/>
        <v>34.854818480057283</v>
      </c>
      <c r="BE12" s="57">
        <f t="shared" si="9"/>
        <v>6.75</v>
      </c>
      <c r="BF12" s="151">
        <f t="shared" si="10"/>
        <v>8</v>
      </c>
      <c r="BG12" s="175" t="str">
        <f t="shared" si="11"/>
        <v>#4 @ 6.5</v>
      </c>
      <c r="BH12" s="89">
        <f t="shared" si="46"/>
        <v>0.77097187925495092</v>
      </c>
      <c r="BI12" s="44">
        <f t="shared" si="47"/>
        <v>1.7475362596445557E-2</v>
      </c>
      <c r="BJ12" s="44">
        <f t="shared" si="48"/>
        <v>2.5</v>
      </c>
      <c r="BK12" s="22">
        <f t="shared" si="49"/>
        <v>28.452847854735953</v>
      </c>
      <c r="BL12" s="55">
        <f t="shared" si="12"/>
        <v>8</v>
      </c>
      <c r="BM12" s="87">
        <f t="shared" si="50"/>
        <v>1.6493506493506493</v>
      </c>
      <c r="BN12" s="227">
        <v>6.5</v>
      </c>
      <c r="BP12" s="89">
        <f t="shared" si="51"/>
        <v>0.8538966621423083</v>
      </c>
      <c r="BQ12" s="44">
        <f t="shared" si="52"/>
        <v>1.4516243256419242E-2</v>
      </c>
      <c r="BR12" s="234">
        <f t="shared" si="53"/>
        <v>2.25</v>
      </c>
      <c r="BS12" s="25">
        <f t="shared" si="54"/>
        <v>34.854818480057283</v>
      </c>
      <c r="BT12" s="89">
        <f t="shared" si="55"/>
        <v>1.5590062111801242</v>
      </c>
      <c r="BU12" s="233">
        <f t="shared" si="56"/>
        <v>6.5</v>
      </c>
    </row>
    <row r="13" spans="1:73" x14ac:dyDescent="0.2">
      <c r="A13" s="2">
        <v>7</v>
      </c>
      <c r="B13" s="236">
        <v>8</v>
      </c>
      <c r="C13" s="43">
        <f t="shared" si="13"/>
        <v>9.9999999999999992E-2</v>
      </c>
      <c r="D13" s="195">
        <f t="shared" si="14"/>
        <v>-0.49</v>
      </c>
      <c r="E13" s="92">
        <f t="shared" si="15"/>
        <v>0.39200000000000002</v>
      </c>
      <c r="F13" s="76">
        <f t="shared" si="16"/>
        <v>-0.24500000000000005</v>
      </c>
      <c r="G13" s="96">
        <f t="shared" si="17"/>
        <v>0.19600000000000001</v>
      </c>
      <c r="H13" s="253">
        <v>-3.83</v>
      </c>
      <c r="I13" s="99">
        <v>5.21</v>
      </c>
      <c r="J13" s="195">
        <f t="shared" si="18"/>
        <v>-4.5650000000000004</v>
      </c>
      <c r="K13" s="102">
        <f t="shared" si="18"/>
        <v>5.798</v>
      </c>
      <c r="L13" s="167" t="s">
        <v>42</v>
      </c>
      <c r="M13" s="237">
        <v>0.2</v>
      </c>
      <c r="N13" s="297">
        <v>6.5</v>
      </c>
      <c r="O13" s="315">
        <f t="shared" si="19"/>
        <v>0.36923076923076931</v>
      </c>
      <c r="P13" s="224">
        <f t="shared" si="20"/>
        <v>0.36923076923076931</v>
      </c>
      <c r="Q13" s="195">
        <f t="shared" si="0"/>
        <v>5.25</v>
      </c>
      <c r="R13" s="102">
        <f t="shared" si="1"/>
        <v>5.75</v>
      </c>
      <c r="S13" s="253">
        <f t="shared" si="21"/>
        <v>-28.353722222222217</v>
      </c>
      <c r="T13" s="105">
        <f t="shared" si="22"/>
        <v>32.880542028985495</v>
      </c>
      <c r="U13" s="131">
        <v>2</v>
      </c>
      <c r="V13" s="69">
        <v>1.5</v>
      </c>
      <c r="W13" s="131">
        <f t="shared" si="23"/>
        <v>1.8461538461538463</v>
      </c>
      <c r="X13" s="23">
        <f t="shared" si="24"/>
        <v>1.8461538461538463</v>
      </c>
      <c r="Y13" s="201">
        <f t="shared" si="25"/>
        <v>26</v>
      </c>
      <c r="Z13" s="24">
        <f t="shared" si="26"/>
        <v>19.5</v>
      </c>
      <c r="AA13" s="3">
        <v>130</v>
      </c>
      <c r="AB13" s="249">
        <f t="shared" si="27"/>
        <v>34.875001814422049</v>
      </c>
      <c r="AC13" s="183">
        <f t="shared" si="28"/>
        <v>42.239954086110011</v>
      </c>
      <c r="AD13" s="24">
        <f t="shared" si="29"/>
        <v>48</v>
      </c>
      <c r="AF13" s="2">
        <f t="shared" si="2"/>
        <v>7</v>
      </c>
      <c r="AG13" s="246">
        <f t="shared" si="3"/>
        <v>8</v>
      </c>
      <c r="AH13" s="169" t="str">
        <f t="shared" si="4"/>
        <v>#4 @ 6.5</v>
      </c>
      <c r="AI13" s="55">
        <v>8</v>
      </c>
      <c r="AJ13" s="55">
        <f t="shared" si="30"/>
        <v>1800</v>
      </c>
      <c r="AK13" s="47">
        <f t="shared" si="31"/>
        <v>48</v>
      </c>
      <c r="AL13" s="4">
        <f t="shared" si="32"/>
        <v>0.99667774086378735</v>
      </c>
      <c r="AM13" s="4">
        <f t="shared" si="33"/>
        <v>0.66777408637873759</v>
      </c>
      <c r="AN13" s="253">
        <f t="shared" si="5"/>
        <v>-4.5650000000000004</v>
      </c>
      <c r="AO13" s="108">
        <f t="shared" si="6"/>
        <v>5.798</v>
      </c>
      <c r="AP13" s="195">
        <f t="shared" si="34"/>
        <v>1.3802554198649246</v>
      </c>
      <c r="AQ13" s="253">
        <f t="shared" si="35"/>
        <v>0.49230769230769239</v>
      </c>
      <c r="AR13" s="157">
        <f t="shared" si="36"/>
        <v>-2.5846153846153852</v>
      </c>
      <c r="AS13" s="111">
        <f t="shared" si="37"/>
        <v>0.49230769230769239</v>
      </c>
      <c r="AT13" s="111">
        <f t="shared" si="38"/>
        <v>-2.8307692307692314</v>
      </c>
      <c r="AU13" s="102">
        <f t="shared" si="39"/>
        <v>1.4542463851874585</v>
      </c>
      <c r="AV13" s="253">
        <f t="shared" si="7"/>
        <v>-11.436528957319519</v>
      </c>
      <c r="AW13" s="108">
        <f t="shared" si="8"/>
        <v>13.21418433649562</v>
      </c>
      <c r="AX13" s="5">
        <f t="shared" si="40"/>
        <v>-1.3809677050496842</v>
      </c>
      <c r="AY13" s="105">
        <f t="shared" si="41"/>
        <v>1.5144366721590365</v>
      </c>
      <c r="AZ13" s="253">
        <f t="shared" si="42"/>
        <v>-30.973932592740354</v>
      </c>
      <c r="BA13" s="258">
        <f t="shared" si="43"/>
        <v>-30.973932592740358</v>
      </c>
      <c r="BB13" s="108">
        <f t="shared" si="44"/>
        <v>35.788415911342298</v>
      </c>
      <c r="BC13" s="258">
        <f t="shared" si="45"/>
        <v>35.788415911342298</v>
      </c>
      <c r="BE13" s="2">
        <f t="shared" si="9"/>
        <v>7</v>
      </c>
      <c r="BF13" s="138">
        <f t="shared" si="10"/>
        <v>8</v>
      </c>
      <c r="BG13" s="174" t="str">
        <f t="shared" si="11"/>
        <v>#4 @ 6.5</v>
      </c>
      <c r="BH13" s="66">
        <f t="shared" si="46"/>
        <v>0.83928438871423539</v>
      </c>
      <c r="BI13" s="42">
        <f t="shared" si="47"/>
        <v>1.9023779477522668E-2</v>
      </c>
      <c r="BJ13" s="32">
        <f t="shared" si="48"/>
        <v>2.5</v>
      </c>
      <c r="BK13" s="27">
        <f t="shared" si="49"/>
        <v>30.973932592740354</v>
      </c>
      <c r="BL13" s="56">
        <f t="shared" si="12"/>
        <v>8</v>
      </c>
      <c r="BM13" s="88">
        <f t="shared" si="50"/>
        <v>1.6493506493506493</v>
      </c>
      <c r="BN13" s="229">
        <v>6.5</v>
      </c>
      <c r="BP13" s="66">
        <f t="shared" si="51"/>
        <v>0.87676855662126074</v>
      </c>
      <c r="BQ13" s="129">
        <f t="shared" si="52"/>
        <v>1.4905065462561434E-2</v>
      </c>
      <c r="BR13" s="191">
        <f t="shared" si="53"/>
        <v>2.25</v>
      </c>
      <c r="BS13" s="22">
        <f t="shared" si="54"/>
        <v>35.788415911342298</v>
      </c>
      <c r="BT13" s="87">
        <f t="shared" si="55"/>
        <v>1.5590062111801242</v>
      </c>
      <c r="BU13" s="230">
        <f t="shared" si="56"/>
        <v>6.5</v>
      </c>
    </row>
    <row r="14" spans="1:73" x14ac:dyDescent="0.2">
      <c r="A14" s="2">
        <v>7.25</v>
      </c>
      <c r="B14" s="236">
        <v>8</v>
      </c>
      <c r="C14" s="43">
        <f t="shared" si="13"/>
        <v>9.9999999999999992E-2</v>
      </c>
      <c r="D14" s="195">
        <f t="shared" si="14"/>
        <v>-0.52562500000000001</v>
      </c>
      <c r="E14" s="92">
        <f t="shared" si="15"/>
        <v>0.42049999999999998</v>
      </c>
      <c r="F14" s="76">
        <f t="shared" si="16"/>
        <v>-0.26281250000000006</v>
      </c>
      <c r="G14" s="96">
        <f t="shared" si="17"/>
        <v>0.21024999999999999</v>
      </c>
      <c r="H14" s="253">
        <v>-3.95</v>
      </c>
      <c r="I14" s="99">
        <v>5.32</v>
      </c>
      <c r="J14" s="195">
        <f t="shared" si="18"/>
        <v>-4.7384374999999999</v>
      </c>
      <c r="K14" s="102">
        <f t="shared" si="18"/>
        <v>5.9507500000000002</v>
      </c>
      <c r="L14" s="167" t="s">
        <v>11</v>
      </c>
      <c r="M14" s="236">
        <v>0.2</v>
      </c>
      <c r="N14" s="297">
        <v>6</v>
      </c>
      <c r="O14" s="315">
        <f t="shared" si="19"/>
        <v>0.40000000000000008</v>
      </c>
      <c r="P14" s="224">
        <f t="shared" si="20"/>
        <v>0.40000000000000008</v>
      </c>
      <c r="Q14" s="195">
        <f t="shared" si="0"/>
        <v>5.25</v>
      </c>
      <c r="R14" s="102">
        <f t="shared" si="1"/>
        <v>5.75</v>
      </c>
      <c r="S14" s="253">
        <f t="shared" si="21"/>
        <v>-27.167041666666663</v>
      </c>
      <c r="T14" s="105">
        <f t="shared" si="22"/>
        <v>31.150882608695653</v>
      </c>
      <c r="U14" s="131">
        <v>2</v>
      </c>
      <c r="V14" s="69">
        <v>1.5</v>
      </c>
      <c r="W14" s="131">
        <f t="shared" si="23"/>
        <v>2</v>
      </c>
      <c r="X14" s="23">
        <f t="shared" si="24"/>
        <v>2</v>
      </c>
      <c r="Y14" s="201">
        <f t="shared" si="25"/>
        <v>24</v>
      </c>
      <c r="Z14" s="24">
        <f t="shared" si="26"/>
        <v>18</v>
      </c>
      <c r="AA14" s="3">
        <v>130</v>
      </c>
      <c r="AB14" s="249">
        <f t="shared" si="27"/>
        <v>35.817067077850069</v>
      </c>
      <c r="AC14" s="183">
        <f t="shared" si="28"/>
        <v>43.380966025982168</v>
      </c>
      <c r="AD14" s="24">
        <f t="shared" si="29"/>
        <v>48</v>
      </c>
      <c r="AF14" s="2">
        <f t="shared" si="2"/>
        <v>7.25</v>
      </c>
      <c r="AG14" s="246">
        <f t="shared" si="3"/>
        <v>8</v>
      </c>
      <c r="AH14" s="169" t="str">
        <f t="shared" si="4"/>
        <v>#4 @ 6</v>
      </c>
      <c r="AI14" s="55">
        <v>8</v>
      </c>
      <c r="AJ14" s="55">
        <f t="shared" si="30"/>
        <v>1800</v>
      </c>
      <c r="AK14" s="47">
        <f t="shared" si="31"/>
        <v>48</v>
      </c>
      <c r="AL14" s="4">
        <f t="shared" si="32"/>
        <v>0.99667774086378735</v>
      </c>
      <c r="AM14" s="4">
        <f t="shared" si="33"/>
        <v>0.66777408637873759</v>
      </c>
      <c r="AN14" s="253">
        <f t="shared" si="5"/>
        <v>-4.7384374999999999</v>
      </c>
      <c r="AO14" s="108">
        <f t="shared" si="6"/>
        <v>5.9507500000000002</v>
      </c>
      <c r="AP14" s="195">
        <f t="shared" si="34"/>
        <v>1.427768670285178</v>
      </c>
      <c r="AQ14" s="253">
        <f t="shared" si="35"/>
        <v>0.53333333333333344</v>
      </c>
      <c r="AR14" s="157">
        <f t="shared" si="36"/>
        <v>-2.8000000000000007</v>
      </c>
      <c r="AS14" s="111">
        <f t="shared" si="37"/>
        <v>0.53333333333333344</v>
      </c>
      <c r="AT14" s="111">
        <f t="shared" si="38"/>
        <v>-3.0666666666666669</v>
      </c>
      <c r="AU14" s="102">
        <f t="shared" si="39"/>
        <v>1.5047107007448561</v>
      </c>
      <c r="AV14" s="253">
        <f t="shared" si="7"/>
        <v>-11.910417174039361</v>
      </c>
      <c r="AW14" s="108">
        <f t="shared" si="8"/>
        <v>13.605783668270508</v>
      </c>
      <c r="AX14" s="5">
        <f t="shared" si="40"/>
        <v>-1.3903299395202928</v>
      </c>
      <c r="AY14" s="105">
        <f t="shared" si="41"/>
        <v>1.5070209909824555</v>
      </c>
      <c r="AZ14" s="253">
        <f t="shared" si="42"/>
        <v>-29.776042935098403</v>
      </c>
      <c r="BA14" s="258">
        <f t="shared" si="43"/>
        <v>-29.776042935098399</v>
      </c>
      <c r="BB14" s="108">
        <f t="shared" si="44"/>
        <v>34.014459170676282</v>
      </c>
      <c r="BC14" s="258">
        <f t="shared" si="45"/>
        <v>34.014459170676261</v>
      </c>
      <c r="BE14" s="2">
        <f t="shared" si="9"/>
        <v>7.25</v>
      </c>
      <c r="BF14" s="138">
        <f t="shared" si="10"/>
        <v>8</v>
      </c>
      <c r="BG14" s="169" t="str">
        <f t="shared" si="11"/>
        <v>#4 @ 6</v>
      </c>
      <c r="BH14" s="66">
        <f t="shared" si="46"/>
        <v>0.77174641893010143</v>
      </c>
      <c r="BI14" s="43">
        <f t="shared" si="47"/>
        <v>1.7492918829082302E-2</v>
      </c>
      <c r="BJ14" s="32">
        <f t="shared" si="48"/>
        <v>2.5</v>
      </c>
      <c r="BK14" s="22">
        <f t="shared" si="49"/>
        <v>29.776042935098403</v>
      </c>
      <c r="BL14" s="55">
        <f t="shared" si="12"/>
        <v>8</v>
      </c>
      <c r="BM14" s="87">
        <f t="shared" si="50"/>
        <v>1.6493506493506493</v>
      </c>
      <c r="BN14" s="227">
        <v>6</v>
      </c>
      <c r="BP14" s="66">
        <f t="shared" si="51"/>
        <v>0.79543129675525592</v>
      </c>
      <c r="BQ14" s="129">
        <f t="shared" si="52"/>
        <v>1.3522332044839352E-2</v>
      </c>
      <c r="BR14" s="191">
        <f t="shared" si="53"/>
        <v>2.25</v>
      </c>
      <c r="BS14" s="22">
        <f t="shared" si="54"/>
        <v>34.014459170676282</v>
      </c>
      <c r="BT14" s="87">
        <f t="shared" si="55"/>
        <v>1.5590062111801242</v>
      </c>
      <c r="BU14" s="230">
        <f t="shared" si="56"/>
        <v>6</v>
      </c>
    </row>
    <row r="15" spans="1:73" x14ac:dyDescent="0.2">
      <c r="A15" s="2">
        <v>7.5</v>
      </c>
      <c r="B15" s="236">
        <v>8</v>
      </c>
      <c r="C15" s="43">
        <f t="shared" si="13"/>
        <v>9.9999999999999992E-2</v>
      </c>
      <c r="D15" s="195">
        <f t="shared" si="14"/>
        <v>-0.5625</v>
      </c>
      <c r="E15" s="92">
        <f t="shared" si="15"/>
        <v>0.45</v>
      </c>
      <c r="F15" s="76">
        <f t="shared" si="16"/>
        <v>-0.28125000000000006</v>
      </c>
      <c r="G15" s="96">
        <f t="shared" si="17"/>
        <v>0.22500000000000001</v>
      </c>
      <c r="H15" s="253">
        <v>-4.0599999999999996</v>
      </c>
      <c r="I15" s="99">
        <v>5.44</v>
      </c>
      <c r="J15" s="195">
        <f t="shared" si="18"/>
        <v>-4.9037499999999996</v>
      </c>
      <c r="K15" s="102">
        <f t="shared" si="18"/>
        <v>6.1150000000000002</v>
      </c>
      <c r="L15" s="167" t="s">
        <v>11</v>
      </c>
      <c r="M15" s="236">
        <v>0.2</v>
      </c>
      <c r="N15" s="297">
        <v>6</v>
      </c>
      <c r="O15" s="315">
        <f t="shared" si="19"/>
        <v>0.40000000000000008</v>
      </c>
      <c r="P15" s="224">
        <f t="shared" si="20"/>
        <v>0.40000000000000008</v>
      </c>
      <c r="Q15" s="195">
        <f t="shared" si="0"/>
        <v>5.25</v>
      </c>
      <c r="R15" s="102">
        <f t="shared" si="1"/>
        <v>5.75</v>
      </c>
      <c r="S15" s="253">
        <f t="shared" si="21"/>
        <v>-28.11483333333333</v>
      </c>
      <c r="T15" s="105">
        <f t="shared" si="22"/>
        <v>32.010695652173908</v>
      </c>
      <c r="U15" s="131">
        <v>2</v>
      </c>
      <c r="V15" s="69">
        <v>1.5</v>
      </c>
      <c r="W15" s="131">
        <f t="shared" si="23"/>
        <v>2</v>
      </c>
      <c r="X15" s="23">
        <f t="shared" si="24"/>
        <v>2</v>
      </c>
      <c r="Y15" s="201">
        <f t="shared" si="25"/>
        <v>24</v>
      </c>
      <c r="Z15" s="24">
        <f t="shared" si="26"/>
        <v>18</v>
      </c>
      <c r="AA15" s="3">
        <v>130</v>
      </c>
      <c r="AB15" s="249">
        <f t="shared" si="27"/>
        <v>35.817067077850069</v>
      </c>
      <c r="AC15" s="183">
        <f t="shared" si="28"/>
        <v>43.380966025982168</v>
      </c>
      <c r="AD15" s="24">
        <f t="shared" si="29"/>
        <v>48</v>
      </c>
      <c r="AF15" s="2">
        <f t="shared" si="2"/>
        <v>7.5</v>
      </c>
      <c r="AG15" s="246">
        <f t="shared" si="3"/>
        <v>8</v>
      </c>
      <c r="AH15" s="169" t="str">
        <f t="shared" si="4"/>
        <v>#4 @ 6</v>
      </c>
      <c r="AI15" s="55">
        <v>8</v>
      </c>
      <c r="AJ15" s="55">
        <f t="shared" si="30"/>
        <v>1800</v>
      </c>
      <c r="AK15" s="47">
        <f t="shared" si="31"/>
        <v>48</v>
      </c>
      <c r="AL15" s="4">
        <f t="shared" si="32"/>
        <v>0.99667774086378735</v>
      </c>
      <c r="AM15" s="4">
        <f t="shared" si="33"/>
        <v>0.66777408637873759</v>
      </c>
      <c r="AN15" s="253">
        <f t="shared" si="5"/>
        <v>-4.9037499999999996</v>
      </c>
      <c r="AO15" s="108">
        <f t="shared" si="6"/>
        <v>6.1150000000000002</v>
      </c>
      <c r="AP15" s="195">
        <f t="shared" si="34"/>
        <v>1.427768670285178</v>
      </c>
      <c r="AQ15" s="253">
        <f t="shared" si="35"/>
        <v>0.53333333333333344</v>
      </c>
      <c r="AR15" s="157">
        <f t="shared" si="36"/>
        <v>-2.8000000000000007</v>
      </c>
      <c r="AS15" s="111">
        <f t="shared" si="37"/>
        <v>0.53333333333333344</v>
      </c>
      <c r="AT15" s="111">
        <f t="shared" si="38"/>
        <v>-3.0666666666666669</v>
      </c>
      <c r="AU15" s="102">
        <f t="shared" si="39"/>
        <v>1.5047107007448561</v>
      </c>
      <c r="AV15" s="253">
        <f t="shared" si="7"/>
        <v>-12.325942511048318</v>
      </c>
      <c r="AW15" s="108">
        <f t="shared" si="8"/>
        <v>13.981324561017376</v>
      </c>
      <c r="AX15" s="127">
        <f t="shared" si="40"/>
        <v>-1.4388351520775857</v>
      </c>
      <c r="AY15" s="105">
        <f t="shared" si="41"/>
        <v>1.5486171255484962</v>
      </c>
      <c r="AZ15" s="253">
        <f t="shared" si="42"/>
        <v>-30.814856277620791</v>
      </c>
      <c r="BA15" s="258">
        <f t="shared" si="43"/>
        <v>-30.814856277620787</v>
      </c>
      <c r="BB15" s="108">
        <f t="shared" si="44"/>
        <v>34.953311402543449</v>
      </c>
      <c r="BC15" s="258">
        <f t="shared" si="45"/>
        <v>34.953311402543434</v>
      </c>
      <c r="BE15" s="2">
        <f t="shared" si="9"/>
        <v>7.5</v>
      </c>
      <c r="BF15" s="138">
        <f t="shared" si="10"/>
        <v>8</v>
      </c>
      <c r="BG15" s="169" t="str">
        <f t="shared" si="11"/>
        <v>#4 @ 6</v>
      </c>
      <c r="BH15" s="66">
        <f>BM15*BK15*(BN15+2*BJ15)/700</f>
        <v>0.79867076474649801</v>
      </c>
      <c r="BI15" s="43">
        <f t="shared" si="47"/>
        <v>1.8103204000920622E-2</v>
      </c>
      <c r="BJ15" s="32">
        <f t="shared" si="48"/>
        <v>2.5</v>
      </c>
      <c r="BK15" s="22">
        <f>-AZ15</f>
        <v>30.814856277620791</v>
      </c>
      <c r="BL15" s="55">
        <f t="shared" si="12"/>
        <v>8</v>
      </c>
      <c r="BM15" s="87">
        <f>1+BJ15/(0.7*(BL15-BJ15))</f>
        <v>1.6493506493506493</v>
      </c>
      <c r="BN15" s="227">
        <v>6</v>
      </c>
      <c r="BP15" s="66">
        <f t="shared" si="51"/>
        <v>0.81738644366817437</v>
      </c>
      <c r="BQ15" s="129">
        <f t="shared" si="52"/>
        <v>1.3895569542358965E-2</v>
      </c>
      <c r="BR15" s="191">
        <f t="shared" si="53"/>
        <v>2.25</v>
      </c>
      <c r="BS15" s="22">
        <f t="shared" si="54"/>
        <v>34.953311402543449</v>
      </c>
      <c r="BT15" s="87">
        <f t="shared" si="55"/>
        <v>1.5590062111801242</v>
      </c>
      <c r="BU15" s="230">
        <f t="shared" si="56"/>
        <v>6</v>
      </c>
    </row>
    <row r="16" spans="1:73" x14ac:dyDescent="0.2">
      <c r="A16" s="2">
        <v>7.75</v>
      </c>
      <c r="B16" s="236">
        <v>8</v>
      </c>
      <c r="C16" s="43">
        <f t="shared" si="13"/>
        <v>9.9999999999999992E-2</v>
      </c>
      <c r="D16" s="195">
        <f t="shared" si="14"/>
        <v>-0.60062499999999996</v>
      </c>
      <c r="E16" s="92">
        <f t="shared" si="15"/>
        <v>0.48049999999999998</v>
      </c>
      <c r="F16" s="76">
        <f t="shared" si="16"/>
        <v>-0.30031250000000004</v>
      </c>
      <c r="G16" s="96">
        <f t="shared" si="17"/>
        <v>0.24024999999999999</v>
      </c>
      <c r="H16" s="253">
        <v>-4.16</v>
      </c>
      <c r="I16" s="99">
        <v>5.56</v>
      </c>
      <c r="J16" s="195">
        <f t="shared" si="18"/>
        <v>-5.0609374999999996</v>
      </c>
      <c r="K16" s="102">
        <f t="shared" si="18"/>
        <v>6.2807499999999994</v>
      </c>
      <c r="L16" s="167" t="s">
        <v>11</v>
      </c>
      <c r="M16" s="238">
        <v>0.2</v>
      </c>
      <c r="N16" s="297">
        <v>6</v>
      </c>
      <c r="O16" s="316">
        <f t="shared" si="19"/>
        <v>0.40000000000000008</v>
      </c>
      <c r="P16" s="225">
        <f t="shared" si="20"/>
        <v>0.40000000000000008</v>
      </c>
      <c r="Q16" s="257">
        <f t="shared" si="0"/>
        <v>5.25</v>
      </c>
      <c r="R16" s="104">
        <f t="shared" si="1"/>
        <v>5.75</v>
      </c>
      <c r="S16" s="61">
        <f t="shared" si="21"/>
        <v>-29.016041666666663</v>
      </c>
      <c r="T16" s="254">
        <f t="shared" si="22"/>
        <v>32.878360869565213</v>
      </c>
      <c r="U16" s="131">
        <v>2</v>
      </c>
      <c r="V16" s="69">
        <v>1.5</v>
      </c>
      <c r="W16" s="132">
        <f t="shared" si="23"/>
        <v>2</v>
      </c>
      <c r="X16" s="73">
        <f t="shared" si="24"/>
        <v>2</v>
      </c>
      <c r="Y16" s="201">
        <f t="shared" si="25"/>
        <v>24</v>
      </c>
      <c r="Z16" s="24">
        <f t="shared" si="26"/>
        <v>18</v>
      </c>
      <c r="AA16" s="3">
        <v>130</v>
      </c>
      <c r="AB16" s="249">
        <f t="shared" si="27"/>
        <v>35.817067077850069</v>
      </c>
      <c r="AC16" s="183">
        <f t="shared" si="28"/>
        <v>43.380966025982168</v>
      </c>
      <c r="AD16" s="245">
        <f t="shared" si="29"/>
        <v>48</v>
      </c>
      <c r="AF16" s="2">
        <f t="shared" si="2"/>
        <v>7.75</v>
      </c>
      <c r="AG16" s="246">
        <f t="shared" si="3"/>
        <v>8</v>
      </c>
      <c r="AH16" s="169" t="str">
        <f t="shared" si="4"/>
        <v>#4 @ 6</v>
      </c>
      <c r="AI16" s="55">
        <v>8</v>
      </c>
      <c r="AJ16" s="57">
        <f t="shared" si="30"/>
        <v>1800</v>
      </c>
      <c r="AK16" s="49">
        <f t="shared" si="31"/>
        <v>48</v>
      </c>
      <c r="AL16" s="4">
        <f t="shared" si="32"/>
        <v>0.99667774086378735</v>
      </c>
      <c r="AM16" s="4">
        <f t="shared" si="33"/>
        <v>0.66777408637873759</v>
      </c>
      <c r="AN16" s="253">
        <f t="shared" si="5"/>
        <v>-5.0609374999999996</v>
      </c>
      <c r="AO16" s="108">
        <f t="shared" si="6"/>
        <v>6.2807499999999994</v>
      </c>
      <c r="AP16" s="195">
        <f t="shared" si="34"/>
        <v>1.427768670285178</v>
      </c>
      <c r="AQ16" s="253">
        <f t="shared" si="35"/>
        <v>0.53333333333333344</v>
      </c>
      <c r="AR16" s="157">
        <f t="shared" si="36"/>
        <v>-2.8000000000000007</v>
      </c>
      <c r="AS16" s="111">
        <f t="shared" si="37"/>
        <v>0.53333333333333344</v>
      </c>
      <c r="AT16" s="111">
        <f t="shared" si="38"/>
        <v>-3.0666666666666669</v>
      </c>
      <c r="AU16" s="102">
        <f t="shared" si="39"/>
        <v>1.5047107007448561</v>
      </c>
      <c r="AV16" s="253">
        <f t="shared" si="7"/>
        <v>-12.721045052665531</v>
      </c>
      <c r="AW16" s="108">
        <f t="shared" si="8"/>
        <v>14.36029505095828</v>
      </c>
      <c r="AX16" s="127">
        <f t="shared" si="40"/>
        <v>-1.4849563655299833</v>
      </c>
      <c r="AY16" s="105">
        <f t="shared" si="41"/>
        <v>1.5905931334895695</v>
      </c>
      <c r="AZ16" s="253">
        <f t="shared" si="42"/>
        <v>-31.80261263166382</v>
      </c>
      <c r="BA16" s="259">
        <f t="shared" si="43"/>
        <v>-31.80261263166382</v>
      </c>
      <c r="BB16" s="108">
        <f t="shared" si="44"/>
        <v>35.900737627395714</v>
      </c>
      <c r="BC16" s="259">
        <f t="shared" si="45"/>
        <v>35.900737627395692</v>
      </c>
      <c r="BE16" s="2">
        <f t="shared" si="9"/>
        <v>7.75</v>
      </c>
      <c r="BF16" s="138">
        <f t="shared" si="10"/>
        <v>8</v>
      </c>
      <c r="BG16" s="175" t="str">
        <f t="shared" si="11"/>
        <v>#4 @ 6</v>
      </c>
      <c r="BH16" s="66">
        <f t="shared" si="46"/>
        <v>0.82427179677985818</v>
      </c>
      <c r="BI16" s="44">
        <f t="shared" si="47"/>
        <v>1.8683494060343454E-2</v>
      </c>
      <c r="BJ16" s="44">
        <f t="shared" si="48"/>
        <v>2.5</v>
      </c>
      <c r="BK16" s="25">
        <f t="shared" si="49"/>
        <v>31.80261263166382</v>
      </c>
      <c r="BL16" s="57">
        <f t="shared" si="12"/>
        <v>8</v>
      </c>
      <c r="BM16" s="89">
        <f t="shared" si="50"/>
        <v>1.6493506493506493</v>
      </c>
      <c r="BN16" s="228">
        <v>6</v>
      </c>
      <c r="BP16" s="66">
        <f t="shared" si="51"/>
        <v>0.83954209420586867</v>
      </c>
      <c r="BQ16" s="129">
        <f t="shared" si="52"/>
        <v>1.4272215601499768E-2</v>
      </c>
      <c r="BR16" s="234">
        <f t="shared" si="53"/>
        <v>2.25</v>
      </c>
      <c r="BS16" s="22">
        <f t="shared" si="54"/>
        <v>35.900737627395714</v>
      </c>
      <c r="BT16" s="87">
        <f t="shared" si="55"/>
        <v>1.5590062111801242</v>
      </c>
      <c r="BU16" s="230">
        <f t="shared" si="56"/>
        <v>6</v>
      </c>
    </row>
    <row r="17" spans="1:73" x14ac:dyDescent="0.2">
      <c r="A17" s="17">
        <v>8</v>
      </c>
      <c r="B17" s="237">
        <v>8</v>
      </c>
      <c r="C17" s="42">
        <f t="shared" si="13"/>
        <v>9.9999999999999992E-2</v>
      </c>
      <c r="D17" s="256">
        <f t="shared" si="14"/>
        <v>-0.64</v>
      </c>
      <c r="E17" s="93">
        <f t="shared" si="15"/>
        <v>0.51200000000000001</v>
      </c>
      <c r="F17" s="77">
        <f t="shared" si="16"/>
        <v>-0.32000000000000006</v>
      </c>
      <c r="G17" s="97">
        <f t="shared" si="17"/>
        <v>0.25600000000000001</v>
      </c>
      <c r="H17" s="255">
        <v>-4.26</v>
      </c>
      <c r="I17" s="100">
        <v>5.69</v>
      </c>
      <c r="J17" s="256">
        <f t="shared" si="18"/>
        <v>-5.22</v>
      </c>
      <c r="K17" s="103">
        <f t="shared" si="18"/>
        <v>6.4580000000000002</v>
      </c>
      <c r="L17" s="173" t="s">
        <v>11</v>
      </c>
      <c r="M17" s="237">
        <v>0.2</v>
      </c>
      <c r="N17" s="317">
        <v>6</v>
      </c>
      <c r="O17" s="315">
        <f t="shared" si="19"/>
        <v>0.40000000000000008</v>
      </c>
      <c r="P17" s="224">
        <f t="shared" si="20"/>
        <v>0.40000000000000008</v>
      </c>
      <c r="Q17" s="195">
        <f t="shared" ref="Q17:Q33" si="57">B17-2.5-0.5/2</f>
        <v>5.25</v>
      </c>
      <c r="R17" s="102">
        <f t="shared" ref="R17:R33" si="58">B17-1.5-0.5/2-0.5</f>
        <v>5.75</v>
      </c>
      <c r="S17" s="253">
        <f t="shared" si="21"/>
        <v>-29.927999999999997</v>
      </c>
      <c r="T17" s="105">
        <f t="shared" si="22"/>
        <v>33.806226086956521</v>
      </c>
      <c r="U17" s="130">
        <v>2</v>
      </c>
      <c r="V17" s="71">
        <v>1.5</v>
      </c>
      <c r="W17" s="131">
        <f t="shared" si="23"/>
        <v>2</v>
      </c>
      <c r="X17" s="23">
        <f t="shared" si="24"/>
        <v>2</v>
      </c>
      <c r="Y17" s="244">
        <f t="shared" si="25"/>
        <v>24</v>
      </c>
      <c r="Z17" s="28">
        <f t="shared" si="26"/>
        <v>18</v>
      </c>
      <c r="AA17" s="18">
        <v>130</v>
      </c>
      <c r="AB17" s="250">
        <f t="shared" si="27"/>
        <v>35.817067077850069</v>
      </c>
      <c r="AC17" s="184">
        <f t="shared" si="28"/>
        <v>43.380966025982168</v>
      </c>
      <c r="AD17" s="24">
        <f t="shared" si="29"/>
        <v>48</v>
      </c>
      <c r="AF17" s="56">
        <f t="shared" si="2"/>
        <v>8</v>
      </c>
      <c r="AG17" s="247">
        <f t="shared" si="3"/>
        <v>8</v>
      </c>
      <c r="AH17" s="174" t="str">
        <f t="shared" si="4"/>
        <v>#4 @ 6</v>
      </c>
      <c r="AI17" s="56">
        <v>8</v>
      </c>
      <c r="AJ17" s="55">
        <f t="shared" si="30"/>
        <v>1800</v>
      </c>
      <c r="AK17" s="47">
        <f t="shared" si="31"/>
        <v>48</v>
      </c>
      <c r="AL17" s="19">
        <f t="shared" si="32"/>
        <v>0.99667774086378735</v>
      </c>
      <c r="AM17" s="19">
        <f t="shared" si="33"/>
        <v>0.66777408637873759</v>
      </c>
      <c r="AN17" s="255">
        <f t="shared" si="5"/>
        <v>-5.22</v>
      </c>
      <c r="AO17" s="109">
        <f t="shared" si="6"/>
        <v>6.4580000000000002</v>
      </c>
      <c r="AP17" s="256">
        <f t="shared" si="34"/>
        <v>1.427768670285178</v>
      </c>
      <c r="AQ17" s="255">
        <f t="shared" si="35"/>
        <v>0.53333333333333344</v>
      </c>
      <c r="AR17" s="160">
        <f t="shared" si="36"/>
        <v>-2.8000000000000007</v>
      </c>
      <c r="AS17" s="112">
        <f t="shared" si="37"/>
        <v>0.53333333333333344</v>
      </c>
      <c r="AT17" s="112">
        <f t="shared" si="38"/>
        <v>-3.0666666666666669</v>
      </c>
      <c r="AU17" s="103">
        <f t="shared" si="39"/>
        <v>1.5047107007448561</v>
      </c>
      <c r="AV17" s="255">
        <f t="shared" si="7"/>
        <v>-13.120860547065455</v>
      </c>
      <c r="AW17" s="109">
        <f t="shared" si="8"/>
        <v>14.76555911938679</v>
      </c>
      <c r="AX17" s="128">
        <f t="shared" si="40"/>
        <v>-1.5316277326219725</v>
      </c>
      <c r="AY17" s="106">
        <f t="shared" si="41"/>
        <v>1.6354815039725576</v>
      </c>
      <c r="AZ17" s="255">
        <f t="shared" si="42"/>
        <v>-32.802151367663633</v>
      </c>
      <c r="BA17" s="258">
        <f t="shared" si="43"/>
        <v>-32.802151367663633</v>
      </c>
      <c r="BB17" s="109">
        <f t="shared" si="44"/>
        <v>36.913897798466991</v>
      </c>
      <c r="BC17" s="258">
        <f t="shared" si="45"/>
        <v>36.913897798466969</v>
      </c>
      <c r="BE17" s="56">
        <f t="shared" si="9"/>
        <v>8</v>
      </c>
      <c r="BF17" s="150">
        <f t="shared" si="10"/>
        <v>8</v>
      </c>
      <c r="BG17" s="174" t="str">
        <f t="shared" si="11"/>
        <v>#4 @ 6</v>
      </c>
      <c r="BH17" s="88">
        <f t="shared" si="46"/>
        <v>0.85017820891699625</v>
      </c>
      <c r="BI17" s="224">
        <f>0.017*BH17/0.75</f>
        <v>1.927070606878525E-2</v>
      </c>
      <c r="BJ17" s="32">
        <f t="shared" si="48"/>
        <v>2.5</v>
      </c>
      <c r="BK17" s="22">
        <f t="shared" si="49"/>
        <v>32.802151367663633</v>
      </c>
      <c r="BL17" s="55">
        <f t="shared" si="12"/>
        <v>8</v>
      </c>
      <c r="BM17" s="87">
        <f t="shared" si="50"/>
        <v>1.6493506493506493</v>
      </c>
      <c r="BN17" s="227">
        <v>6</v>
      </c>
      <c r="BP17" s="88">
        <f t="shared" si="51"/>
        <v>0.86323493920017524</v>
      </c>
      <c r="BQ17" s="42">
        <f t="shared" si="52"/>
        <v>1.4674993966402981E-2</v>
      </c>
      <c r="BR17" s="191">
        <f t="shared" si="53"/>
        <v>2.25</v>
      </c>
      <c r="BS17" s="27">
        <f t="shared" si="54"/>
        <v>36.913897798466991</v>
      </c>
      <c r="BT17" s="88">
        <f t="shared" si="55"/>
        <v>1.5590062111801242</v>
      </c>
      <c r="BU17" s="231">
        <f t="shared" si="56"/>
        <v>6</v>
      </c>
    </row>
    <row r="18" spans="1:73" x14ac:dyDescent="0.2">
      <c r="A18" s="2">
        <v>8.25</v>
      </c>
      <c r="B18" s="236">
        <v>8</v>
      </c>
      <c r="C18" s="43">
        <f t="shared" si="13"/>
        <v>9.9999999999999992E-2</v>
      </c>
      <c r="D18" s="195">
        <f t="shared" si="14"/>
        <v>-0.68062500000000004</v>
      </c>
      <c r="E18" s="92">
        <f t="shared" si="15"/>
        <v>0.54449999999999998</v>
      </c>
      <c r="F18" s="76">
        <f t="shared" si="16"/>
        <v>-0.34031250000000007</v>
      </c>
      <c r="G18" s="96">
        <f t="shared" si="17"/>
        <v>0.27224999999999999</v>
      </c>
      <c r="H18" s="253">
        <v>-4.34</v>
      </c>
      <c r="I18" s="99">
        <v>5.83</v>
      </c>
      <c r="J18" s="195">
        <f t="shared" si="18"/>
        <v>-5.3609375000000004</v>
      </c>
      <c r="K18" s="102">
        <f t="shared" si="18"/>
        <v>6.6467499999999999</v>
      </c>
      <c r="L18" s="167" t="s">
        <v>12</v>
      </c>
      <c r="M18" s="236">
        <v>0.2</v>
      </c>
      <c r="N18" s="297">
        <v>5.5</v>
      </c>
      <c r="O18" s="315">
        <f t="shared" si="19"/>
        <v>0.43636363636363645</v>
      </c>
      <c r="P18" s="224">
        <f t="shared" si="20"/>
        <v>0.43636363636363645</v>
      </c>
      <c r="Q18" s="195">
        <f t="shared" si="57"/>
        <v>5.25</v>
      </c>
      <c r="R18" s="102">
        <f t="shared" si="58"/>
        <v>5.75</v>
      </c>
      <c r="S18" s="253">
        <f t="shared" si="21"/>
        <v>-28.17470486111111</v>
      </c>
      <c r="T18" s="105">
        <f t="shared" si="22"/>
        <v>31.894767028985498</v>
      </c>
      <c r="U18" s="131">
        <v>2</v>
      </c>
      <c r="V18" s="69">
        <v>1.5</v>
      </c>
      <c r="W18" s="131">
        <f t="shared" si="23"/>
        <v>2.1818181818181817</v>
      </c>
      <c r="X18" s="23">
        <f t="shared" si="24"/>
        <v>2.1818181818181817</v>
      </c>
      <c r="Y18" s="201">
        <f t="shared" si="25"/>
        <v>22</v>
      </c>
      <c r="Z18" s="24">
        <f t="shared" si="26"/>
        <v>16.5</v>
      </c>
      <c r="AA18" s="3">
        <v>130</v>
      </c>
      <c r="AB18" s="249">
        <f t="shared" si="27"/>
        <v>36.870040192552679</v>
      </c>
      <c r="AC18" s="183">
        <f t="shared" si="28"/>
        <v>44.656307494224144</v>
      </c>
      <c r="AD18" s="24">
        <f t="shared" si="29"/>
        <v>48</v>
      </c>
      <c r="AF18" s="55">
        <f t="shared" si="2"/>
        <v>8.25</v>
      </c>
      <c r="AG18" s="246">
        <f t="shared" si="3"/>
        <v>8</v>
      </c>
      <c r="AH18" s="169" t="str">
        <f t="shared" si="4"/>
        <v>#4 @ 5.5</v>
      </c>
      <c r="AI18" s="55">
        <v>8</v>
      </c>
      <c r="AJ18" s="55">
        <f t="shared" si="30"/>
        <v>1800</v>
      </c>
      <c r="AK18" s="47">
        <f t="shared" si="31"/>
        <v>48</v>
      </c>
      <c r="AL18" s="4">
        <f t="shared" si="32"/>
        <v>0.99667774086378735</v>
      </c>
      <c r="AM18" s="4">
        <f t="shared" si="33"/>
        <v>0.66777408637873759</v>
      </c>
      <c r="AN18" s="253">
        <f t="shared" si="5"/>
        <v>-5.3609375000000004</v>
      </c>
      <c r="AO18" s="108">
        <f t="shared" si="6"/>
        <v>6.6467499999999999</v>
      </c>
      <c r="AP18" s="195">
        <f t="shared" si="34"/>
        <v>1.4808622131025213</v>
      </c>
      <c r="AQ18" s="253">
        <f t="shared" si="35"/>
        <v>0.5818181818181819</v>
      </c>
      <c r="AR18" s="157">
        <f t="shared" si="36"/>
        <v>-3.0545454545454551</v>
      </c>
      <c r="AS18" s="111">
        <f t="shared" si="37"/>
        <v>0.5818181818181819</v>
      </c>
      <c r="AT18" s="111">
        <f t="shared" si="38"/>
        <v>-3.3454545454545461</v>
      </c>
      <c r="AU18" s="102">
        <f t="shared" si="39"/>
        <v>1.5611391386540865</v>
      </c>
      <c r="AV18" s="253">
        <f t="shared" si="7"/>
        <v>-13.525256597999565</v>
      </c>
      <c r="AW18" s="108">
        <f t="shared" si="8"/>
        <v>15.251776538444769</v>
      </c>
      <c r="AX18" s="127">
        <f t="shared" si="40"/>
        <v>-1.5222276678106221</v>
      </c>
      <c r="AY18" s="105">
        <f t="shared" si="41"/>
        <v>1.6282743116664014</v>
      </c>
      <c r="AZ18" s="253">
        <f t="shared" si="42"/>
        <v>-30.995379703748991</v>
      </c>
      <c r="BA18" s="258">
        <f t="shared" si="43"/>
        <v>-30.995379703748998</v>
      </c>
      <c r="BB18" s="108">
        <f t="shared" si="44"/>
        <v>34.951987900602589</v>
      </c>
      <c r="BC18" s="258">
        <f t="shared" si="45"/>
        <v>34.951987900602589</v>
      </c>
      <c r="BE18" s="55">
        <f t="shared" si="9"/>
        <v>8.25</v>
      </c>
      <c r="BF18" s="149">
        <f t="shared" si="10"/>
        <v>8</v>
      </c>
      <c r="BG18" s="169" t="str">
        <f t="shared" si="11"/>
        <v>#4 @ 5.5</v>
      </c>
      <c r="BH18" s="87">
        <f t="shared" si="46"/>
        <v>0.766833744618725</v>
      </c>
      <c r="BI18" s="224">
        <f t="shared" ref="BI18:BI33" si="59">0.017*BH18/0.75</f>
        <v>1.7381564878024437E-2</v>
      </c>
      <c r="BJ18" s="32">
        <f t="shared" si="48"/>
        <v>2.5</v>
      </c>
      <c r="BK18" s="22">
        <f t="shared" si="49"/>
        <v>30.995379703748991</v>
      </c>
      <c r="BL18" s="55">
        <f t="shared" si="12"/>
        <v>8</v>
      </c>
      <c r="BM18" s="87">
        <f t="shared" si="50"/>
        <v>1.6493506493506493</v>
      </c>
      <c r="BN18" s="227">
        <v>5.5</v>
      </c>
      <c r="BP18" s="87">
        <f t="shared" si="51"/>
        <v>0.77843380328759981</v>
      </c>
      <c r="BQ18" s="43">
        <f t="shared" si="52"/>
        <v>1.3233374655889198E-2</v>
      </c>
      <c r="BR18" s="191">
        <f t="shared" si="53"/>
        <v>2.25</v>
      </c>
      <c r="BS18" s="22">
        <f t="shared" si="54"/>
        <v>34.951987900602589</v>
      </c>
      <c r="BT18" s="87">
        <f t="shared" si="55"/>
        <v>1.5590062111801242</v>
      </c>
      <c r="BU18" s="232">
        <f t="shared" si="56"/>
        <v>5.5</v>
      </c>
    </row>
    <row r="19" spans="1:73" x14ac:dyDescent="0.2">
      <c r="A19" s="2">
        <v>8.5</v>
      </c>
      <c r="B19" s="236">
        <v>8</v>
      </c>
      <c r="C19" s="43">
        <f t="shared" si="13"/>
        <v>9.9999999999999992E-2</v>
      </c>
      <c r="D19" s="195">
        <f t="shared" si="14"/>
        <v>-0.72250000000000003</v>
      </c>
      <c r="E19" s="92">
        <f t="shared" si="15"/>
        <v>0.57799999999999996</v>
      </c>
      <c r="F19" s="76">
        <f t="shared" si="16"/>
        <v>-0.36125000000000007</v>
      </c>
      <c r="G19" s="96">
        <f t="shared" si="17"/>
        <v>0.28899999999999998</v>
      </c>
      <c r="H19" s="253">
        <v>-4.42</v>
      </c>
      <c r="I19" s="99">
        <v>5.99</v>
      </c>
      <c r="J19" s="195">
        <f t="shared" si="18"/>
        <v>-5.5037500000000001</v>
      </c>
      <c r="K19" s="102">
        <f t="shared" si="18"/>
        <v>6.8570000000000002</v>
      </c>
      <c r="L19" s="167" t="s">
        <v>12</v>
      </c>
      <c r="M19" s="236">
        <v>0.2</v>
      </c>
      <c r="N19" s="297">
        <v>5.5</v>
      </c>
      <c r="O19" s="315">
        <f t="shared" si="19"/>
        <v>0.43636363636363645</v>
      </c>
      <c r="P19" s="224">
        <f t="shared" si="20"/>
        <v>0.43636363636363645</v>
      </c>
      <c r="Q19" s="195">
        <f t="shared" si="57"/>
        <v>5.25</v>
      </c>
      <c r="R19" s="102">
        <f t="shared" si="58"/>
        <v>5.75</v>
      </c>
      <c r="S19" s="253">
        <f t="shared" si="21"/>
        <v>-28.925263888888882</v>
      </c>
      <c r="T19" s="105">
        <f t="shared" si="22"/>
        <v>32.903662318840574</v>
      </c>
      <c r="U19" s="131">
        <v>2</v>
      </c>
      <c r="V19" s="69">
        <v>1.5</v>
      </c>
      <c r="W19" s="131">
        <f t="shared" si="23"/>
        <v>2.1818181818181817</v>
      </c>
      <c r="X19" s="23">
        <f t="shared" si="24"/>
        <v>2.1818181818181817</v>
      </c>
      <c r="Y19" s="201">
        <f t="shared" si="25"/>
        <v>22</v>
      </c>
      <c r="Z19" s="24">
        <f t="shared" si="26"/>
        <v>16.5</v>
      </c>
      <c r="AA19" s="3">
        <v>130</v>
      </c>
      <c r="AB19" s="249">
        <f t="shared" si="27"/>
        <v>36.870040192552679</v>
      </c>
      <c r="AC19" s="183">
        <f t="shared" si="28"/>
        <v>44.656307494224144</v>
      </c>
      <c r="AD19" s="24">
        <f t="shared" si="29"/>
        <v>48</v>
      </c>
      <c r="AF19" s="55">
        <f t="shared" si="2"/>
        <v>8.5</v>
      </c>
      <c r="AG19" s="246">
        <f t="shared" si="3"/>
        <v>8</v>
      </c>
      <c r="AH19" s="169" t="str">
        <f t="shared" si="4"/>
        <v>#4 @ 5.5</v>
      </c>
      <c r="AI19" s="55">
        <v>8</v>
      </c>
      <c r="AJ19" s="55">
        <f t="shared" si="30"/>
        <v>1800</v>
      </c>
      <c r="AK19" s="47">
        <f t="shared" si="31"/>
        <v>48</v>
      </c>
      <c r="AL19" s="4">
        <f t="shared" si="32"/>
        <v>0.99667774086378735</v>
      </c>
      <c r="AM19" s="4">
        <f t="shared" si="33"/>
        <v>0.66777408637873759</v>
      </c>
      <c r="AN19" s="253">
        <f t="shared" si="5"/>
        <v>-5.5037500000000001</v>
      </c>
      <c r="AO19" s="108">
        <f t="shared" si="6"/>
        <v>6.8570000000000002</v>
      </c>
      <c r="AP19" s="195">
        <f t="shared" si="34"/>
        <v>1.4808622131025213</v>
      </c>
      <c r="AQ19" s="253">
        <f t="shared" si="35"/>
        <v>0.5818181818181819</v>
      </c>
      <c r="AR19" s="157">
        <f t="shared" si="36"/>
        <v>-3.0545454545454551</v>
      </c>
      <c r="AS19" s="111">
        <f t="shared" si="37"/>
        <v>0.5818181818181819</v>
      </c>
      <c r="AT19" s="111">
        <f t="shared" si="38"/>
        <v>-3.3454545454545461</v>
      </c>
      <c r="AU19" s="102">
        <f t="shared" si="39"/>
        <v>1.5611391386540865</v>
      </c>
      <c r="AV19" s="253">
        <f t="shared" si="7"/>
        <v>-13.885562180353736</v>
      </c>
      <c r="AW19" s="108">
        <f t="shared" si="8"/>
        <v>15.734220743087342</v>
      </c>
      <c r="AX19" s="127">
        <f t="shared" si="40"/>
        <v>-1.562778996530497</v>
      </c>
      <c r="AY19" s="122">
        <f t="shared" si="41"/>
        <v>1.6797798856729251</v>
      </c>
      <c r="AZ19" s="253">
        <f t="shared" si="42"/>
        <v>-31.821079996643967</v>
      </c>
      <c r="BA19" s="258">
        <f t="shared" si="43"/>
        <v>-31.82107999664397</v>
      </c>
      <c r="BB19" s="108">
        <f t="shared" si="44"/>
        <v>36.057589202908481</v>
      </c>
      <c r="BC19" s="258">
        <f t="shared" si="45"/>
        <v>36.057589202908481</v>
      </c>
      <c r="BE19" s="55">
        <f t="shared" si="9"/>
        <v>8.5</v>
      </c>
      <c r="BF19" s="149">
        <f t="shared" si="10"/>
        <v>8</v>
      </c>
      <c r="BG19" s="169" t="str">
        <f t="shared" si="11"/>
        <v>#4 @ 5.5</v>
      </c>
      <c r="BH19" s="87">
        <f t="shared" si="46"/>
        <v>0.78726178433255523</v>
      </c>
      <c r="BI19" s="224">
        <f t="shared" si="59"/>
        <v>1.7844600444871253E-2</v>
      </c>
      <c r="BJ19" s="32">
        <f t="shared" si="48"/>
        <v>2.5</v>
      </c>
      <c r="BK19" s="22">
        <f t="shared" si="49"/>
        <v>31.821079996643967</v>
      </c>
      <c r="BL19" s="55">
        <f t="shared" si="12"/>
        <v>8</v>
      </c>
      <c r="BM19" s="87">
        <f t="shared" si="50"/>
        <v>1.6493506493506493</v>
      </c>
      <c r="BN19" s="227">
        <v>5.5</v>
      </c>
      <c r="BP19" s="87">
        <f t="shared" si="51"/>
        <v>0.80305722182165284</v>
      </c>
      <c r="BQ19" s="43">
        <f t="shared" si="52"/>
        <v>1.36519727709681E-2</v>
      </c>
      <c r="BR19" s="191">
        <f t="shared" si="53"/>
        <v>2.25</v>
      </c>
      <c r="BS19" s="22">
        <f t="shared" si="54"/>
        <v>36.057589202908481</v>
      </c>
      <c r="BT19" s="87">
        <f t="shared" si="55"/>
        <v>1.5590062111801242</v>
      </c>
      <c r="BU19" s="232">
        <f>BN19</f>
        <v>5.5</v>
      </c>
    </row>
    <row r="20" spans="1:73" x14ac:dyDescent="0.2">
      <c r="A20" s="8">
        <v>8.75</v>
      </c>
      <c r="B20" s="238">
        <v>8</v>
      </c>
      <c r="C20" s="44">
        <f t="shared" si="13"/>
        <v>9.9999999999999992E-2</v>
      </c>
      <c r="D20" s="257">
        <f t="shared" si="14"/>
        <v>-0.765625</v>
      </c>
      <c r="E20" s="94">
        <f t="shared" si="15"/>
        <v>0.61250000000000004</v>
      </c>
      <c r="F20" s="78">
        <f t="shared" si="16"/>
        <v>-0.38281250000000006</v>
      </c>
      <c r="G20" s="98">
        <f t="shared" si="17"/>
        <v>0.30625000000000002</v>
      </c>
      <c r="H20" s="61">
        <v>-4.5</v>
      </c>
      <c r="I20" s="101">
        <v>6.14</v>
      </c>
      <c r="J20" s="257">
        <f t="shared" si="18"/>
        <v>-5.6484375</v>
      </c>
      <c r="K20" s="104">
        <f t="shared" si="18"/>
        <v>7.0587499999999999</v>
      </c>
      <c r="L20" s="168" t="s">
        <v>12</v>
      </c>
      <c r="M20" s="238">
        <v>0.2</v>
      </c>
      <c r="N20" s="298">
        <v>5.5</v>
      </c>
      <c r="O20" s="316">
        <f t="shared" si="19"/>
        <v>0.43636363636363645</v>
      </c>
      <c r="P20" s="225">
        <f t="shared" si="20"/>
        <v>0.43636363636363645</v>
      </c>
      <c r="Q20" s="257">
        <f t="shared" si="57"/>
        <v>5.25</v>
      </c>
      <c r="R20" s="104">
        <f t="shared" si="58"/>
        <v>5.75</v>
      </c>
      <c r="S20" s="61">
        <f t="shared" si="21"/>
        <v>-29.685677083333328</v>
      </c>
      <c r="T20" s="254">
        <f t="shared" si="22"/>
        <v>33.871769927536221</v>
      </c>
      <c r="U20" s="132">
        <v>2</v>
      </c>
      <c r="V20" s="73">
        <v>1.5</v>
      </c>
      <c r="W20" s="132">
        <f t="shared" si="23"/>
        <v>2.1818181818181817</v>
      </c>
      <c r="X20" s="73">
        <f t="shared" si="24"/>
        <v>2.1818181818181817</v>
      </c>
      <c r="Y20" s="245">
        <f t="shared" si="25"/>
        <v>22</v>
      </c>
      <c r="Z20" s="26">
        <f t="shared" si="26"/>
        <v>16.5</v>
      </c>
      <c r="AA20" s="9">
        <v>130</v>
      </c>
      <c r="AB20" s="251">
        <f t="shared" si="27"/>
        <v>36.870040192552679</v>
      </c>
      <c r="AC20" s="185">
        <f t="shared" si="28"/>
        <v>44.656307494224144</v>
      </c>
      <c r="AD20" s="24">
        <f t="shared" si="29"/>
        <v>48</v>
      </c>
      <c r="AF20" s="57">
        <f t="shared" si="2"/>
        <v>8.75</v>
      </c>
      <c r="AG20" s="60">
        <f t="shared" si="3"/>
        <v>8</v>
      </c>
      <c r="AH20" s="175" t="str">
        <f t="shared" si="4"/>
        <v>#4 @ 5.5</v>
      </c>
      <c r="AI20" s="57">
        <v>8</v>
      </c>
      <c r="AJ20" s="57">
        <f t="shared" si="30"/>
        <v>1800</v>
      </c>
      <c r="AK20" s="49">
        <f t="shared" si="31"/>
        <v>48</v>
      </c>
      <c r="AL20" s="10">
        <f t="shared" si="32"/>
        <v>0.99667774086378735</v>
      </c>
      <c r="AM20" s="10">
        <f t="shared" si="33"/>
        <v>0.66777408637873759</v>
      </c>
      <c r="AN20" s="61">
        <f t="shared" si="5"/>
        <v>-5.6484375</v>
      </c>
      <c r="AO20" s="110">
        <f t="shared" si="6"/>
        <v>7.0587499999999999</v>
      </c>
      <c r="AP20" s="257">
        <f t="shared" si="34"/>
        <v>1.4808622131025213</v>
      </c>
      <c r="AQ20" s="61">
        <f t="shared" si="35"/>
        <v>0.5818181818181819</v>
      </c>
      <c r="AR20" s="158">
        <f t="shared" si="36"/>
        <v>-3.0545454545454551</v>
      </c>
      <c r="AS20" s="113">
        <f t="shared" si="37"/>
        <v>0.5818181818181819</v>
      </c>
      <c r="AT20" s="113">
        <f t="shared" si="38"/>
        <v>-3.3454545454545461</v>
      </c>
      <c r="AU20" s="104">
        <f t="shared" si="39"/>
        <v>1.5611391386540865</v>
      </c>
      <c r="AV20" s="61">
        <f t="shared" si="7"/>
        <v>-14.250598251754131</v>
      </c>
      <c r="AW20" s="110">
        <f t="shared" si="8"/>
        <v>16.197160663594541</v>
      </c>
      <c r="AX20" s="135">
        <f t="shared" si="40"/>
        <v>-1.6038627278156219</v>
      </c>
      <c r="AY20" s="137">
        <f t="shared" si="41"/>
        <v>1.729203189148864</v>
      </c>
      <c r="AZ20" s="61">
        <f t="shared" si="42"/>
        <v>-32.65762099360321</v>
      </c>
      <c r="BA20" s="259">
        <f t="shared" si="43"/>
        <v>-32.65762099360321</v>
      </c>
      <c r="BB20" s="110">
        <f t="shared" si="44"/>
        <v>37.118493187404148</v>
      </c>
      <c r="BC20" s="259">
        <f t="shared" si="45"/>
        <v>37.118493187404148</v>
      </c>
      <c r="BE20" s="57">
        <f t="shared" si="9"/>
        <v>8.75</v>
      </c>
      <c r="BF20" s="151">
        <f t="shared" si="10"/>
        <v>8</v>
      </c>
      <c r="BG20" s="175" t="str">
        <f t="shared" si="11"/>
        <v>#4 @ 5.5</v>
      </c>
      <c r="BH20" s="89">
        <f t="shared" si="46"/>
        <v>0.80795802588070276</v>
      </c>
      <c r="BI20" s="225">
        <f t="shared" si="59"/>
        <v>1.8313715253295931E-2</v>
      </c>
      <c r="BJ20" s="44">
        <f t="shared" si="48"/>
        <v>2.5</v>
      </c>
      <c r="BK20" s="22">
        <f t="shared" si="49"/>
        <v>32.65762099360321</v>
      </c>
      <c r="BL20" s="55">
        <f t="shared" si="12"/>
        <v>8</v>
      </c>
      <c r="BM20" s="87">
        <f t="shared" si="50"/>
        <v>1.6493506493506493</v>
      </c>
      <c r="BN20" s="227">
        <v>5.5</v>
      </c>
      <c r="BP20" s="89">
        <f t="shared" si="51"/>
        <v>0.82668516326871699</v>
      </c>
      <c r="BQ20" s="44">
        <f t="shared" si="52"/>
        <v>1.405364777556819E-2</v>
      </c>
      <c r="BR20" s="234">
        <f t="shared" si="53"/>
        <v>2.25</v>
      </c>
      <c r="BS20" s="25">
        <f t="shared" si="54"/>
        <v>37.118493187404148</v>
      </c>
      <c r="BT20" s="89">
        <f t="shared" si="55"/>
        <v>1.5590062111801242</v>
      </c>
      <c r="BU20" s="233">
        <f t="shared" si="56"/>
        <v>5.5</v>
      </c>
    </row>
    <row r="21" spans="1:73" x14ac:dyDescent="0.2">
      <c r="A21" s="2">
        <v>9</v>
      </c>
      <c r="B21" s="236">
        <v>8.25</v>
      </c>
      <c r="C21" s="43">
        <f t="shared" si="13"/>
        <v>0.10312499999999999</v>
      </c>
      <c r="D21" s="195">
        <f t="shared" si="14"/>
        <v>-0.83531250000000001</v>
      </c>
      <c r="E21" s="92">
        <f t="shared" si="15"/>
        <v>0.66825000000000001</v>
      </c>
      <c r="F21" s="76">
        <f t="shared" si="16"/>
        <v>-0.40500000000000008</v>
      </c>
      <c r="G21" s="96">
        <f t="shared" si="17"/>
        <v>0.32400000000000001</v>
      </c>
      <c r="H21" s="253">
        <v>-4.5599999999999996</v>
      </c>
      <c r="I21" s="99">
        <v>6.29</v>
      </c>
      <c r="J21" s="195">
        <f t="shared" si="18"/>
        <v>-5.8003124999999995</v>
      </c>
      <c r="K21" s="102">
        <f t="shared" si="18"/>
        <v>7.2822500000000003</v>
      </c>
      <c r="L21" s="167" t="s">
        <v>12</v>
      </c>
      <c r="M21" s="236">
        <v>0.2</v>
      </c>
      <c r="N21" s="297">
        <v>5.5</v>
      </c>
      <c r="O21" s="315">
        <f t="shared" si="19"/>
        <v>0.43636363636363645</v>
      </c>
      <c r="P21" s="224">
        <f t="shared" si="20"/>
        <v>0.43636363636363645</v>
      </c>
      <c r="Q21" s="195">
        <f t="shared" si="57"/>
        <v>5.5</v>
      </c>
      <c r="R21" s="102">
        <f t="shared" si="58"/>
        <v>6</v>
      </c>
      <c r="S21" s="253">
        <f t="shared" si="21"/>
        <v>-29.09823437499999</v>
      </c>
      <c r="T21" s="105">
        <f t="shared" si="22"/>
        <v>33.488235763888881</v>
      </c>
      <c r="U21" s="131">
        <v>2</v>
      </c>
      <c r="V21" s="69">
        <v>1.5</v>
      </c>
      <c r="W21" s="131">
        <f t="shared" si="23"/>
        <v>2.1818181818181817</v>
      </c>
      <c r="X21" s="23">
        <f t="shared" si="24"/>
        <v>2.1818181818181817</v>
      </c>
      <c r="Y21" s="201">
        <f t="shared" si="25"/>
        <v>22</v>
      </c>
      <c r="Z21" s="24">
        <f t="shared" si="26"/>
        <v>16.5</v>
      </c>
      <c r="AA21" s="3">
        <v>130</v>
      </c>
      <c r="AB21" s="249">
        <f t="shared" si="27"/>
        <v>36.870040192552679</v>
      </c>
      <c r="AC21" s="183">
        <f t="shared" si="28"/>
        <v>44.656307494224144</v>
      </c>
      <c r="AD21" s="24">
        <f t="shared" si="29"/>
        <v>48</v>
      </c>
      <c r="AF21" s="2">
        <f t="shared" si="2"/>
        <v>9</v>
      </c>
      <c r="AG21" s="246">
        <f t="shared" si="3"/>
        <v>8.25</v>
      </c>
      <c r="AH21" s="169" t="str">
        <f t="shared" si="4"/>
        <v>#4 @ 5.5</v>
      </c>
      <c r="AI21" s="55">
        <v>8</v>
      </c>
      <c r="AJ21" s="55">
        <f t="shared" si="30"/>
        <v>1800</v>
      </c>
      <c r="AK21" s="47">
        <f t="shared" si="31"/>
        <v>48</v>
      </c>
      <c r="AL21" s="4">
        <f t="shared" si="32"/>
        <v>0.99667774086378735</v>
      </c>
      <c r="AM21" s="4">
        <f t="shared" si="33"/>
        <v>0.66777408637873759</v>
      </c>
      <c r="AN21" s="253">
        <f t="shared" si="5"/>
        <v>-5.8003124999999995</v>
      </c>
      <c r="AO21" s="108">
        <f t="shared" si="6"/>
        <v>7.2822500000000003</v>
      </c>
      <c r="AP21" s="195">
        <f t="shared" si="34"/>
        <v>1.5214452064548527</v>
      </c>
      <c r="AQ21" s="253">
        <f t="shared" si="35"/>
        <v>0.5818181818181819</v>
      </c>
      <c r="AR21" s="157">
        <f t="shared" si="36"/>
        <v>-3.2000000000000006</v>
      </c>
      <c r="AS21" s="111">
        <f t="shared" si="37"/>
        <v>0.5818181818181819</v>
      </c>
      <c r="AT21" s="111">
        <f t="shared" si="38"/>
        <v>-3.4909090909090916</v>
      </c>
      <c r="AU21" s="102">
        <f t="shared" si="39"/>
        <v>1.6</v>
      </c>
      <c r="AV21" s="253">
        <f t="shared" si="7"/>
        <v>-13.940680718408496</v>
      </c>
      <c r="AW21" s="108">
        <f t="shared" si="8"/>
        <v>15.985426829268292</v>
      </c>
      <c r="AX21" s="127">
        <f t="shared" si="40"/>
        <v>-1.5271314251371051</v>
      </c>
      <c r="AY21" s="105">
        <f t="shared" si="41"/>
        <v>1.6651486280487802</v>
      </c>
      <c r="AZ21" s="253">
        <f t="shared" si="42"/>
        <v>-31.947393313019475</v>
      </c>
      <c r="BA21" s="258">
        <f t="shared" si="43"/>
        <v>-31.947393313019465</v>
      </c>
      <c r="BB21" s="108">
        <f t="shared" si="44"/>
        <v>36.633269817073163</v>
      </c>
      <c r="BC21" s="258">
        <f t="shared" si="45"/>
        <v>36.633269817073163</v>
      </c>
      <c r="BE21" s="2">
        <f t="shared" si="9"/>
        <v>9</v>
      </c>
      <c r="BF21" s="138">
        <f t="shared" si="10"/>
        <v>8.25</v>
      </c>
      <c r="BG21" s="174" t="str">
        <f t="shared" si="11"/>
        <v>#4 @ 5.5</v>
      </c>
      <c r="BH21" s="87">
        <f t="shared" si="46"/>
        <v>0.7768574212451631</v>
      </c>
      <c r="BI21" s="224">
        <f t="shared" si="59"/>
        <v>1.7608768214890363E-2</v>
      </c>
      <c r="BJ21" s="32">
        <f t="shared" si="48"/>
        <v>2.5</v>
      </c>
      <c r="BK21" s="27">
        <f t="shared" si="49"/>
        <v>31.947393313019475</v>
      </c>
      <c r="BL21" s="56">
        <f t="shared" si="12"/>
        <v>8.25</v>
      </c>
      <c r="BM21" s="88">
        <f t="shared" si="50"/>
        <v>1.6211180124223603</v>
      </c>
      <c r="BN21" s="229">
        <v>5.5</v>
      </c>
      <c r="BP21" s="66">
        <f t="shared" si="51"/>
        <v>0.80368908272150308</v>
      </c>
      <c r="BQ21" s="129">
        <f t="shared" si="52"/>
        <v>1.3662714406265554E-2</v>
      </c>
      <c r="BR21" s="191">
        <f t="shared" si="53"/>
        <v>2.25</v>
      </c>
      <c r="BS21" s="22">
        <f t="shared" si="54"/>
        <v>36.633269817073163</v>
      </c>
      <c r="BT21" s="87">
        <f t="shared" si="55"/>
        <v>1.5357142857142858</v>
      </c>
      <c r="BU21" s="230">
        <f t="shared" si="56"/>
        <v>5.5</v>
      </c>
    </row>
    <row r="22" spans="1:73" x14ac:dyDescent="0.2">
      <c r="A22" s="2">
        <v>9.25</v>
      </c>
      <c r="B22" s="236">
        <v>8.25</v>
      </c>
      <c r="C22" s="43">
        <f t="shared" si="13"/>
        <v>0.10312499999999999</v>
      </c>
      <c r="D22" s="195">
        <f t="shared" si="14"/>
        <v>-0.88236328125000008</v>
      </c>
      <c r="E22" s="92">
        <f t="shared" si="15"/>
        <v>0.70589062499999999</v>
      </c>
      <c r="F22" s="76">
        <f t="shared" si="16"/>
        <v>-0.4278125000000001</v>
      </c>
      <c r="G22" s="96">
        <f t="shared" si="17"/>
        <v>0.34225</v>
      </c>
      <c r="H22" s="253">
        <v>-4.66</v>
      </c>
      <c r="I22" s="99">
        <v>6.44</v>
      </c>
      <c r="J22" s="195">
        <f t="shared" si="18"/>
        <v>-5.97017578125</v>
      </c>
      <c r="K22" s="102">
        <f t="shared" si="18"/>
        <v>7.4881406250000007</v>
      </c>
      <c r="L22" s="167" t="s">
        <v>12</v>
      </c>
      <c r="M22" s="236">
        <v>0.2</v>
      </c>
      <c r="N22" s="297">
        <v>5.5</v>
      </c>
      <c r="O22" s="315">
        <f t="shared" si="19"/>
        <v>0.43636363636363645</v>
      </c>
      <c r="P22" s="224">
        <f t="shared" si="20"/>
        <v>0.43636363636363645</v>
      </c>
      <c r="Q22" s="195">
        <f t="shared" si="57"/>
        <v>5.5</v>
      </c>
      <c r="R22" s="102">
        <f t="shared" si="58"/>
        <v>6</v>
      </c>
      <c r="S22" s="253">
        <f t="shared" si="21"/>
        <v>-29.950381835937495</v>
      </c>
      <c r="T22" s="105">
        <f t="shared" si="22"/>
        <v>34.435046679687495</v>
      </c>
      <c r="U22" s="131">
        <v>2</v>
      </c>
      <c r="V22" s="69">
        <v>1.5</v>
      </c>
      <c r="W22" s="131">
        <f t="shared" si="23"/>
        <v>2.1818181818181817</v>
      </c>
      <c r="X22" s="23">
        <f t="shared" si="24"/>
        <v>2.1818181818181817</v>
      </c>
      <c r="Y22" s="201">
        <f t="shared" si="25"/>
        <v>22</v>
      </c>
      <c r="Z22" s="24">
        <f t="shared" si="26"/>
        <v>16.5</v>
      </c>
      <c r="AA22" s="3">
        <v>130</v>
      </c>
      <c r="AB22" s="249">
        <f t="shared" si="27"/>
        <v>36.870040192552679</v>
      </c>
      <c r="AC22" s="183">
        <f t="shared" si="28"/>
        <v>44.656307494224144</v>
      </c>
      <c r="AD22" s="24">
        <f t="shared" si="29"/>
        <v>48</v>
      </c>
      <c r="AF22" s="2">
        <f t="shared" si="2"/>
        <v>9.25</v>
      </c>
      <c r="AG22" s="246">
        <f t="shared" si="3"/>
        <v>8.25</v>
      </c>
      <c r="AH22" s="169" t="str">
        <f t="shared" si="4"/>
        <v>#4 @ 5.5</v>
      </c>
      <c r="AI22" s="55">
        <v>8</v>
      </c>
      <c r="AJ22" s="55">
        <f t="shared" si="30"/>
        <v>1800</v>
      </c>
      <c r="AK22" s="47">
        <f t="shared" si="31"/>
        <v>48</v>
      </c>
      <c r="AL22" s="4">
        <f t="shared" si="32"/>
        <v>0.99667774086378735</v>
      </c>
      <c r="AM22" s="4">
        <f t="shared" si="33"/>
        <v>0.66777408637873759</v>
      </c>
      <c r="AN22" s="253">
        <f t="shared" si="5"/>
        <v>-5.97017578125</v>
      </c>
      <c r="AO22" s="108">
        <f t="shared" si="6"/>
        <v>7.4881406250000007</v>
      </c>
      <c r="AP22" s="195">
        <f t="shared" si="34"/>
        <v>1.5214452064548527</v>
      </c>
      <c r="AQ22" s="253">
        <f t="shared" si="35"/>
        <v>0.5818181818181819</v>
      </c>
      <c r="AR22" s="157">
        <f t="shared" si="36"/>
        <v>-3.2000000000000006</v>
      </c>
      <c r="AS22" s="111">
        <f t="shared" si="37"/>
        <v>0.5818181818181819</v>
      </c>
      <c r="AT22" s="111">
        <f t="shared" si="38"/>
        <v>-3.4909090909090916</v>
      </c>
      <c r="AU22" s="102">
        <f t="shared" si="39"/>
        <v>1.6</v>
      </c>
      <c r="AV22" s="253">
        <f t="shared" si="7"/>
        <v>-14.348936268378862</v>
      </c>
      <c r="AW22" s="108">
        <f t="shared" si="8"/>
        <v>16.437381859756098</v>
      </c>
      <c r="AX22" s="127">
        <f t="shared" si="40"/>
        <v>-1.5718537663512688</v>
      </c>
      <c r="AY22" s="122">
        <f t="shared" si="41"/>
        <v>1.7122272770579265</v>
      </c>
      <c r="AZ22" s="253">
        <f t="shared" si="42"/>
        <v>-32.882978948368226</v>
      </c>
      <c r="BA22" s="258">
        <f t="shared" si="43"/>
        <v>-32.882978948368219</v>
      </c>
      <c r="BB22" s="108">
        <f t="shared" si="44"/>
        <v>37.669000095274384</v>
      </c>
      <c r="BC22" s="258">
        <f t="shared" si="45"/>
        <v>37.669000095274384</v>
      </c>
      <c r="BE22" s="2">
        <f t="shared" si="9"/>
        <v>9.25</v>
      </c>
      <c r="BF22" s="138">
        <f t="shared" si="10"/>
        <v>8.25</v>
      </c>
      <c r="BG22" s="169" t="str">
        <f t="shared" si="11"/>
        <v>#4 @ 5.5</v>
      </c>
      <c r="BH22" s="87">
        <f t="shared" si="46"/>
        <v>0.79960784212957525</v>
      </c>
      <c r="BI22" s="224">
        <f t="shared" si="59"/>
        <v>1.8124444421603707E-2</v>
      </c>
      <c r="BJ22" s="32">
        <f t="shared" si="48"/>
        <v>2.5</v>
      </c>
      <c r="BK22" s="22">
        <f t="shared" si="49"/>
        <v>32.882978948368226</v>
      </c>
      <c r="BL22" s="55">
        <f t="shared" si="12"/>
        <v>8.25</v>
      </c>
      <c r="BM22" s="87">
        <f t="shared" si="50"/>
        <v>1.6211180124223603</v>
      </c>
      <c r="BN22" s="227">
        <v>5.5</v>
      </c>
      <c r="BP22" s="66">
        <f t="shared" si="51"/>
        <v>0.82641173678408097</v>
      </c>
      <c r="BQ22" s="129">
        <f t="shared" si="52"/>
        <v>1.4048999525329377E-2</v>
      </c>
      <c r="BR22" s="191">
        <f t="shared" si="53"/>
        <v>2.25</v>
      </c>
      <c r="BS22" s="22">
        <f t="shared" si="54"/>
        <v>37.669000095274384</v>
      </c>
      <c r="BT22" s="87">
        <f t="shared" si="55"/>
        <v>1.5357142857142858</v>
      </c>
      <c r="BU22" s="230">
        <f t="shared" si="56"/>
        <v>5.5</v>
      </c>
    </row>
    <row r="23" spans="1:73" x14ac:dyDescent="0.2">
      <c r="A23" s="2">
        <v>9.5</v>
      </c>
      <c r="B23" s="236">
        <v>8.5</v>
      </c>
      <c r="C23" s="43">
        <f t="shared" si="13"/>
        <v>0.10625</v>
      </c>
      <c r="D23" s="195">
        <f t="shared" si="14"/>
        <v>-0.95890625000000007</v>
      </c>
      <c r="E23" s="92">
        <f t="shared" si="15"/>
        <v>0.76712500000000006</v>
      </c>
      <c r="F23" s="76">
        <f t="shared" si="16"/>
        <v>-0.4512500000000001</v>
      </c>
      <c r="G23" s="96">
        <f t="shared" si="17"/>
        <v>0.36099999999999999</v>
      </c>
      <c r="H23" s="253">
        <v>-4.93</v>
      </c>
      <c r="I23" s="99">
        <v>6.59</v>
      </c>
      <c r="J23" s="195">
        <f t="shared" si="18"/>
        <v>-6.3401562499999997</v>
      </c>
      <c r="K23" s="102">
        <f t="shared" si="18"/>
        <v>7.7181249999999997</v>
      </c>
      <c r="L23" s="167" t="s">
        <v>12</v>
      </c>
      <c r="M23" s="236">
        <v>0.2</v>
      </c>
      <c r="N23" s="297">
        <v>5.5</v>
      </c>
      <c r="O23" s="315">
        <f t="shared" si="19"/>
        <v>0.43636363636363645</v>
      </c>
      <c r="P23" s="224">
        <f t="shared" si="20"/>
        <v>0.43636363636363645</v>
      </c>
      <c r="Q23" s="195">
        <f t="shared" si="57"/>
        <v>5.75</v>
      </c>
      <c r="R23" s="102">
        <f t="shared" si="58"/>
        <v>6.25</v>
      </c>
      <c r="S23" s="253">
        <f t="shared" si="21"/>
        <v>-30.423561367753614</v>
      </c>
      <c r="T23" s="105">
        <f t="shared" si="22"/>
        <v>34.072949166666653</v>
      </c>
      <c r="U23" s="131">
        <v>2</v>
      </c>
      <c r="V23" s="69">
        <v>1.5</v>
      </c>
      <c r="W23" s="131">
        <f t="shared" si="23"/>
        <v>2.1818181818181817</v>
      </c>
      <c r="X23" s="23">
        <f t="shared" si="24"/>
        <v>2.1818181818181817</v>
      </c>
      <c r="Y23" s="201">
        <f t="shared" si="25"/>
        <v>22</v>
      </c>
      <c r="Z23" s="24">
        <f t="shared" si="26"/>
        <v>16.5</v>
      </c>
      <c r="AA23" s="3">
        <v>130</v>
      </c>
      <c r="AB23" s="249">
        <f t="shared" si="27"/>
        <v>36.870040192552679</v>
      </c>
      <c r="AC23" s="183">
        <f t="shared" si="28"/>
        <v>44.656307494224144</v>
      </c>
      <c r="AD23" s="24">
        <f t="shared" si="29"/>
        <v>48</v>
      </c>
      <c r="AF23" s="2">
        <f t="shared" si="2"/>
        <v>9.5</v>
      </c>
      <c r="AG23" s="246">
        <f t="shared" si="3"/>
        <v>8.5</v>
      </c>
      <c r="AH23" s="169" t="str">
        <f t="shared" si="4"/>
        <v>#4 @ 5.5</v>
      </c>
      <c r="AI23" s="55">
        <v>8</v>
      </c>
      <c r="AJ23" s="55">
        <f t="shared" si="30"/>
        <v>1800</v>
      </c>
      <c r="AK23" s="47">
        <f t="shared" si="31"/>
        <v>48</v>
      </c>
      <c r="AL23" s="4">
        <f t="shared" si="32"/>
        <v>0.99667774086378735</v>
      </c>
      <c r="AM23" s="4">
        <f t="shared" si="33"/>
        <v>0.66777408637873759</v>
      </c>
      <c r="AN23" s="253">
        <f t="shared" si="5"/>
        <v>-6.3401562499999997</v>
      </c>
      <c r="AO23" s="108">
        <f t="shared" si="6"/>
        <v>7.7181249999999997</v>
      </c>
      <c r="AP23" s="195">
        <f t="shared" si="34"/>
        <v>1.5611391386540865</v>
      </c>
      <c r="AQ23" s="253">
        <f t="shared" si="35"/>
        <v>0.5818181818181819</v>
      </c>
      <c r="AR23" s="157">
        <f t="shared" si="36"/>
        <v>-3.3454545454545461</v>
      </c>
      <c r="AS23" s="111">
        <f t="shared" si="37"/>
        <v>0.5818181818181819</v>
      </c>
      <c r="AT23" s="111">
        <f t="shared" si="38"/>
        <v>-3.6363636363636371</v>
      </c>
      <c r="AU23" s="102">
        <f t="shared" si="39"/>
        <v>1.6380781396181592</v>
      </c>
      <c r="AV23" s="253">
        <f t="shared" si="7"/>
        <v>-14.548259877958998</v>
      </c>
      <c r="AW23" s="108">
        <f t="shared" si="8"/>
        <v>16.237363767029255</v>
      </c>
      <c r="AX23" s="127">
        <f t="shared" si="40"/>
        <v>-1.5531671198444628</v>
      </c>
      <c r="AY23" s="105">
        <f t="shared" si="41"/>
        <v>1.6520746044115484</v>
      </c>
      <c r="AZ23" s="253">
        <f t="shared" si="42"/>
        <v>-33.33976222032269</v>
      </c>
      <c r="BA23" s="258">
        <f t="shared" si="43"/>
        <v>-33.339762220322697</v>
      </c>
      <c r="BB23" s="108">
        <f t="shared" si="44"/>
        <v>37.210625299442036</v>
      </c>
      <c r="BC23" s="258">
        <f t="shared" si="45"/>
        <v>37.210625299442036</v>
      </c>
      <c r="BE23" s="2">
        <f t="shared" si="9"/>
        <v>9.5</v>
      </c>
      <c r="BF23" s="138">
        <f t="shared" si="10"/>
        <v>8.5</v>
      </c>
      <c r="BG23" s="169" t="str">
        <f t="shared" si="11"/>
        <v>#4 @ 5.5</v>
      </c>
      <c r="BH23" s="87">
        <f t="shared" si="46"/>
        <v>0.7977728817005787</v>
      </c>
      <c r="BI23" s="224">
        <f t="shared" si="59"/>
        <v>1.808285198521312E-2</v>
      </c>
      <c r="BJ23" s="32">
        <f t="shared" si="48"/>
        <v>2.5</v>
      </c>
      <c r="BK23" s="22">
        <f t="shared" si="49"/>
        <v>33.33976222032269</v>
      </c>
      <c r="BL23" s="55">
        <f t="shared" si="12"/>
        <v>8.5</v>
      </c>
      <c r="BM23" s="87">
        <f t="shared" si="50"/>
        <v>1.5952380952380953</v>
      </c>
      <c r="BN23" s="227">
        <v>5.5</v>
      </c>
      <c r="BP23" s="66">
        <f t="shared" si="51"/>
        <v>0.8049645472940522</v>
      </c>
      <c r="BQ23" s="129">
        <f t="shared" si="52"/>
        <v>1.3684397303998888E-2</v>
      </c>
      <c r="BR23" s="191">
        <f t="shared" si="53"/>
        <v>2.25</v>
      </c>
      <c r="BS23" s="22">
        <f t="shared" si="54"/>
        <v>37.210625299442036</v>
      </c>
      <c r="BT23" s="87">
        <f t="shared" si="55"/>
        <v>1.5142857142857142</v>
      </c>
      <c r="BU23" s="230">
        <f t="shared" si="56"/>
        <v>5.5</v>
      </c>
    </row>
    <row r="24" spans="1:73" x14ac:dyDescent="0.2">
      <c r="A24" s="2">
        <v>9.75</v>
      </c>
      <c r="B24" s="236">
        <v>8.5</v>
      </c>
      <c r="C24" s="43">
        <f t="shared" si="13"/>
        <v>0.10625</v>
      </c>
      <c r="D24" s="195">
        <f t="shared" si="14"/>
        <v>-1.0100390625</v>
      </c>
      <c r="E24" s="92">
        <f t="shared" si="15"/>
        <v>0.80803125000000009</v>
      </c>
      <c r="F24" s="76">
        <f t="shared" si="16"/>
        <v>-0.47531250000000008</v>
      </c>
      <c r="G24" s="96">
        <f t="shared" si="17"/>
        <v>0.38025000000000003</v>
      </c>
      <c r="H24" s="253">
        <v>-5.23</v>
      </c>
      <c r="I24" s="99">
        <v>6.74</v>
      </c>
      <c r="J24" s="195">
        <f t="shared" si="18"/>
        <v>-6.7153515625000004</v>
      </c>
      <c r="K24" s="102">
        <f t="shared" si="18"/>
        <v>7.9282812500000004</v>
      </c>
      <c r="L24" s="167" t="s">
        <v>12</v>
      </c>
      <c r="M24" s="236">
        <v>0.2</v>
      </c>
      <c r="N24" s="297">
        <v>5.5</v>
      </c>
      <c r="O24" s="316">
        <f t="shared" si="19"/>
        <v>0.43636363636363645</v>
      </c>
      <c r="P24" s="225">
        <f t="shared" si="20"/>
        <v>0.43636363636363645</v>
      </c>
      <c r="Q24" s="257">
        <f t="shared" si="57"/>
        <v>5.75</v>
      </c>
      <c r="R24" s="104">
        <f t="shared" si="58"/>
        <v>6.25</v>
      </c>
      <c r="S24" s="61">
        <f t="shared" si="21"/>
        <v>-32.223955106431156</v>
      </c>
      <c r="T24" s="254">
        <f t="shared" si="22"/>
        <v>35.000718958333323</v>
      </c>
      <c r="U24" s="131">
        <v>2</v>
      </c>
      <c r="V24" s="69">
        <v>1.5</v>
      </c>
      <c r="W24" s="132">
        <f t="shared" si="23"/>
        <v>2.1818181818181817</v>
      </c>
      <c r="X24" s="73">
        <f t="shared" si="24"/>
        <v>2.1818181818181817</v>
      </c>
      <c r="Y24" s="201">
        <f t="shared" si="25"/>
        <v>22</v>
      </c>
      <c r="Z24" s="24">
        <f t="shared" si="26"/>
        <v>16.5</v>
      </c>
      <c r="AA24" s="3">
        <v>130</v>
      </c>
      <c r="AB24" s="249">
        <f t="shared" si="27"/>
        <v>36.870040192552679</v>
      </c>
      <c r="AC24" s="183">
        <f t="shared" si="28"/>
        <v>44.656307494224144</v>
      </c>
      <c r="AD24" s="245">
        <f t="shared" si="29"/>
        <v>48</v>
      </c>
      <c r="AF24" s="2">
        <f t="shared" si="2"/>
        <v>9.75</v>
      </c>
      <c r="AG24" s="246">
        <f t="shared" si="3"/>
        <v>8.5</v>
      </c>
      <c r="AH24" s="169" t="str">
        <f t="shared" si="4"/>
        <v>#4 @ 5.5</v>
      </c>
      <c r="AI24" s="55">
        <v>8</v>
      </c>
      <c r="AJ24" s="57">
        <f t="shared" si="30"/>
        <v>1800</v>
      </c>
      <c r="AK24" s="49">
        <f t="shared" si="31"/>
        <v>48</v>
      </c>
      <c r="AL24" s="4">
        <f t="shared" si="32"/>
        <v>0.99667774086378735</v>
      </c>
      <c r="AM24" s="4">
        <f t="shared" si="33"/>
        <v>0.66777408637873759</v>
      </c>
      <c r="AN24" s="253">
        <f t="shared" si="5"/>
        <v>-6.7153515625000004</v>
      </c>
      <c r="AO24" s="108">
        <f t="shared" si="6"/>
        <v>7.9282812500000004</v>
      </c>
      <c r="AP24" s="195">
        <f t="shared" si="34"/>
        <v>1.5611391386540865</v>
      </c>
      <c r="AQ24" s="253">
        <f t="shared" si="35"/>
        <v>0.5818181818181819</v>
      </c>
      <c r="AR24" s="157">
        <f t="shared" si="36"/>
        <v>-3.3454545454545461</v>
      </c>
      <c r="AS24" s="111">
        <f t="shared" si="37"/>
        <v>0.5818181818181819</v>
      </c>
      <c r="AT24" s="111">
        <f t="shared" si="38"/>
        <v>-3.6363636363636371</v>
      </c>
      <c r="AU24" s="102">
        <f t="shared" si="39"/>
        <v>1.6380781396181592</v>
      </c>
      <c r="AV24" s="253">
        <f t="shared" si="7"/>
        <v>-15.409191169871882</v>
      </c>
      <c r="AW24" s="108">
        <f t="shared" si="8"/>
        <v>16.67948973404388</v>
      </c>
      <c r="AX24" s="127">
        <f t="shared" si="40"/>
        <v>-1.6450798424835569</v>
      </c>
      <c r="AY24" s="122">
        <f t="shared" si="41"/>
        <v>1.6970588206017976</v>
      </c>
      <c r="AZ24" s="253">
        <f t="shared" si="42"/>
        <v>-35.31272976428972</v>
      </c>
      <c r="BA24" s="259">
        <f t="shared" si="43"/>
        <v>-35.31272976428972</v>
      </c>
      <c r="BB24" s="108">
        <f t="shared" si="44"/>
        <v>38.223830640517221</v>
      </c>
      <c r="BC24" s="259">
        <f t="shared" si="45"/>
        <v>38.223830640517214</v>
      </c>
      <c r="BE24" s="2">
        <f t="shared" si="9"/>
        <v>9.75</v>
      </c>
      <c r="BF24" s="138">
        <f t="shared" si="10"/>
        <v>8.5</v>
      </c>
      <c r="BG24" s="175" t="str">
        <f t="shared" si="11"/>
        <v>#4 @ 5.5</v>
      </c>
      <c r="BH24" s="87">
        <f t="shared" si="46"/>
        <v>0.84498317650264698</v>
      </c>
      <c r="BI24" s="225">
        <f t="shared" si="59"/>
        <v>1.9152952000726666E-2</v>
      </c>
      <c r="BJ24" s="34">
        <f t="shared" si="48"/>
        <v>2.5</v>
      </c>
      <c r="BK24" s="25">
        <f t="shared" si="49"/>
        <v>35.31272976428972</v>
      </c>
      <c r="BL24" s="57">
        <f t="shared" si="12"/>
        <v>8.5</v>
      </c>
      <c r="BM24" s="89">
        <f t="shared" si="50"/>
        <v>1.5952380952380953</v>
      </c>
      <c r="BN24" s="228">
        <v>5.5</v>
      </c>
      <c r="BP24" s="66">
        <f t="shared" si="51"/>
        <v>0.82688286691731139</v>
      </c>
      <c r="BQ24" s="129">
        <f t="shared" si="52"/>
        <v>1.4057008737594294E-2</v>
      </c>
      <c r="BR24" s="234">
        <f t="shared" si="53"/>
        <v>2.25</v>
      </c>
      <c r="BS24" s="22">
        <f t="shared" si="54"/>
        <v>38.223830640517221</v>
      </c>
      <c r="BT24" s="87">
        <f t="shared" si="55"/>
        <v>1.5142857142857142</v>
      </c>
      <c r="BU24" s="230">
        <f t="shared" si="56"/>
        <v>5.5</v>
      </c>
    </row>
    <row r="25" spans="1:73" x14ac:dyDescent="0.2">
      <c r="A25" s="17">
        <v>10</v>
      </c>
      <c r="B25" s="237">
        <v>8.5</v>
      </c>
      <c r="C25" s="42">
        <f t="shared" si="13"/>
        <v>0.10625</v>
      </c>
      <c r="D25" s="256">
        <f t="shared" si="14"/>
        <v>-1.0625</v>
      </c>
      <c r="E25" s="93">
        <f t="shared" si="15"/>
        <v>0.85000000000000009</v>
      </c>
      <c r="F25" s="77">
        <f t="shared" si="16"/>
        <v>-0.50000000000000011</v>
      </c>
      <c r="G25" s="97">
        <f t="shared" si="17"/>
        <v>0.4</v>
      </c>
      <c r="H25" s="255">
        <v>-5.55</v>
      </c>
      <c r="I25" s="100">
        <v>6.89</v>
      </c>
      <c r="J25" s="256">
        <f t="shared" si="18"/>
        <v>-7.1124999999999998</v>
      </c>
      <c r="K25" s="103">
        <f t="shared" si="18"/>
        <v>8.14</v>
      </c>
      <c r="L25" s="173" t="s">
        <v>147</v>
      </c>
      <c r="M25" s="237">
        <v>0.2</v>
      </c>
      <c r="N25" s="317">
        <v>5</v>
      </c>
      <c r="O25" s="315">
        <f t="shared" si="19"/>
        <v>0.48000000000000009</v>
      </c>
      <c r="P25" s="224">
        <f t="shared" si="20"/>
        <v>0.48000000000000009</v>
      </c>
      <c r="Q25" s="195">
        <f t="shared" si="57"/>
        <v>5.75</v>
      </c>
      <c r="R25" s="102">
        <f t="shared" si="58"/>
        <v>6.25</v>
      </c>
      <c r="S25" s="253">
        <f t="shared" si="21"/>
        <v>-31.026992753623183</v>
      </c>
      <c r="T25" s="105">
        <f t="shared" si="22"/>
        <v>32.668533333333329</v>
      </c>
      <c r="U25" s="130">
        <v>2</v>
      </c>
      <c r="V25" s="71">
        <v>1.5</v>
      </c>
      <c r="W25" s="131">
        <f t="shared" si="23"/>
        <v>2.4</v>
      </c>
      <c r="X25" s="23">
        <f t="shared" si="24"/>
        <v>2.4</v>
      </c>
      <c r="Y25" s="244">
        <f t="shared" si="25"/>
        <v>20</v>
      </c>
      <c r="Z25" s="28">
        <f t="shared" si="26"/>
        <v>15</v>
      </c>
      <c r="AA25" s="18">
        <v>130</v>
      </c>
      <c r="AB25" s="250">
        <f t="shared" si="27"/>
        <v>38.059000190924671</v>
      </c>
      <c r="AC25" s="184">
        <f t="shared" si="28"/>
        <v>46.096353748807744</v>
      </c>
      <c r="AD25" s="24">
        <f t="shared" si="29"/>
        <v>48</v>
      </c>
      <c r="AF25" s="56">
        <f t="shared" si="2"/>
        <v>10</v>
      </c>
      <c r="AG25" s="247">
        <f t="shared" si="3"/>
        <v>8.5</v>
      </c>
      <c r="AH25" s="174" t="str">
        <f t="shared" si="4"/>
        <v>#4 @ 5</v>
      </c>
      <c r="AI25" s="56">
        <v>8</v>
      </c>
      <c r="AJ25" s="55">
        <f t="shared" si="30"/>
        <v>1800</v>
      </c>
      <c r="AK25" s="47">
        <f t="shared" si="31"/>
        <v>48</v>
      </c>
      <c r="AL25" s="19">
        <f t="shared" si="32"/>
        <v>0.99667774086378735</v>
      </c>
      <c r="AM25" s="19">
        <f t="shared" si="33"/>
        <v>0.66777408637873759</v>
      </c>
      <c r="AN25" s="255">
        <f t="shared" si="5"/>
        <v>-7.1124999999999998</v>
      </c>
      <c r="AO25" s="109">
        <f t="shared" si="6"/>
        <v>8.14</v>
      </c>
      <c r="AP25" s="256">
        <f t="shared" si="34"/>
        <v>1.6248393249829149</v>
      </c>
      <c r="AQ25" s="255">
        <f t="shared" si="35"/>
        <v>0.64000000000000012</v>
      </c>
      <c r="AR25" s="160">
        <f t="shared" si="36"/>
        <v>-3.680000000000001</v>
      </c>
      <c r="AS25" s="112">
        <f t="shared" si="37"/>
        <v>0.64000000000000012</v>
      </c>
      <c r="AT25" s="112">
        <f t="shared" si="38"/>
        <v>-4.0000000000000009</v>
      </c>
      <c r="AU25" s="103">
        <f t="shared" si="39"/>
        <v>1.7054382241875461</v>
      </c>
      <c r="AV25" s="255">
        <f t="shared" si="7"/>
        <v>-16.387031488859876</v>
      </c>
      <c r="AW25" s="109">
        <f t="shared" si="8"/>
        <v>17.192580475483176</v>
      </c>
      <c r="AX25" s="186">
        <f t="shared" si="40"/>
        <v>-1.6808873793343826</v>
      </c>
      <c r="AY25" s="106">
        <f t="shared" si="41"/>
        <v>1.6801723091507805</v>
      </c>
      <c r="AZ25" s="255">
        <f t="shared" si="42"/>
        <v>-34.139648935124733</v>
      </c>
      <c r="BA25" s="258">
        <f t="shared" si="43"/>
        <v>-34.139648935124733</v>
      </c>
      <c r="BB25" s="109">
        <f t="shared" si="44"/>
        <v>35.817875990589947</v>
      </c>
      <c r="BC25" s="258">
        <f t="shared" si="45"/>
        <v>35.81787599058994</v>
      </c>
      <c r="BE25" s="56">
        <f t="shared" si="9"/>
        <v>10</v>
      </c>
      <c r="BF25" s="150">
        <f t="shared" si="10"/>
        <v>8.5</v>
      </c>
      <c r="BG25" s="174" t="str">
        <f t="shared" si="11"/>
        <v>#4 @ 5</v>
      </c>
      <c r="BH25" s="88">
        <f t="shared" si="46"/>
        <v>0.77801240770522362</v>
      </c>
      <c r="BI25" s="224">
        <f t="shared" si="59"/>
        <v>1.7634947907985071E-2</v>
      </c>
      <c r="BJ25" s="32">
        <f t="shared" si="48"/>
        <v>2.5</v>
      </c>
      <c r="BK25" s="22">
        <f t="shared" si="49"/>
        <v>34.139648935124733</v>
      </c>
      <c r="BL25" s="55">
        <f t="shared" si="12"/>
        <v>8.5</v>
      </c>
      <c r="BM25" s="87">
        <f t="shared" si="50"/>
        <v>1.5952380952380953</v>
      </c>
      <c r="BN25" s="227">
        <v>5</v>
      </c>
      <c r="BP25" s="88">
        <f t="shared" si="51"/>
        <v>0.73609390045967493</v>
      </c>
      <c r="BQ25" s="42">
        <f t="shared" si="52"/>
        <v>1.2513596307814475E-2</v>
      </c>
      <c r="BR25" s="191">
        <f t="shared" si="53"/>
        <v>2.25</v>
      </c>
      <c r="BS25" s="27">
        <f t="shared" si="54"/>
        <v>35.817875990589947</v>
      </c>
      <c r="BT25" s="88">
        <f t="shared" si="55"/>
        <v>1.5142857142857142</v>
      </c>
      <c r="BU25" s="231">
        <f t="shared" si="56"/>
        <v>5</v>
      </c>
    </row>
    <row r="26" spans="1:73" x14ac:dyDescent="0.2">
      <c r="A26" s="2">
        <v>10.25</v>
      </c>
      <c r="B26" s="236">
        <v>8.5</v>
      </c>
      <c r="C26" s="43">
        <f t="shared" si="13"/>
        <v>0.10625</v>
      </c>
      <c r="D26" s="195">
        <f t="shared" si="14"/>
        <v>-1.1162890625000002</v>
      </c>
      <c r="E26" s="92">
        <f>0.08*C26*A26^2</f>
        <v>0.89303125000000005</v>
      </c>
      <c r="F26" s="76">
        <f t="shared" si="16"/>
        <v>-0.52531250000000007</v>
      </c>
      <c r="G26" s="96">
        <f t="shared" si="17"/>
        <v>0.42025000000000001</v>
      </c>
      <c r="H26" s="253">
        <v>-5.87</v>
      </c>
      <c r="I26" s="99">
        <v>7.03</v>
      </c>
      <c r="J26" s="195">
        <f t="shared" si="18"/>
        <v>-7.5116015625000001</v>
      </c>
      <c r="K26" s="102">
        <f t="shared" si="18"/>
        <v>8.3432812500000004</v>
      </c>
      <c r="L26" s="167" t="s">
        <v>147</v>
      </c>
      <c r="M26" s="236">
        <v>0.2</v>
      </c>
      <c r="N26" s="297">
        <v>5</v>
      </c>
      <c r="O26" s="315">
        <f t="shared" si="19"/>
        <v>0.48000000000000009</v>
      </c>
      <c r="P26" s="224">
        <f t="shared" si="20"/>
        <v>0.48000000000000009</v>
      </c>
      <c r="Q26" s="195">
        <f t="shared" si="57"/>
        <v>5.75</v>
      </c>
      <c r="R26" s="102">
        <f t="shared" si="58"/>
        <v>6.25</v>
      </c>
      <c r="S26" s="253">
        <f t="shared" si="21"/>
        <v>-32.768001019021739</v>
      </c>
      <c r="T26" s="105">
        <f t="shared" si="22"/>
        <v>33.484368749999994</v>
      </c>
      <c r="U26" s="131">
        <v>2</v>
      </c>
      <c r="V26" s="69">
        <v>1.5</v>
      </c>
      <c r="W26" s="131">
        <f t="shared" si="23"/>
        <v>2.4</v>
      </c>
      <c r="X26" s="23">
        <f t="shared" si="24"/>
        <v>2.4</v>
      </c>
      <c r="Y26" s="201">
        <f t="shared" si="25"/>
        <v>20</v>
      </c>
      <c r="Z26" s="24">
        <f t="shared" si="26"/>
        <v>15</v>
      </c>
      <c r="AA26" s="3">
        <v>130</v>
      </c>
      <c r="AB26" s="249">
        <f t="shared" si="27"/>
        <v>38.059000190924671</v>
      </c>
      <c r="AC26" s="183">
        <f t="shared" si="28"/>
        <v>46.096353748807744</v>
      </c>
      <c r="AD26" s="24">
        <f t="shared" si="29"/>
        <v>48</v>
      </c>
      <c r="AF26" s="55">
        <f t="shared" si="2"/>
        <v>10.25</v>
      </c>
      <c r="AG26" s="246">
        <f t="shared" si="3"/>
        <v>8.5</v>
      </c>
      <c r="AH26" s="169" t="str">
        <f t="shared" si="4"/>
        <v>#4 @ 5</v>
      </c>
      <c r="AI26" s="55">
        <v>8</v>
      </c>
      <c r="AJ26" s="55">
        <f t="shared" si="30"/>
        <v>1800</v>
      </c>
      <c r="AK26" s="47">
        <f t="shared" si="31"/>
        <v>48</v>
      </c>
      <c r="AL26" s="4">
        <f t="shared" si="32"/>
        <v>0.99667774086378735</v>
      </c>
      <c r="AM26" s="4">
        <f t="shared" si="33"/>
        <v>0.66777408637873759</v>
      </c>
      <c r="AN26" s="253">
        <f t="shared" si="5"/>
        <v>-7.5116015625000001</v>
      </c>
      <c r="AO26" s="108">
        <f t="shared" si="6"/>
        <v>8.3432812500000004</v>
      </c>
      <c r="AP26" s="195">
        <f t="shared" si="34"/>
        <v>1.6248393249829149</v>
      </c>
      <c r="AQ26" s="253">
        <f t="shared" si="35"/>
        <v>0.64000000000000012</v>
      </c>
      <c r="AR26" s="157">
        <f t="shared" si="36"/>
        <v>-3.680000000000001</v>
      </c>
      <c r="AS26" s="111">
        <f t="shared" si="37"/>
        <v>0.64000000000000012</v>
      </c>
      <c r="AT26" s="111">
        <f t="shared" si="38"/>
        <v>-4.0000000000000009</v>
      </c>
      <c r="AU26" s="102">
        <f t="shared" si="39"/>
        <v>1.7054382241875461</v>
      </c>
      <c r="AV26" s="253">
        <f t="shared" si="7"/>
        <v>-17.306552033245207</v>
      </c>
      <c r="AW26" s="108">
        <f t="shared" si="8"/>
        <v>17.621932963171357</v>
      </c>
      <c r="AX26" s="187">
        <f t="shared" si="40"/>
        <v>-1.7752065047444188</v>
      </c>
      <c r="AY26" s="105">
        <f t="shared" si="41"/>
        <v>1.7221314648288586</v>
      </c>
      <c r="AZ26" s="253">
        <f t="shared" si="42"/>
        <v>-36.055316735927512</v>
      </c>
      <c r="BA26" s="258">
        <f t="shared" si="43"/>
        <v>-36.055316735927505</v>
      </c>
      <c r="BB26" s="108">
        <f t="shared" si="44"/>
        <v>36.712360339940325</v>
      </c>
      <c r="BC26" s="258">
        <f t="shared" si="45"/>
        <v>36.712360339940318</v>
      </c>
      <c r="BE26" s="55">
        <f t="shared" si="9"/>
        <v>10.25</v>
      </c>
      <c r="BF26" s="149">
        <f t="shared" si="10"/>
        <v>8.5</v>
      </c>
      <c r="BG26" s="169" t="str">
        <f t="shared" si="11"/>
        <v>#4 @ 5</v>
      </c>
      <c r="BH26" s="87">
        <f t="shared" si="46"/>
        <v>0.82166878275753175</v>
      </c>
      <c r="BI26" s="224">
        <f t="shared" si="59"/>
        <v>1.8624492409170721E-2</v>
      </c>
      <c r="BJ26" s="32">
        <f t="shared" si="48"/>
        <v>2.5</v>
      </c>
      <c r="BK26" s="22">
        <f t="shared" si="49"/>
        <v>36.055316735927512</v>
      </c>
      <c r="BL26" s="55">
        <f t="shared" si="12"/>
        <v>8.5</v>
      </c>
      <c r="BM26" s="87">
        <f t="shared" si="50"/>
        <v>1.5952380952380953</v>
      </c>
      <c r="BN26" s="227">
        <v>5</v>
      </c>
      <c r="BP26" s="87">
        <f t="shared" si="51"/>
        <v>0.75447646657795731</v>
      </c>
      <c r="BQ26" s="43">
        <f t="shared" si="52"/>
        <v>1.2826099931825275E-2</v>
      </c>
      <c r="BR26" s="191">
        <f t="shared" si="53"/>
        <v>2.25</v>
      </c>
      <c r="BS26" s="22">
        <f t="shared" si="54"/>
        <v>36.712360339940325</v>
      </c>
      <c r="BT26" s="87">
        <f t="shared" si="55"/>
        <v>1.5142857142857142</v>
      </c>
      <c r="BU26" s="232">
        <f t="shared" si="56"/>
        <v>5</v>
      </c>
    </row>
    <row r="27" spans="1:73" x14ac:dyDescent="0.2">
      <c r="A27" s="2">
        <v>10.5</v>
      </c>
      <c r="B27" s="236">
        <v>8.75</v>
      </c>
      <c r="C27" s="43">
        <f t="shared" si="13"/>
        <v>0.10937499999999999</v>
      </c>
      <c r="D27" s="195">
        <f t="shared" si="14"/>
        <v>-1.205859375</v>
      </c>
      <c r="E27" s="92">
        <f t="shared" si="15"/>
        <v>0.96468749999999992</v>
      </c>
      <c r="F27" s="76">
        <f t="shared" si="16"/>
        <v>-0.55125000000000013</v>
      </c>
      <c r="G27" s="96">
        <f t="shared" si="17"/>
        <v>0.441</v>
      </c>
      <c r="H27" s="253">
        <v>-6.18</v>
      </c>
      <c r="I27" s="99">
        <v>7.17</v>
      </c>
      <c r="J27" s="195">
        <f t="shared" si="18"/>
        <v>-7.9371093750000004</v>
      </c>
      <c r="K27" s="102">
        <f t="shared" si="18"/>
        <v>8.5756875000000008</v>
      </c>
      <c r="L27" s="167" t="s">
        <v>147</v>
      </c>
      <c r="M27" s="236">
        <v>0.2</v>
      </c>
      <c r="N27" s="297">
        <v>5</v>
      </c>
      <c r="O27" s="315">
        <f t="shared" si="19"/>
        <v>0.48000000000000009</v>
      </c>
      <c r="P27" s="224">
        <f t="shared" si="20"/>
        <v>0.48000000000000009</v>
      </c>
      <c r="Q27" s="195">
        <f t="shared" si="57"/>
        <v>6</v>
      </c>
      <c r="R27" s="102">
        <f t="shared" si="58"/>
        <v>6.5</v>
      </c>
      <c r="S27" s="253">
        <f t="shared" si="21"/>
        <v>-33.181526692708331</v>
      </c>
      <c r="T27" s="105">
        <f t="shared" si="22"/>
        <v>33.093358173076922</v>
      </c>
      <c r="U27" s="131">
        <v>2</v>
      </c>
      <c r="V27" s="69">
        <v>1.5</v>
      </c>
      <c r="W27" s="131">
        <f t="shared" si="23"/>
        <v>2.4</v>
      </c>
      <c r="X27" s="23">
        <f t="shared" si="24"/>
        <v>2.4</v>
      </c>
      <c r="Y27" s="201">
        <f t="shared" si="25"/>
        <v>20</v>
      </c>
      <c r="Z27" s="24">
        <f t="shared" si="26"/>
        <v>15</v>
      </c>
      <c r="AA27" s="3">
        <v>130</v>
      </c>
      <c r="AB27" s="249">
        <f t="shared" si="27"/>
        <v>38.059000190924671</v>
      </c>
      <c r="AC27" s="183">
        <f t="shared" si="28"/>
        <v>46.096353748807744</v>
      </c>
      <c r="AD27" s="24">
        <f t="shared" si="29"/>
        <v>48</v>
      </c>
      <c r="AF27" s="55">
        <f t="shared" si="2"/>
        <v>10.5</v>
      </c>
      <c r="AG27" s="246">
        <f t="shared" si="3"/>
        <v>8.75</v>
      </c>
      <c r="AH27" s="169" t="str">
        <f t="shared" si="4"/>
        <v>#4 @ 5</v>
      </c>
      <c r="AI27" s="55">
        <v>8</v>
      </c>
      <c r="AJ27" s="55">
        <f t="shared" si="30"/>
        <v>1800</v>
      </c>
      <c r="AK27" s="47">
        <f t="shared" si="31"/>
        <v>48</v>
      </c>
      <c r="AL27" s="4">
        <f t="shared" si="32"/>
        <v>0.99667774086378735</v>
      </c>
      <c r="AM27" s="4">
        <f t="shared" si="33"/>
        <v>0.66777408637873759</v>
      </c>
      <c r="AN27" s="253">
        <f t="shared" si="5"/>
        <v>-7.9371093750000004</v>
      </c>
      <c r="AO27" s="108">
        <f t="shared" si="6"/>
        <v>8.5756875000000008</v>
      </c>
      <c r="AP27" s="195">
        <f t="shared" si="34"/>
        <v>1.6655477833585373</v>
      </c>
      <c r="AQ27" s="253">
        <f t="shared" si="35"/>
        <v>0.64000000000000012</v>
      </c>
      <c r="AR27" s="157">
        <f t="shared" si="36"/>
        <v>-3.8400000000000012</v>
      </c>
      <c r="AS27" s="111">
        <f t="shared" si="37"/>
        <v>0.64000000000000012</v>
      </c>
      <c r="AT27" s="111">
        <f t="shared" si="38"/>
        <v>-4.160000000000001</v>
      </c>
      <c r="AU27" s="102">
        <f t="shared" si="39"/>
        <v>1.7445580640902307</v>
      </c>
      <c r="AV27" s="253">
        <f t="shared" si="7"/>
        <v>-17.492838676824043</v>
      </c>
      <c r="AW27" s="108">
        <f t="shared" si="8"/>
        <v>17.387612829597604</v>
      </c>
      <c r="AX27" s="187">
        <f t="shared" si="40"/>
        <v>-1.7504590032986176</v>
      </c>
      <c r="AY27" s="105">
        <f t="shared" si="41"/>
        <v>1.661128701446142</v>
      </c>
      <c r="AZ27" s="253">
        <f t="shared" si="42"/>
        <v>-36.443413910050076</v>
      </c>
      <c r="BA27" s="258">
        <f t="shared" si="43"/>
        <v>-36.443413910050083</v>
      </c>
      <c r="BB27" s="108">
        <f t="shared" si="44"/>
        <v>36.224193394994991</v>
      </c>
      <c r="BC27" s="258">
        <f t="shared" si="45"/>
        <v>36.224193394994998</v>
      </c>
      <c r="BE27" s="55">
        <f t="shared" si="9"/>
        <v>10.5</v>
      </c>
      <c r="BF27" s="149">
        <f t="shared" si="10"/>
        <v>8.75</v>
      </c>
      <c r="BG27" s="169" t="str">
        <f t="shared" si="11"/>
        <v>#4 @ 5</v>
      </c>
      <c r="BH27" s="87">
        <f t="shared" si="46"/>
        <v>0.81811745512357303</v>
      </c>
      <c r="BI27" s="224">
        <f t="shared" si="59"/>
        <v>1.8543995649467657E-2</v>
      </c>
      <c r="BJ27" s="32">
        <f t="shared" si="48"/>
        <v>2.5</v>
      </c>
      <c r="BK27" s="22">
        <f t="shared" si="49"/>
        <v>36.443413910050076</v>
      </c>
      <c r="BL27" s="55">
        <f t="shared" si="12"/>
        <v>8.75</v>
      </c>
      <c r="BM27" s="87">
        <f t="shared" si="50"/>
        <v>1.5714285714285714</v>
      </c>
      <c r="BN27" s="227">
        <v>5</v>
      </c>
      <c r="BP27" s="87">
        <f t="shared" si="51"/>
        <v>0.73471990371010243</v>
      </c>
      <c r="BQ27" s="43">
        <f t="shared" si="52"/>
        <v>1.2490238363071742E-2</v>
      </c>
      <c r="BR27" s="191">
        <f t="shared" si="53"/>
        <v>2.25</v>
      </c>
      <c r="BS27" s="22">
        <f t="shared" si="54"/>
        <v>36.224193394994991</v>
      </c>
      <c r="BT27" s="87">
        <f t="shared" si="55"/>
        <v>1.4945054945054945</v>
      </c>
      <c r="BU27" s="232">
        <f t="shared" si="56"/>
        <v>5</v>
      </c>
    </row>
    <row r="28" spans="1:73" x14ac:dyDescent="0.2">
      <c r="A28" s="8">
        <v>10.75</v>
      </c>
      <c r="B28" s="238">
        <v>8.75</v>
      </c>
      <c r="C28" s="44">
        <f t="shared" si="13"/>
        <v>0.10937499999999999</v>
      </c>
      <c r="D28" s="257">
        <f t="shared" si="14"/>
        <v>-1.26396484375</v>
      </c>
      <c r="E28" s="94">
        <f t="shared" si="15"/>
        <v>1.0111718749999998</v>
      </c>
      <c r="F28" s="78">
        <f t="shared" si="16"/>
        <v>-0.57781250000000006</v>
      </c>
      <c r="G28" s="98">
        <f t="shared" si="17"/>
        <v>0.46224999999999999</v>
      </c>
      <c r="H28" s="61">
        <v>-6.49</v>
      </c>
      <c r="I28" s="101">
        <v>7.32</v>
      </c>
      <c r="J28" s="257">
        <f t="shared" si="18"/>
        <v>-8.3317773437499998</v>
      </c>
      <c r="K28" s="104">
        <f t="shared" si="18"/>
        <v>8.7934218749999999</v>
      </c>
      <c r="L28" s="168" t="s">
        <v>147</v>
      </c>
      <c r="M28" s="238">
        <v>0.2</v>
      </c>
      <c r="N28" s="298">
        <v>5</v>
      </c>
      <c r="O28" s="316">
        <f t="shared" si="19"/>
        <v>0.48000000000000009</v>
      </c>
      <c r="P28" s="225">
        <f t="shared" si="20"/>
        <v>0.48000000000000009</v>
      </c>
      <c r="Q28" s="257">
        <f t="shared" si="57"/>
        <v>6</v>
      </c>
      <c r="R28" s="104">
        <f t="shared" si="58"/>
        <v>6.5</v>
      </c>
      <c r="S28" s="61">
        <f t="shared" si="21"/>
        <v>-34.83145806206597</v>
      </c>
      <c r="T28" s="254">
        <f t="shared" si="22"/>
        <v>33.933589543269228</v>
      </c>
      <c r="U28" s="132">
        <v>2</v>
      </c>
      <c r="V28" s="73">
        <v>1.5</v>
      </c>
      <c r="W28" s="132">
        <f t="shared" si="23"/>
        <v>2.4</v>
      </c>
      <c r="X28" s="73">
        <f t="shared" si="24"/>
        <v>2.4</v>
      </c>
      <c r="Y28" s="245">
        <f t="shared" si="25"/>
        <v>20</v>
      </c>
      <c r="Z28" s="26">
        <f t="shared" si="26"/>
        <v>15</v>
      </c>
      <c r="AA28" s="9">
        <v>130</v>
      </c>
      <c r="AB28" s="251">
        <f t="shared" si="27"/>
        <v>38.059000190924671</v>
      </c>
      <c r="AC28" s="185">
        <f t="shared" si="28"/>
        <v>46.096353748807744</v>
      </c>
      <c r="AD28" s="245">
        <f t="shared" si="29"/>
        <v>48</v>
      </c>
      <c r="AF28" s="57">
        <f t="shared" si="2"/>
        <v>10.75</v>
      </c>
      <c r="AG28" s="60">
        <f t="shared" si="3"/>
        <v>8.75</v>
      </c>
      <c r="AH28" s="175" t="str">
        <f t="shared" si="4"/>
        <v>#4 @ 5</v>
      </c>
      <c r="AI28" s="57">
        <v>8</v>
      </c>
      <c r="AJ28" s="57">
        <f t="shared" si="30"/>
        <v>1800</v>
      </c>
      <c r="AK28" s="49">
        <f t="shared" si="31"/>
        <v>48</v>
      </c>
      <c r="AL28" s="10">
        <f t="shared" si="32"/>
        <v>0.99667774086378735</v>
      </c>
      <c r="AM28" s="10">
        <f t="shared" si="33"/>
        <v>0.66777408637873759</v>
      </c>
      <c r="AN28" s="61">
        <f t="shared" si="5"/>
        <v>-8.3317773437499998</v>
      </c>
      <c r="AO28" s="110">
        <f t="shared" si="6"/>
        <v>8.7934218749999999</v>
      </c>
      <c r="AP28" s="257">
        <f t="shared" si="34"/>
        <v>1.6655477833585373</v>
      </c>
      <c r="AQ28" s="61">
        <f t="shared" si="35"/>
        <v>0.64000000000000012</v>
      </c>
      <c r="AR28" s="158">
        <f t="shared" si="36"/>
        <v>-3.8400000000000012</v>
      </c>
      <c r="AS28" s="113">
        <f t="shared" si="37"/>
        <v>0.64000000000000012</v>
      </c>
      <c r="AT28" s="113">
        <f t="shared" si="38"/>
        <v>-4.160000000000001</v>
      </c>
      <c r="AU28" s="104">
        <f t="shared" si="39"/>
        <v>1.7445580640902307</v>
      </c>
      <c r="AV28" s="61">
        <f t="shared" si="7"/>
        <v>-18.362659512353801</v>
      </c>
      <c r="AW28" s="110">
        <f t="shared" si="8"/>
        <v>17.829079593888444</v>
      </c>
      <c r="AX28" s="188">
        <f t="shared" si="40"/>
        <v>-1.8374995197601933</v>
      </c>
      <c r="AY28" s="107">
        <f t="shared" si="41"/>
        <v>1.7033043077288963</v>
      </c>
      <c r="AZ28" s="61">
        <f t="shared" si="42"/>
        <v>-38.255540650737075</v>
      </c>
      <c r="BA28" s="259">
        <f t="shared" si="43"/>
        <v>-38.255540650737075</v>
      </c>
      <c r="BB28" s="110">
        <f t="shared" si="44"/>
        <v>37.14391582060091</v>
      </c>
      <c r="BC28" s="259">
        <f t="shared" si="45"/>
        <v>37.143915820600917</v>
      </c>
      <c r="BE28" s="57">
        <f t="shared" si="9"/>
        <v>10.75</v>
      </c>
      <c r="BF28" s="151">
        <f t="shared" si="10"/>
        <v>8.75</v>
      </c>
      <c r="BG28" s="175" t="str">
        <f t="shared" si="11"/>
        <v>#4 @ 5</v>
      </c>
      <c r="BH28" s="89">
        <f t="shared" si="46"/>
        <v>0.85879785134307718</v>
      </c>
      <c r="BI28" s="225">
        <f t="shared" si="59"/>
        <v>1.9466084630443085E-2</v>
      </c>
      <c r="BJ28" s="34">
        <f t="shared" si="48"/>
        <v>2.5</v>
      </c>
      <c r="BK28" s="22">
        <f t="shared" si="49"/>
        <v>38.255540650737075</v>
      </c>
      <c r="BL28" s="55">
        <f t="shared" si="12"/>
        <v>8.75</v>
      </c>
      <c r="BM28" s="87">
        <f t="shared" si="50"/>
        <v>1.5714285714285714</v>
      </c>
      <c r="BN28" s="227">
        <v>5</v>
      </c>
      <c r="BP28" s="89">
        <f t="shared" si="51"/>
        <v>0.75337424238958195</v>
      </c>
      <c r="BQ28" s="44">
        <f t="shared" si="52"/>
        <v>1.2807362120622895E-2</v>
      </c>
      <c r="BR28" s="234">
        <f t="shared" si="53"/>
        <v>2.25</v>
      </c>
      <c r="BS28" s="25">
        <f t="shared" si="54"/>
        <v>37.14391582060091</v>
      </c>
      <c r="BT28" s="89">
        <f t="shared" si="55"/>
        <v>1.4945054945054945</v>
      </c>
      <c r="BU28" s="233">
        <f t="shared" si="56"/>
        <v>5</v>
      </c>
    </row>
    <row r="29" spans="1:73" x14ac:dyDescent="0.2">
      <c r="A29" s="2">
        <v>11</v>
      </c>
      <c r="B29" s="236">
        <v>9</v>
      </c>
      <c r="C29" s="42">
        <f t="shared" si="13"/>
        <v>0.11249999999999999</v>
      </c>
      <c r="D29" s="195">
        <f t="shared" si="14"/>
        <v>-1.3612499999999998</v>
      </c>
      <c r="E29" s="92">
        <f t="shared" si="15"/>
        <v>1.089</v>
      </c>
      <c r="F29" s="76">
        <f t="shared" si="16"/>
        <v>-0.60500000000000009</v>
      </c>
      <c r="G29" s="96">
        <f t="shared" si="17"/>
        <v>0.48399999999999999</v>
      </c>
      <c r="H29" s="253">
        <v>-6.79</v>
      </c>
      <c r="I29" s="99">
        <v>7.46</v>
      </c>
      <c r="J29" s="195">
        <f t="shared" si="18"/>
        <v>-8.7562499999999996</v>
      </c>
      <c r="K29" s="102">
        <f t="shared" si="18"/>
        <v>9.0329999999999995</v>
      </c>
      <c r="L29" s="167" t="s">
        <v>147</v>
      </c>
      <c r="M29" s="236">
        <v>0.2</v>
      </c>
      <c r="N29" s="297">
        <v>5</v>
      </c>
      <c r="O29" s="315">
        <f t="shared" si="19"/>
        <v>0.48000000000000009</v>
      </c>
      <c r="P29" s="224">
        <f t="shared" si="20"/>
        <v>0.48000000000000009</v>
      </c>
      <c r="Q29" s="195">
        <f t="shared" si="57"/>
        <v>6.25</v>
      </c>
      <c r="R29" s="102">
        <f t="shared" si="58"/>
        <v>6.75</v>
      </c>
      <c r="S29" s="253">
        <f t="shared" si="21"/>
        <v>-35.141749999999988</v>
      </c>
      <c r="T29" s="105">
        <f t="shared" si="22"/>
        <v>33.567074074074064</v>
      </c>
      <c r="U29" s="131">
        <v>2</v>
      </c>
      <c r="V29" s="69">
        <v>1.5</v>
      </c>
      <c r="W29" s="131">
        <f t="shared" si="23"/>
        <v>2.4</v>
      </c>
      <c r="X29" s="23">
        <f t="shared" si="24"/>
        <v>2.4</v>
      </c>
      <c r="Y29" s="201">
        <f t="shared" si="25"/>
        <v>20</v>
      </c>
      <c r="Z29" s="24">
        <f t="shared" si="26"/>
        <v>15</v>
      </c>
      <c r="AA29" s="3">
        <v>130</v>
      </c>
      <c r="AB29" s="249">
        <f t="shared" si="27"/>
        <v>38.059000190924671</v>
      </c>
      <c r="AC29" s="183">
        <f t="shared" si="28"/>
        <v>46.096353748807744</v>
      </c>
      <c r="AD29" s="24">
        <f t="shared" si="29"/>
        <v>48</v>
      </c>
      <c r="AF29" s="56">
        <f t="shared" si="2"/>
        <v>11</v>
      </c>
      <c r="AG29" s="247">
        <f t="shared" si="3"/>
        <v>9</v>
      </c>
      <c r="AH29" s="174" t="str">
        <f t="shared" si="4"/>
        <v>#4 @ 5</v>
      </c>
      <c r="AI29" s="55">
        <v>8</v>
      </c>
      <c r="AJ29" s="55">
        <f t="shared" si="30"/>
        <v>1800</v>
      </c>
      <c r="AK29" s="47">
        <f t="shared" si="31"/>
        <v>48</v>
      </c>
      <c r="AL29" s="4">
        <f t="shared" si="32"/>
        <v>0.99667774086378735</v>
      </c>
      <c r="AM29" s="4">
        <f t="shared" si="33"/>
        <v>0.66777408637873759</v>
      </c>
      <c r="AN29" s="253">
        <f t="shared" si="5"/>
        <v>-8.7562499999999996</v>
      </c>
      <c r="AO29" s="108">
        <f t="shared" si="6"/>
        <v>9.0329999999999995</v>
      </c>
      <c r="AP29" s="256">
        <f t="shared" si="34"/>
        <v>1.7054382241875461</v>
      </c>
      <c r="AQ29" s="255">
        <f t="shared" si="35"/>
        <v>0.64000000000000012</v>
      </c>
      <c r="AR29" s="160">
        <f t="shared" si="36"/>
        <v>-4.0000000000000009</v>
      </c>
      <c r="AS29" s="112">
        <f t="shared" si="37"/>
        <v>0.64000000000000012</v>
      </c>
      <c r="AT29" s="112">
        <f t="shared" si="38"/>
        <v>-4.3200000000000012</v>
      </c>
      <c r="AU29" s="103">
        <f t="shared" si="39"/>
        <v>1.7829503084951865</v>
      </c>
      <c r="AV29" s="253">
        <f t="shared" si="7"/>
        <v>-18.494168647229671</v>
      </c>
      <c r="AW29" s="108">
        <f t="shared" si="8"/>
        <v>17.60909324620448</v>
      </c>
      <c r="AX29" s="187">
        <f t="shared" si="40"/>
        <v>-1.8073720862409728</v>
      </c>
      <c r="AY29" s="105">
        <f t="shared" si="41"/>
        <v>1.6460631910961283</v>
      </c>
      <c r="AZ29" s="253">
        <f t="shared" si="42"/>
        <v>-38.529518015061811</v>
      </c>
      <c r="BA29" s="258">
        <f t="shared" si="43"/>
        <v>-38.529518015061804</v>
      </c>
      <c r="BB29" s="108">
        <f t="shared" si="44"/>
        <v>36.685610929592663</v>
      </c>
      <c r="BC29" s="258">
        <f t="shared" si="45"/>
        <v>36.685610929592663</v>
      </c>
      <c r="BE29" s="56">
        <f t="shared" si="9"/>
        <v>11</v>
      </c>
      <c r="BF29" s="150">
        <f t="shared" si="10"/>
        <v>9</v>
      </c>
      <c r="BG29" s="169" t="str">
        <f t="shared" si="11"/>
        <v>#4 @ 5</v>
      </c>
      <c r="BH29" s="88">
        <f t="shared" si="46"/>
        <v>0.85285118369289092</v>
      </c>
      <c r="BI29" s="224">
        <f t="shared" si="59"/>
        <v>1.9331293497038864E-2</v>
      </c>
      <c r="BJ29" s="32">
        <f t="shared" si="48"/>
        <v>2.5</v>
      </c>
      <c r="BK29" s="27">
        <f t="shared" si="49"/>
        <v>38.529518015061811</v>
      </c>
      <c r="BL29" s="56">
        <f t="shared" si="12"/>
        <v>9</v>
      </c>
      <c r="BM29" s="88">
        <f t="shared" si="50"/>
        <v>1.5494505494505495</v>
      </c>
      <c r="BN29" s="229">
        <v>5</v>
      </c>
      <c r="BP29" s="88">
        <f t="shared" si="51"/>
        <v>0.73496002848741759</v>
      </c>
      <c r="BQ29" s="42">
        <f t="shared" si="52"/>
        <v>1.2494320484286101E-2</v>
      </c>
      <c r="BR29" s="191">
        <f t="shared" si="53"/>
        <v>2.25</v>
      </c>
      <c r="BS29" s="22">
        <f t="shared" si="54"/>
        <v>36.685610929592663</v>
      </c>
      <c r="BT29" s="87">
        <f t="shared" si="55"/>
        <v>1.4761904761904763</v>
      </c>
      <c r="BU29" s="231">
        <f t="shared" si="56"/>
        <v>5</v>
      </c>
    </row>
    <row r="30" spans="1:73" x14ac:dyDescent="0.2">
      <c r="A30" s="2">
        <v>11.25</v>
      </c>
      <c r="B30" s="236">
        <v>9</v>
      </c>
      <c r="C30" s="43">
        <f t="shared" si="13"/>
        <v>0.11249999999999999</v>
      </c>
      <c r="D30" s="195">
        <f t="shared" si="14"/>
        <v>-1.423828125</v>
      </c>
      <c r="E30" s="92">
        <f t="shared" si="15"/>
        <v>1.1390624999999999</v>
      </c>
      <c r="F30" s="76">
        <f t="shared" si="16"/>
        <v>-0.63281250000000011</v>
      </c>
      <c r="G30" s="96">
        <f t="shared" si="17"/>
        <v>0.50624999999999998</v>
      </c>
      <c r="H30" s="253">
        <v>-7.08</v>
      </c>
      <c r="I30" s="99">
        <v>7.6</v>
      </c>
      <c r="J30" s="195">
        <f t="shared" si="18"/>
        <v>-9.1366406250000001</v>
      </c>
      <c r="K30" s="102">
        <f t="shared" si="18"/>
        <v>9.2453124999999989</v>
      </c>
      <c r="L30" s="167" t="s">
        <v>147</v>
      </c>
      <c r="M30" s="236">
        <v>0.2</v>
      </c>
      <c r="N30" s="297">
        <v>5</v>
      </c>
      <c r="O30" s="315">
        <f t="shared" si="19"/>
        <v>0.48000000000000009</v>
      </c>
      <c r="P30" s="224">
        <f t="shared" si="20"/>
        <v>0.48000000000000009</v>
      </c>
      <c r="Q30" s="195">
        <f t="shared" si="57"/>
        <v>6.25</v>
      </c>
      <c r="R30" s="102">
        <f t="shared" si="58"/>
        <v>6.75</v>
      </c>
      <c r="S30" s="253">
        <f t="shared" si="21"/>
        <v>-36.668384374999995</v>
      </c>
      <c r="T30" s="105">
        <f t="shared" si="22"/>
        <v>34.356037808641965</v>
      </c>
      <c r="U30" s="131">
        <v>2</v>
      </c>
      <c r="V30" s="69">
        <v>1.5</v>
      </c>
      <c r="W30" s="131">
        <f t="shared" si="23"/>
        <v>2.4</v>
      </c>
      <c r="X30" s="23">
        <f t="shared" si="24"/>
        <v>2.4</v>
      </c>
      <c r="Y30" s="201">
        <f t="shared" si="25"/>
        <v>20</v>
      </c>
      <c r="Z30" s="24">
        <f t="shared" si="26"/>
        <v>15</v>
      </c>
      <c r="AA30" s="3">
        <v>130</v>
      </c>
      <c r="AB30" s="249">
        <f t="shared" si="27"/>
        <v>38.059000190924671</v>
      </c>
      <c r="AC30" s="183">
        <f t="shared" si="28"/>
        <v>46.096353748807744</v>
      </c>
      <c r="AD30" s="24">
        <f t="shared" si="29"/>
        <v>48</v>
      </c>
      <c r="AF30" s="55">
        <f t="shared" si="2"/>
        <v>11.25</v>
      </c>
      <c r="AG30" s="246">
        <f t="shared" si="3"/>
        <v>9</v>
      </c>
      <c r="AH30" s="169" t="str">
        <f t="shared" si="4"/>
        <v>#4 @ 5</v>
      </c>
      <c r="AI30" s="55">
        <v>8</v>
      </c>
      <c r="AJ30" s="55">
        <f t="shared" si="30"/>
        <v>1800</v>
      </c>
      <c r="AK30" s="47">
        <f t="shared" si="31"/>
        <v>48</v>
      </c>
      <c r="AL30" s="4">
        <f t="shared" si="32"/>
        <v>0.99667774086378735</v>
      </c>
      <c r="AM30" s="4">
        <f t="shared" si="33"/>
        <v>0.66777408637873759</v>
      </c>
      <c r="AN30" s="253">
        <f t="shared" si="5"/>
        <v>-9.1366406250000001</v>
      </c>
      <c r="AO30" s="108">
        <f t="shared" si="6"/>
        <v>9.2453124999999989</v>
      </c>
      <c r="AP30" s="195">
        <f t="shared" si="34"/>
        <v>1.7054382241875461</v>
      </c>
      <c r="AQ30" s="253">
        <f t="shared" si="35"/>
        <v>0.64000000000000012</v>
      </c>
      <c r="AR30" s="157">
        <f t="shared" si="36"/>
        <v>-4.0000000000000009</v>
      </c>
      <c r="AS30" s="111">
        <f t="shared" si="37"/>
        <v>0.64000000000000012</v>
      </c>
      <c r="AT30" s="111">
        <f t="shared" si="38"/>
        <v>-4.3200000000000012</v>
      </c>
      <c r="AU30" s="102">
        <f t="shared" si="39"/>
        <v>1.7829503084951865</v>
      </c>
      <c r="AV30" s="253">
        <f t="shared" si="7"/>
        <v>-19.297595727381005</v>
      </c>
      <c r="AW30" s="108">
        <f t="shared" si="8"/>
        <v>18.02297906595814</v>
      </c>
      <c r="AX30" s="187">
        <f t="shared" si="40"/>
        <v>-1.8858882772465699</v>
      </c>
      <c r="AY30" s="122">
        <f t="shared" si="41"/>
        <v>1.6847524185133318</v>
      </c>
      <c r="AZ30" s="253">
        <f t="shared" si="42"/>
        <v>-40.203324432043757</v>
      </c>
      <c r="BA30" s="258">
        <f t="shared" si="43"/>
        <v>-40.20332443204375</v>
      </c>
      <c r="BB30" s="108">
        <f t="shared" si="44"/>
        <v>37.547873054079453</v>
      </c>
      <c r="BC30" s="258">
        <f t="shared" si="45"/>
        <v>37.547873054079453</v>
      </c>
      <c r="BE30" s="55">
        <f t="shared" si="9"/>
        <v>11.25</v>
      </c>
      <c r="BF30" s="149">
        <f t="shared" si="10"/>
        <v>9</v>
      </c>
      <c r="BG30" s="169" t="str">
        <f t="shared" si="11"/>
        <v>#4 @ 5</v>
      </c>
      <c r="BH30" s="87">
        <f t="shared" si="46"/>
        <v>0.88990090187098436</v>
      </c>
      <c r="BI30" s="224">
        <f t="shared" si="59"/>
        <v>2.0171087109075645E-2</v>
      </c>
      <c r="BJ30" s="32">
        <f t="shared" si="48"/>
        <v>2.5</v>
      </c>
      <c r="BK30" s="22">
        <f t="shared" si="49"/>
        <v>40.203324432043757</v>
      </c>
      <c r="BL30" s="55">
        <f t="shared" si="12"/>
        <v>9</v>
      </c>
      <c r="BM30" s="87">
        <f t="shared" si="50"/>
        <v>1.5494505494505495</v>
      </c>
      <c r="BN30" s="227">
        <v>5</v>
      </c>
      <c r="BP30" s="87">
        <f t="shared" si="51"/>
        <v>0.75223459962084349</v>
      </c>
      <c r="BQ30" s="43">
        <f t="shared" si="52"/>
        <v>1.2787988193554341E-2</v>
      </c>
      <c r="BR30" s="191">
        <f t="shared" si="53"/>
        <v>2.25</v>
      </c>
      <c r="BS30" s="22">
        <f t="shared" si="54"/>
        <v>37.547873054079453</v>
      </c>
      <c r="BT30" s="87">
        <f t="shared" si="55"/>
        <v>1.4761904761904763</v>
      </c>
      <c r="BU30" s="232">
        <f t="shared" si="56"/>
        <v>5</v>
      </c>
    </row>
    <row r="31" spans="1:73" x14ac:dyDescent="0.2">
      <c r="A31" s="2">
        <v>11.5</v>
      </c>
      <c r="B31" s="236">
        <v>9.25</v>
      </c>
      <c r="C31" s="43">
        <f t="shared" si="13"/>
        <v>0.11562500000000001</v>
      </c>
      <c r="D31" s="195">
        <f t="shared" si="14"/>
        <v>-1.5291406250000001</v>
      </c>
      <c r="E31" s="92">
        <f t="shared" si="15"/>
        <v>1.2233125000000002</v>
      </c>
      <c r="F31" s="76">
        <f t="shared" si="16"/>
        <v>-0.66125000000000012</v>
      </c>
      <c r="G31" s="96">
        <f t="shared" si="17"/>
        <v>0.52900000000000003</v>
      </c>
      <c r="H31" s="253">
        <v>-7.37</v>
      </c>
      <c r="I31" s="99">
        <v>7.74</v>
      </c>
      <c r="J31" s="195">
        <f t="shared" si="18"/>
        <v>-9.5603906250000001</v>
      </c>
      <c r="K31" s="102">
        <f t="shared" si="18"/>
        <v>9.4923125000000006</v>
      </c>
      <c r="L31" s="167" t="s">
        <v>147</v>
      </c>
      <c r="M31" s="236">
        <v>0.2</v>
      </c>
      <c r="N31" s="297">
        <v>5</v>
      </c>
      <c r="O31" s="315">
        <f t="shared" si="19"/>
        <v>0.48000000000000009</v>
      </c>
      <c r="P31" s="224">
        <f t="shared" si="20"/>
        <v>0.48000000000000009</v>
      </c>
      <c r="Q31" s="195">
        <f t="shared" si="57"/>
        <v>6.5</v>
      </c>
      <c r="R31" s="102">
        <f t="shared" si="58"/>
        <v>7</v>
      </c>
      <c r="S31" s="253">
        <f t="shared" si="21"/>
        <v>-36.893302283653846</v>
      </c>
      <c r="T31" s="105">
        <f t="shared" si="22"/>
        <v>34.014119791666666</v>
      </c>
      <c r="U31" s="131">
        <v>2</v>
      </c>
      <c r="V31" s="69">
        <v>1.5</v>
      </c>
      <c r="W31" s="131">
        <f t="shared" si="23"/>
        <v>2.4</v>
      </c>
      <c r="X31" s="23">
        <f t="shared" si="24"/>
        <v>2.4</v>
      </c>
      <c r="Y31" s="201">
        <f t="shared" si="25"/>
        <v>20</v>
      </c>
      <c r="Z31" s="24">
        <f t="shared" si="26"/>
        <v>15</v>
      </c>
      <c r="AA31" s="3">
        <v>130</v>
      </c>
      <c r="AB31" s="249">
        <f t="shared" si="27"/>
        <v>38.059000190924671</v>
      </c>
      <c r="AC31" s="183">
        <f t="shared" si="28"/>
        <v>46.096353748807744</v>
      </c>
      <c r="AD31" s="24">
        <f t="shared" si="29"/>
        <v>48</v>
      </c>
      <c r="AF31" s="55">
        <f t="shared" si="2"/>
        <v>11.5</v>
      </c>
      <c r="AG31" s="246">
        <f t="shared" si="3"/>
        <v>9.25</v>
      </c>
      <c r="AH31" s="169" t="str">
        <f t="shared" si="4"/>
        <v>#4 @ 5</v>
      </c>
      <c r="AI31" s="55">
        <v>8</v>
      </c>
      <c r="AJ31" s="55">
        <f t="shared" si="30"/>
        <v>1800</v>
      </c>
      <c r="AK31" s="47">
        <f t="shared" si="31"/>
        <v>48</v>
      </c>
      <c r="AL31" s="4">
        <f t="shared" si="32"/>
        <v>0.99667774086378735</v>
      </c>
      <c r="AM31" s="4">
        <f t="shared" si="33"/>
        <v>0.66777408637873759</v>
      </c>
      <c r="AN31" s="253">
        <f t="shared" si="5"/>
        <v>-9.5603906250000001</v>
      </c>
      <c r="AO31" s="108">
        <f t="shared" si="6"/>
        <v>9.4923125000000006</v>
      </c>
      <c r="AP31" s="195">
        <f t="shared" si="34"/>
        <v>1.7445580640902307</v>
      </c>
      <c r="AQ31" s="253">
        <f t="shared" si="35"/>
        <v>0.64000000000000012</v>
      </c>
      <c r="AR31" s="157">
        <f t="shared" si="36"/>
        <v>-4.160000000000001</v>
      </c>
      <c r="AS31" s="111">
        <f t="shared" si="37"/>
        <v>0.64000000000000012</v>
      </c>
      <c r="AT31" s="111">
        <f t="shared" si="38"/>
        <v>-4.4800000000000013</v>
      </c>
      <c r="AU31" s="102">
        <f t="shared" si="39"/>
        <v>1.8206541056415448</v>
      </c>
      <c r="AV31" s="253">
        <f t="shared" si="7"/>
        <v>-19.384145083086882</v>
      </c>
      <c r="AW31" s="108">
        <f t="shared" si="8"/>
        <v>17.817252573796942</v>
      </c>
      <c r="AX31" s="187">
        <f t="shared" si="40"/>
        <v>-1.8518677673625723</v>
      </c>
      <c r="AY31" s="105">
        <f t="shared" si="41"/>
        <v>1.6310303458692637</v>
      </c>
      <c r="AZ31" s="253">
        <f t="shared" si="42"/>
        <v>-40.383635589764324</v>
      </c>
      <c r="BA31" s="258">
        <f t="shared" si="43"/>
        <v>-40.383635589764332</v>
      </c>
      <c r="BB31" s="108">
        <f t="shared" si="44"/>
        <v>37.119276195410272</v>
      </c>
      <c r="BC31" s="258">
        <f t="shared" si="45"/>
        <v>37.119276195410286</v>
      </c>
      <c r="BE31" s="55">
        <f t="shared" si="9"/>
        <v>11.5</v>
      </c>
      <c r="BF31" s="149">
        <f t="shared" si="10"/>
        <v>9.25</v>
      </c>
      <c r="BG31" s="169" t="str">
        <f t="shared" si="11"/>
        <v>#4 @ 5</v>
      </c>
      <c r="BH31" s="87">
        <f t="shared" si="46"/>
        <v>0.88215197924730859</v>
      </c>
      <c r="BI31" s="224">
        <f t="shared" si="59"/>
        <v>1.9995444862938996E-2</v>
      </c>
      <c r="BJ31" s="32">
        <f t="shared" si="48"/>
        <v>2.5</v>
      </c>
      <c r="BK31" s="22">
        <f t="shared" si="49"/>
        <v>40.383635589764324</v>
      </c>
      <c r="BL31" s="55">
        <f t="shared" si="12"/>
        <v>9.25</v>
      </c>
      <c r="BM31" s="87">
        <f t="shared" si="50"/>
        <v>1.5291005291005293</v>
      </c>
      <c r="BN31" s="227">
        <v>5</v>
      </c>
      <c r="BP31" s="87">
        <f t="shared" si="51"/>
        <v>0.73508071007966258</v>
      </c>
      <c r="BQ31" s="43">
        <f t="shared" si="52"/>
        <v>1.2496372071354265E-2</v>
      </c>
      <c r="BR31" s="191">
        <f t="shared" si="53"/>
        <v>2.25</v>
      </c>
      <c r="BS31" s="22">
        <f t="shared" si="54"/>
        <v>37.119276195410272</v>
      </c>
      <c r="BT31" s="87">
        <f t="shared" si="55"/>
        <v>1.4591836734693877</v>
      </c>
      <c r="BU31" s="232">
        <f t="shared" si="56"/>
        <v>5</v>
      </c>
    </row>
    <row r="32" spans="1:73" x14ac:dyDescent="0.2">
      <c r="A32" s="2">
        <v>11.75</v>
      </c>
      <c r="B32" s="236">
        <v>9.25</v>
      </c>
      <c r="C32" s="43">
        <f t="shared" si="13"/>
        <v>0.11562500000000001</v>
      </c>
      <c r="D32" s="195">
        <f t="shared" si="14"/>
        <v>-1.5963476562500003</v>
      </c>
      <c r="E32" s="92">
        <f t="shared" si="15"/>
        <v>1.2770781250000003</v>
      </c>
      <c r="F32" s="76">
        <f t="shared" si="16"/>
        <v>-0.69031250000000011</v>
      </c>
      <c r="G32" s="96">
        <f t="shared" si="17"/>
        <v>0.55225000000000002</v>
      </c>
      <c r="H32" s="253">
        <v>-7.65</v>
      </c>
      <c r="I32" s="99">
        <v>7.88</v>
      </c>
      <c r="J32" s="195">
        <f t="shared" si="18"/>
        <v>-9.9366601562500012</v>
      </c>
      <c r="K32" s="102">
        <f t="shared" si="18"/>
        <v>9.7093281250000008</v>
      </c>
      <c r="L32" s="167" t="s">
        <v>147</v>
      </c>
      <c r="M32" s="236">
        <v>0.2</v>
      </c>
      <c r="N32" s="297">
        <v>5</v>
      </c>
      <c r="O32" s="315">
        <f t="shared" si="19"/>
        <v>0.48000000000000009</v>
      </c>
      <c r="P32" s="224">
        <f t="shared" si="20"/>
        <v>0.48000000000000009</v>
      </c>
      <c r="Q32" s="195">
        <f t="shared" si="57"/>
        <v>6.5</v>
      </c>
      <c r="R32" s="102">
        <f t="shared" si="58"/>
        <v>7</v>
      </c>
      <c r="S32" s="253">
        <f t="shared" si="21"/>
        <v>-38.345316756810902</v>
      </c>
      <c r="T32" s="105">
        <f t="shared" si="22"/>
        <v>34.791759114583328</v>
      </c>
      <c r="U32" s="131">
        <v>2</v>
      </c>
      <c r="V32" s="69">
        <v>1.5</v>
      </c>
      <c r="W32" s="131">
        <f t="shared" si="23"/>
        <v>2.4</v>
      </c>
      <c r="X32" s="23">
        <f t="shared" si="24"/>
        <v>2.4</v>
      </c>
      <c r="Y32" s="201">
        <f t="shared" si="25"/>
        <v>20</v>
      </c>
      <c r="Z32" s="24">
        <f t="shared" si="26"/>
        <v>15</v>
      </c>
      <c r="AA32" s="3">
        <v>130</v>
      </c>
      <c r="AB32" s="249">
        <f t="shared" si="27"/>
        <v>38.059000190924671</v>
      </c>
      <c r="AC32" s="183">
        <f t="shared" si="28"/>
        <v>46.096353748807744</v>
      </c>
      <c r="AD32" s="24">
        <f t="shared" si="29"/>
        <v>48</v>
      </c>
      <c r="AF32" s="55">
        <f t="shared" si="2"/>
        <v>11.75</v>
      </c>
      <c r="AG32" s="246">
        <f t="shared" si="3"/>
        <v>9.25</v>
      </c>
      <c r="AH32" s="169" t="str">
        <f t="shared" si="4"/>
        <v>#4 @ 5</v>
      </c>
      <c r="AI32" s="55">
        <v>8</v>
      </c>
      <c r="AJ32" s="55">
        <f t="shared" si="30"/>
        <v>1800</v>
      </c>
      <c r="AK32" s="47">
        <f t="shared" si="31"/>
        <v>48</v>
      </c>
      <c r="AL32" s="4">
        <f t="shared" si="32"/>
        <v>0.99667774086378735</v>
      </c>
      <c r="AM32" s="4">
        <f t="shared" si="33"/>
        <v>0.66777408637873759</v>
      </c>
      <c r="AN32" s="253">
        <f t="shared" si="5"/>
        <v>-9.9366601562500012</v>
      </c>
      <c r="AO32" s="108">
        <f t="shared" si="6"/>
        <v>9.7093281250000008</v>
      </c>
      <c r="AP32" s="195">
        <f t="shared" si="34"/>
        <v>1.7445580640902307</v>
      </c>
      <c r="AQ32" s="253">
        <f t="shared" si="35"/>
        <v>0.64000000000000012</v>
      </c>
      <c r="AR32" s="157">
        <f t="shared" si="36"/>
        <v>-4.160000000000001</v>
      </c>
      <c r="AS32" s="111">
        <f t="shared" si="37"/>
        <v>0.64000000000000012</v>
      </c>
      <c r="AT32" s="111">
        <f t="shared" si="38"/>
        <v>-4.4800000000000013</v>
      </c>
      <c r="AU32" s="102">
        <f t="shared" si="39"/>
        <v>1.8206541056415448</v>
      </c>
      <c r="AV32" s="253">
        <f t="shared" si="7"/>
        <v>-20.147049390053432</v>
      </c>
      <c r="AW32" s="108">
        <f t="shared" si="8"/>
        <v>18.224595063109785</v>
      </c>
      <c r="AX32" s="187">
        <f t="shared" si="40"/>
        <v>-1.9247519667738806</v>
      </c>
      <c r="AY32" s="105">
        <f t="shared" si="41"/>
        <v>1.6683193700035601</v>
      </c>
      <c r="AZ32" s="253">
        <f t="shared" si="42"/>
        <v>-41.973019562611306</v>
      </c>
      <c r="BA32" s="258">
        <f t="shared" si="43"/>
        <v>-41.973019562611306</v>
      </c>
      <c r="BB32" s="108">
        <f t="shared" si="44"/>
        <v>37.967906381478691</v>
      </c>
      <c r="BC32" s="258">
        <f t="shared" si="45"/>
        <v>37.967906381478713</v>
      </c>
      <c r="BE32" s="55">
        <f t="shared" si="9"/>
        <v>11.75</v>
      </c>
      <c r="BF32" s="149">
        <f t="shared" si="10"/>
        <v>9.25</v>
      </c>
      <c r="BG32" s="169" t="str">
        <f t="shared" si="11"/>
        <v>#4 @ 5</v>
      </c>
      <c r="BH32" s="87">
        <f t="shared" si="46"/>
        <v>0.91687094887336895</v>
      </c>
      <c r="BI32" s="224">
        <f t="shared" si="59"/>
        <v>2.0782408174463033E-2</v>
      </c>
      <c r="BJ32" s="32">
        <f t="shared" si="48"/>
        <v>2.5</v>
      </c>
      <c r="BK32" s="22">
        <f t="shared" si="49"/>
        <v>41.973019562611306</v>
      </c>
      <c r="BL32" s="55">
        <f t="shared" si="12"/>
        <v>9.25</v>
      </c>
      <c r="BM32" s="87">
        <f t="shared" si="50"/>
        <v>1.5291005291005293</v>
      </c>
      <c r="BN32" s="227">
        <v>5</v>
      </c>
      <c r="BP32" s="87">
        <f t="shared" si="51"/>
        <v>0.75188630931834988</v>
      </c>
      <c r="BQ32" s="43">
        <f t="shared" si="52"/>
        <v>1.2782067258411949E-2</v>
      </c>
      <c r="BR32" s="191">
        <f t="shared" si="53"/>
        <v>2.25</v>
      </c>
      <c r="BS32" s="22">
        <f t="shared" si="54"/>
        <v>37.967906381478691</v>
      </c>
      <c r="BT32" s="87">
        <f t="shared" si="55"/>
        <v>1.4591836734693877</v>
      </c>
      <c r="BU32" s="232">
        <f t="shared" si="56"/>
        <v>5</v>
      </c>
    </row>
    <row r="33" spans="1:73" x14ac:dyDescent="0.2">
      <c r="A33" s="8">
        <v>12</v>
      </c>
      <c r="B33" s="222">
        <v>9.5</v>
      </c>
      <c r="C33" s="44">
        <f t="shared" si="13"/>
        <v>0.11874999999999999</v>
      </c>
      <c r="D33" s="257">
        <f t="shared" si="14"/>
        <v>-1.71</v>
      </c>
      <c r="E33" s="94">
        <f t="shared" si="15"/>
        <v>1.3679999999999999</v>
      </c>
      <c r="F33" s="78">
        <f t="shared" si="16"/>
        <v>-0.7200000000000002</v>
      </c>
      <c r="G33" s="98">
        <f t="shared" si="17"/>
        <v>0.57600000000000007</v>
      </c>
      <c r="H33" s="61">
        <v>-7.92</v>
      </c>
      <c r="I33" s="101">
        <v>8.01</v>
      </c>
      <c r="J33" s="257">
        <f t="shared" si="18"/>
        <v>-10.35</v>
      </c>
      <c r="K33" s="104">
        <f t="shared" si="18"/>
        <v>9.9540000000000006</v>
      </c>
      <c r="L33" s="168" t="s">
        <v>147</v>
      </c>
      <c r="M33" s="238">
        <v>0.2</v>
      </c>
      <c r="N33" s="298">
        <v>5</v>
      </c>
      <c r="O33" s="316">
        <f t="shared" si="19"/>
        <v>0.48000000000000009</v>
      </c>
      <c r="P33" s="225">
        <f t="shared" si="20"/>
        <v>0.48000000000000009</v>
      </c>
      <c r="Q33" s="257">
        <f t="shared" si="57"/>
        <v>6.75</v>
      </c>
      <c r="R33" s="104">
        <f t="shared" si="58"/>
        <v>7.25</v>
      </c>
      <c r="S33" s="61">
        <f t="shared" si="21"/>
        <v>-38.461111111111101</v>
      </c>
      <c r="T33" s="254">
        <f t="shared" si="22"/>
        <v>34.43855172413793</v>
      </c>
      <c r="U33" s="132">
        <v>2</v>
      </c>
      <c r="V33" s="73">
        <v>1.5</v>
      </c>
      <c r="W33" s="132">
        <f t="shared" si="23"/>
        <v>2.4</v>
      </c>
      <c r="X33" s="73">
        <f t="shared" si="24"/>
        <v>2.4</v>
      </c>
      <c r="Y33" s="245">
        <f t="shared" si="25"/>
        <v>20</v>
      </c>
      <c r="Z33" s="26">
        <f t="shared" si="26"/>
        <v>15</v>
      </c>
      <c r="AA33" s="9">
        <v>130</v>
      </c>
      <c r="AB33" s="251">
        <f t="shared" si="27"/>
        <v>38.059000190924671</v>
      </c>
      <c r="AC33" s="185">
        <f t="shared" si="28"/>
        <v>46.096353748807744</v>
      </c>
      <c r="AD33" s="245">
        <f t="shared" si="29"/>
        <v>48</v>
      </c>
      <c r="AF33" s="57">
        <f t="shared" si="2"/>
        <v>12</v>
      </c>
      <c r="AG33" s="60">
        <f t="shared" si="3"/>
        <v>9.5</v>
      </c>
      <c r="AH33" s="175" t="str">
        <f t="shared" si="4"/>
        <v>#4 @ 5</v>
      </c>
      <c r="AI33" s="57">
        <v>8</v>
      </c>
      <c r="AJ33" s="57">
        <f t="shared" si="30"/>
        <v>1800</v>
      </c>
      <c r="AK33" s="57">
        <f t="shared" si="31"/>
        <v>48</v>
      </c>
      <c r="AL33" s="10">
        <f t="shared" si="32"/>
        <v>0.99667774086378735</v>
      </c>
      <c r="AM33" s="10">
        <f t="shared" si="33"/>
        <v>0.66777408637873759</v>
      </c>
      <c r="AN33" s="61">
        <f t="shared" si="5"/>
        <v>-10.35</v>
      </c>
      <c r="AO33" s="110">
        <f t="shared" si="6"/>
        <v>9.9540000000000006</v>
      </c>
      <c r="AP33" s="257">
        <f t="shared" si="34"/>
        <v>1.7829503084951865</v>
      </c>
      <c r="AQ33" s="61">
        <f t="shared" si="35"/>
        <v>0.64000000000000012</v>
      </c>
      <c r="AR33" s="158">
        <f t="shared" si="36"/>
        <v>-4.3200000000000012</v>
      </c>
      <c r="AS33" s="113">
        <f t="shared" si="37"/>
        <v>0.64000000000000012</v>
      </c>
      <c r="AT33" s="113">
        <f t="shared" si="38"/>
        <v>-4.6400000000000015</v>
      </c>
      <c r="AU33" s="104">
        <f t="shared" si="39"/>
        <v>1.8577052142105923</v>
      </c>
      <c r="AV33" s="61">
        <f t="shared" si="7"/>
        <v>-20.176476818135324</v>
      </c>
      <c r="AW33" s="110">
        <f t="shared" si="8"/>
        <v>18.014211223935444</v>
      </c>
      <c r="AX33" s="188">
        <f t="shared" si="40"/>
        <v>-1.8860571269616881</v>
      </c>
      <c r="AY33" s="107">
        <f t="shared" si="41"/>
        <v>1.6161705928130214</v>
      </c>
      <c r="AZ33" s="61">
        <f t="shared" si="42"/>
        <v>-42.034326704448588</v>
      </c>
      <c r="BA33" s="259">
        <f t="shared" si="43"/>
        <v>-42.034326704448581</v>
      </c>
      <c r="BB33" s="110">
        <f t="shared" si="44"/>
        <v>37.529606716532157</v>
      </c>
      <c r="BC33" s="259">
        <f t="shared" si="45"/>
        <v>37.529606716532165</v>
      </c>
      <c r="BE33" s="57">
        <f t="shared" si="9"/>
        <v>12</v>
      </c>
      <c r="BF33" s="151">
        <f t="shared" si="10"/>
        <v>9.5</v>
      </c>
      <c r="BG33" s="175" t="str">
        <f t="shared" si="11"/>
        <v>#4 @ 5</v>
      </c>
      <c r="BH33" s="89">
        <f t="shared" si="46"/>
        <v>0.90686302511055261</v>
      </c>
      <c r="BI33" s="225">
        <f t="shared" si="59"/>
        <v>2.0555561902505862E-2</v>
      </c>
      <c r="BJ33" s="34">
        <f t="shared" si="48"/>
        <v>2.5</v>
      </c>
      <c r="BK33" s="25">
        <f t="shared" si="49"/>
        <v>42.034326704448588</v>
      </c>
      <c r="BL33" s="57">
        <f t="shared" si="12"/>
        <v>9.5</v>
      </c>
      <c r="BM33" s="89">
        <f t="shared" si="50"/>
        <v>1.510204081632653</v>
      </c>
      <c r="BN33" s="228">
        <v>5</v>
      </c>
      <c r="BP33" s="89">
        <f t="shared" si="51"/>
        <v>0.73514187400047348</v>
      </c>
      <c r="BQ33" s="44">
        <f t="shared" si="52"/>
        <v>1.249741185800805E-2</v>
      </c>
      <c r="BR33" s="234">
        <f t="shared" si="53"/>
        <v>2.25</v>
      </c>
      <c r="BS33" s="25">
        <f t="shared" si="54"/>
        <v>37.529606716532157</v>
      </c>
      <c r="BT33" s="89">
        <f t="shared" si="55"/>
        <v>1.4433497536945814</v>
      </c>
      <c r="BU33" s="233">
        <f t="shared" si="56"/>
        <v>5</v>
      </c>
    </row>
    <row r="34" spans="1:73" x14ac:dyDescent="0.2">
      <c r="S34" s="144">
        <f>MIN(S5:S33)</f>
        <v>-38.461111111111101</v>
      </c>
      <c r="T34" s="153">
        <f>MAX(T5:T33)</f>
        <v>35.000718958333323</v>
      </c>
      <c r="AB34" s="144">
        <f>MAX(AB5:AB33)</f>
        <v>38.059000190924671</v>
      </c>
      <c r="AC34" s="144">
        <f>MAX(AC5:AC33)</f>
        <v>46.096353748807744</v>
      </c>
      <c r="AX34" s="144">
        <f>MIN(AX5:AX33)</f>
        <v>-1.9247519667738806</v>
      </c>
      <c r="AY34" s="153">
        <f>MAX(AY5:AY33)</f>
        <v>1.729203189148864</v>
      </c>
      <c r="AZ34" s="144">
        <f>MIN(AZ5:AZ33)</f>
        <v>-42.034326704448588</v>
      </c>
      <c r="BA34" s="144"/>
      <c r="BB34" s="153">
        <f>MAX(BB5:BB33)</f>
        <v>38.223830640517221</v>
      </c>
      <c r="BC34" s="153"/>
      <c r="BI34" s="155">
        <f>MAX(BI5:BI33)</f>
        <v>2.0782408174463033E-2</v>
      </c>
      <c r="BK34" s="144">
        <f>MAX(BK5:BK33)</f>
        <v>42.034326704448588</v>
      </c>
      <c r="BM34" s="144"/>
      <c r="BQ34" s="155">
        <f>MAX(BQ5:BQ33)</f>
        <v>1.6627595075201979E-2</v>
      </c>
      <c r="BS34" s="144">
        <f>MAX(BS5:BS33)</f>
        <v>38.223830640517221</v>
      </c>
      <c r="BT34" s="144"/>
    </row>
    <row r="35" spans="1:73" x14ac:dyDescent="0.2">
      <c r="L35" s="140" t="s">
        <v>113</v>
      </c>
      <c r="M35" s="141" t="s">
        <v>134</v>
      </c>
      <c r="R35" s="140" t="s">
        <v>113</v>
      </c>
      <c r="S35" s="140" t="s">
        <v>113</v>
      </c>
      <c r="T35" s="140" t="s">
        <v>113</v>
      </c>
      <c r="AB35" s="133" t="s">
        <v>88</v>
      </c>
      <c r="AP35" s="154" t="s">
        <v>89</v>
      </c>
      <c r="AX35" s="141" t="s">
        <v>150</v>
      </c>
      <c r="AY35" s="141"/>
      <c r="BK35" s="141" t="s">
        <v>152</v>
      </c>
      <c r="BS35" s="141" t="s">
        <v>152</v>
      </c>
    </row>
    <row r="36" spans="1:73" x14ac:dyDescent="0.2">
      <c r="G36" s="139"/>
      <c r="AB36" s="154" t="s">
        <v>87</v>
      </c>
      <c r="AP36" s="154" t="s">
        <v>90</v>
      </c>
      <c r="AX36" s="141" t="s">
        <v>135</v>
      </c>
    </row>
    <row r="37" spans="1:73" x14ac:dyDescent="0.2">
      <c r="A37" s="141" t="s">
        <v>153</v>
      </c>
      <c r="AP37" s="154" t="s">
        <v>91</v>
      </c>
      <c r="AX37" s="141" t="s">
        <v>136</v>
      </c>
      <c r="BI37" s="148" t="s">
        <v>154</v>
      </c>
    </row>
    <row r="38" spans="1:73" x14ac:dyDescent="0.2">
      <c r="A38" s="141"/>
      <c r="AZ38" s="141" t="s">
        <v>151</v>
      </c>
      <c r="BI38" s="141"/>
    </row>
    <row r="39" spans="1:73" x14ac:dyDescent="0.2">
      <c r="AP39" s="141" t="s">
        <v>120</v>
      </c>
    </row>
    <row r="40" spans="1:73" x14ac:dyDescent="0.2">
      <c r="A40" s="181"/>
      <c r="S40" s="141" t="s">
        <v>187</v>
      </c>
      <c r="AP40" s="141" t="s">
        <v>121</v>
      </c>
    </row>
    <row r="41" spans="1:73" ht="14.25" x14ac:dyDescent="0.2">
      <c r="AP41" s="141" t="s">
        <v>122</v>
      </c>
      <c r="BI41" s="148"/>
    </row>
    <row r="42" spans="1:73" x14ac:dyDescent="0.2">
      <c r="A42" s="148"/>
      <c r="BI42" s="148"/>
    </row>
    <row r="43" spans="1:73" x14ac:dyDescent="0.2">
      <c r="A43" s="181"/>
    </row>
    <row r="46" spans="1:73" x14ac:dyDescent="0.2">
      <c r="A46" s="141"/>
    </row>
  </sheetData>
  <pageMargins left="0.75" right="0.75" top="1.25" bottom="1" header="0.5" footer="0.5"/>
  <pageSetup scale="94"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98"/>
  <sheetViews>
    <sheetView workbookViewId="0">
      <selection activeCell="R27" sqref="R27"/>
    </sheetView>
  </sheetViews>
  <sheetFormatPr defaultRowHeight="12.75" x14ac:dyDescent="0.2"/>
  <cols>
    <col min="1" max="1" width="7.85546875" style="154" customWidth="1"/>
    <col min="2" max="2" width="6.7109375" style="154" customWidth="1"/>
    <col min="3" max="3" width="7.7109375" style="154" customWidth="1"/>
    <col min="4" max="11" width="7.28515625" style="154" customWidth="1"/>
    <col min="12" max="12" width="9.140625" style="154"/>
    <col min="13" max="15" width="6.7109375" style="154" customWidth="1"/>
    <col min="16" max="20" width="8.85546875" style="154" customWidth="1"/>
    <col min="21" max="21" width="1.7109375" style="154" customWidth="1"/>
    <col min="22" max="27" width="7.28515625" style="154" customWidth="1"/>
    <col min="28" max="28" width="8.28515625" style="154" customWidth="1"/>
    <col min="29" max="29" width="6.7109375" style="154" customWidth="1"/>
    <col min="30" max="31" width="7.7109375" style="154" customWidth="1"/>
    <col min="32" max="32" width="6.42578125" style="154" customWidth="1"/>
    <col min="33" max="33" width="6.5703125" style="154" customWidth="1"/>
    <col min="34" max="34" width="10.7109375" style="154" customWidth="1"/>
    <col min="35" max="36" width="8.7109375" style="154" customWidth="1"/>
    <col min="37" max="37" width="6.7109375" style="154" customWidth="1"/>
    <col min="38" max="38" width="10.7109375" style="154" customWidth="1"/>
    <col min="39" max="39" width="1.7109375" style="154" customWidth="1"/>
    <col min="40" max="40" width="7.5703125" style="154" customWidth="1"/>
    <col min="41" max="41" width="7.7109375" style="154" customWidth="1"/>
    <col min="42" max="43" width="11.7109375" style="154" customWidth="1"/>
    <col min="44" max="16384" width="9.140625" style="154"/>
  </cols>
  <sheetData>
    <row r="1" spans="1:50" ht="20.25" x14ac:dyDescent="0.3">
      <c r="AN1" s="212" t="s">
        <v>53</v>
      </c>
      <c r="AO1" s="212"/>
      <c r="AP1" s="212"/>
      <c r="AQ1" s="212"/>
      <c r="AR1" s="212"/>
      <c r="AS1" s="212"/>
      <c r="AT1" s="212"/>
      <c r="AU1" s="212"/>
    </row>
    <row r="2" spans="1:50" ht="20.25" x14ac:dyDescent="0.3">
      <c r="A2" s="30" t="s">
        <v>38</v>
      </c>
      <c r="V2" s="30" t="s">
        <v>38</v>
      </c>
      <c r="AN2" s="213" t="s">
        <v>95</v>
      </c>
      <c r="AO2" s="213"/>
      <c r="AP2" s="213"/>
      <c r="AQ2" s="213"/>
      <c r="AR2" s="213"/>
      <c r="AS2" s="213"/>
      <c r="AT2" s="213"/>
      <c r="AU2" s="213"/>
    </row>
    <row r="3" spans="1:50" ht="18" x14ac:dyDescent="0.25">
      <c r="J3" s="154" t="s">
        <v>99</v>
      </c>
      <c r="N3" s="154" t="s">
        <v>100</v>
      </c>
      <c r="Q3" s="163" t="s">
        <v>92</v>
      </c>
      <c r="R3" s="163"/>
      <c r="S3" s="163"/>
      <c r="T3" s="163"/>
      <c r="U3" s="163"/>
      <c r="V3" s="141" t="s">
        <v>125</v>
      </c>
      <c r="AD3" s="189" t="s">
        <v>140</v>
      </c>
      <c r="AE3" s="190">
        <v>80</v>
      </c>
      <c r="AF3" s="154" t="s">
        <v>142</v>
      </c>
      <c r="AL3" s="163" t="s">
        <v>93</v>
      </c>
      <c r="AN3" s="215" t="s">
        <v>96</v>
      </c>
      <c r="AO3" s="215"/>
      <c r="AP3" s="215"/>
      <c r="AQ3" s="215"/>
      <c r="AR3" s="215"/>
      <c r="AS3" s="215"/>
      <c r="AT3" s="215"/>
      <c r="AU3" s="215"/>
    </row>
    <row r="4" spans="1:50" ht="15" customHeight="1" x14ac:dyDescent="0.25">
      <c r="L4" s="140"/>
      <c r="P4" s="140" t="s">
        <v>113</v>
      </c>
      <c r="Q4" s="140" t="s">
        <v>113</v>
      </c>
      <c r="AK4" s="140" t="s">
        <v>113</v>
      </c>
      <c r="AL4" s="140" t="s">
        <v>113</v>
      </c>
      <c r="AN4" s="216" t="s">
        <v>141</v>
      </c>
      <c r="AO4" s="216"/>
      <c r="AP4" s="216"/>
      <c r="AQ4" s="216"/>
      <c r="AR4" s="216"/>
      <c r="AS4" s="216"/>
      <c r="AT4" s="216"/>
      <c r="AU4" s="216"/>
    </row>
    <row r="5" spans="1:50" x14ac:dyDescent="0.2">
      <c r="D5" s="140" t="s">
        <v>113</v>
      </c>
      <c r="E5" s="140" t="s">
        <v>113</v>
      </c>
      <c r="F5" s="140" t="s">
        <v>113</v>
      </c>
      <c r="G5" s="140" t="s">
        <v>113</v>
      </c>
      <c r="H5" s="140" t="s">
        <v>113</v>
      </c>
      <c r="I5" s="140" t="s">
        <v>113</v>
      </c>
      <c r="J5" s="140" t="s">
        <v>113</v>
      </c>
      <c r="K5" s="140" t="s">
        <v>113</v>
      </c>
      <c r="L5" s="154" t="s">
        <v>105</v>
      </c>
      <c r="O5" s="154" t="s">
        <v>106</v>
      </c>
      <c r="R5" s="140" t="s">
        <v>113</v>
      </c>
      <c r="S5" s="140" t="s">
        <v>113</v>
      </c>
      <c r="T5" s="140" t="s">
        <v>113</v>
      </c>
      <c r="V5" s="140" t="s">
        <v>113</v>
      </c>
      <c r="W5" s="140" t="s">
        <v>113</v>
      </c>
      <c r="X5" s="140" t="s">
        <v>113</v>
      </c>
      <c r="Y5" s="140" t="s">
        <v>113</v>
      </c>
      <c r="Z5" s="140" t="s">
        <v>113</v>
      </c>
      <c r="AA5" s="140" t="s">
        <v>113</v>
      </c>
      <c r="AB5" s="140" t="s">
        <v>113</v>
      </c>
      <c r="AC5" s="140" t="s">
        <v>113</v>
      </c>
      <c r="AD5" s="140" t="s">
        <v>113</v>
      </c>
      <c r="AE5" s="140" t="s">
        <v>113</v>
      </c>
      <c r="AF5" s="140" t="s">
        <v>113</v>
      </c>
      <c r="AG5" s="140" t="s">
        <v>113</v>
      </c>
      <c r="AH5" s="140" t="s">
        <v>113</v>
      </c>
      <c r="AI5" s="140" t="s">
        <v>113</v>
      </c>
      <c r="AJ5" s="140"/>
      <c r="AK5" s="141" t="s">
        <v>111</v>
      </c>
      <c r="AN5" s="140" t="s">
        <v>113</v>
      </c>
      <c r="AO5" s="140" t="s">
        <v>113</v>
      </c>
      <c r="AP5" s="210" t="s">
        <v>94</v>
      </c>
      <c r="AQ5" s="211"/>
      <c r="AR5" s="210" t="s">
        <v>48</v>
      </c>
      <c r="AS5" s="214"/>
      <c r="AT5" s="210" t="s">
        <v>49</v>
      </c>
      <c r="AU5" s="211"/>
      <c r="AW5" s="154" t="s">
        <v>143</v>
      </c>
    </row>
    <row r="6" spans="1:50" ht="13.5" thickBot="1" x14ac:dyDescent="0.25">
      <c r="A6" s="159" t="s">
        <v>5</v>
      </c>
      <c r="B6" s="54" t="s">
        <v>10</v>
      </c>
      <c r="C6" s="14" t="s">
        <v>75</v>
      </c>
      <c r="D6" s="67" t="s">
        <v>2</v>
      </c>
      <c r="E6" s="16" t="s">
        <v>3</v>
      </c>
      <c r="F6" s="67" t="s">
        <v>6</v>
      </c>
      <c r="G6" s="15" t="s">
        <v>7</v>
      </c>
      <c r="H6" s="67" t="s">
        <v>37</v>
      </c>
      <c r="I6" s="16" t="s">
        <v>4</v>
      </c>
      <c r="J6" s="67" t="s">
        <v>1</v>
      </c>
      <c r="K6" s="15" t="s">
        <v>0</v>
      </c>
      <c r="L6" s="159" t="s">
        <v>8</v>
      </c>
      <c r="M6" s="159"/>
      <c r="N6" s="159"/>
      <c r="O6" s="159"/>
      <c r="P6" s="54" t="s">
        <v>9</v>
      </c>
      <c r="Q6" s="67" t="s">
        <v>13</v>
      </c>
      <c r="R6" s="15" t="s">
        <v>14</v>
      </c>
      <c r="S6" s="67" t="s">
        <v>19</v>
      </c>
      <c r="T6" s="16" t="s">
        <v>20</v>
      </c>
      <c r="U6" s="161"/>
      <c r="V6" s="67" t="s">
        <v>16</v>
      </c>
      <c r="W6" s="16" t="s">
        <v>17</v>
      </c>
      <c r="X6" s="67" t="s">
        <v>15</v>
      </c>
      <c r="Y6" s="15" t="s">
        <v>18</v>
      </c>
      <c r="Z6" s="67" t="s">
        <v>50</v>
      </c>
      <c r="AA6" s="16" t="s">
        <v>51</v>
      </c>
      <c r="AB6" s="14" t="s">
        <v>5</v>
      </c>
      <c r="AC6" s="54" t="s">
        <v>10</v>
      </c>
      <c r="AD6" s="15" t="s">
        <v>1</v>
      </c>
      <c r="AE6" s="15" t="s">
        <v>0</v>
      </c>
      <c r="AF6" s="67" t="s">
        <v>39</v>
      </c>
      <c r="AG6" s="16" t="s">
        <v>40</v>
      </c>
      <c r="AH6" s="67" t="s">
        <v>44</v>
      </c>
      <c r="AI6" s="67" t="s">
        <v>41</v>
      </c>
      <c r="AJ6" s="67" t="s">
        <v>156</v>
      </c>
      <c r="AK6" s="281" t="s">
        <v>112</v>
      </c>
      <c r="AL6" s="16" t="s">
        <v>43</v>
      </c>
      <c r="AN6" s="159" t="s">
        <v>46</v>
      </c>
      <c r="AO6" s="54" t="s">
        <v>47</v>
      </c>
      <c r="AP6" s="45" t="s">
        <v>43</v>
      </c>
      <c r="AQ6" s="58" t="s">
        <v>44</v>
      </c>
      <c r="AR6" s="45" t="s">
        <v>1</v>
      </c>
      <c r="AS6" s="58" t="s">
        <v>0</v>
      </c>
      <c r="AT6" s="45" t="s">
        <v>1</v>
      </c>
      <c r="AU6" s="58" t="s">
        <v>0</v>
      </c>
    </row>
    <row r="7" spans="1:50" ht="13.5" thickTop="1" x14ac:dyDescent="0.2">
      <c r="A7" s="2">
        <v>4.5</v>
      </c>
      <c r="B7" s="236">
        <v>8</v>
      </c>
      <c r="C7" s="4">
        <f>B7/12*0.15</f>
        <v>9.9999999999999992E-2</v>
      </c>
      <c r="D7" s="253">
        <f>-0.1*C7*A7^2</f>
        <v>-0.20250000000000001</v>
      </c>
      <c r="E7" s="108">
        <f>0.08*C7*A7^2</f>
        <v>0.16200000000000001</v>
      </c>
      <c r="F7" s="253">
        <f>-0.1*0.05*A7^2</f>
        <v>-0.10125000000000002</v>
      </c>
      <c r="G7" s="99">
        <f>0.08*0.05*A7^2</f>
        <v>8.1000000000000003E-2</v>
      </c>
      <c r="H7" s="253">
        <v>-2</v>
      </c>
      <c r="I7" s="108">
        <v>4.63</v>
      </c>
      <c r="J7" s="253">
        <f t="shared" ref="J7:K22" si="0">1.25*D7+1.5*F7+1.75*H7</f>
        <v>-3.9050000000000002</v>
      </c>
      <c r="K7" s="99">
        <f t="shared" si="0"/>
        <v>8.426499999999999</v>
      </c>
      <c r="L7" s="167" t="s">
        <v>110</v>
      </c>
      <c r="M7" s="299">
        <v>0.2</v>
      </c>
      <c r="N7" s="271">
        <v>8</v>
      </c>
      <c r="O7" s="315">
        <f>M7*12/N7</f>
        <v>0.30000000000000004</v>
      </c>
      <c r="P7" s="224">
        <f>O7</f>
        <v>0.30000000000000004</v>
      </c>
      <c r="Q7" s="195">
        <f t="shared" ref="Q7:Q20" si="1">B7-2.5-0.5/2</f>
        <v>5.25</v>
      </c>
      <c r="R7" s="105">
        <f t="shared" ref="R7:R20" si="2">B7-1.5-0.5/2-0.5</f>
        <v>5.75</v>
      </c>
      <c r="S7" s="287">
        <f>P7/(12*Q7)</f>
        <v>4.7619047619047623E-3</v>
      </c>
      <c r="T7" s="115">
        <f>P7/(12*R7)</f>
        <v>4.3478260869565227E-3</v>
      </c>
      <c r="U7" s="164"/>
      <c r="V7" s="253">
        <f>0.9*P7*$AE$3*(Q7-0.5*S7*($AE$3/(0.85*4.5))*Q7)/12</f>
        <v>8.9794117647058851</v>
      </c>
      <c r="W7" s="108">
        <f>0.9*P7*$AE$3*(R7-0.5*T7*($AE$3/(0.85*4.5))*R7)/12</f>
        <v>9.8794117647058837</v>
      </c>
      <c r="X7" s="253">
        <f>0.9*P7*$AE$3*(Q7-0.5*S7*($AE$3/(0.85*4))*Q7)/12</f>
        <v>8.9205882352941206</v>
      </c>
      <c r="Y7" s="99">
        <f>0.9*P7*$AE$3*(R7-0.5*T7*($AE$3/(0.85*4))*R7)/12</f>
        <v>9.8205882352941192</v>
      </c>
      <c r="Z7" s="253">
        <f>0.9*P7*$AE$3*(Q7-0.5*S7*($AE$3/(0.85*5))*Q7)/12</f>
        <v>9.0264705882352967</v>
      </c>
      <c r="AA7" s="108">
        <f>0.9*P7*$AE$3*(R7-0.5*T7*($AE$3/(0.85*5))*R7)/12</f>
        <v>9.9264705882352953</v>
      </c>
      <c r="AB7" s="3">
        <f t="shared" ref="AB7:AB37" si="3">A7</f>
        <v>4.5</v>
      </c>
      <c r="AC7" s="246">
        <f t="shared" ref="AC7:AC37" si="4">B7</f>
        <v>8</v>
      </c>
      <c r="AD7" s="5">
        <f t="shared" ref="AD7:AD37" si="5">J7</f>
        <v>-3.9050000000000002</v>
      </c>
      <c r="AE7" s="105">
        <f t="shared" ref="AE7:AE37" si="6">K7</f>
        <v>8.426499999999999</v>
      </c>
      <c r="AF7" s="201">
        <v>67</v>
      </c>
      <c r="AG7" s="32">
        <f t="shared" ref="AG7:AG37" si="7">P7*AF7/100</f>
        <v>0.20100000000000001</v>
      </c>
      <c r="AH7" s="218" t="s">
        <v>110</v>
      </c>
      <c r="AI7" s="43">
        <f t="shared" ref="AI7:AI16" si="8">0.2*12/8</f>
        <v>0.30000000000000004</v>
      </c>
      <c r="AJ7" s="290">
        <f>AI7/P7</f>
        <v>1</v>
      </c>
      <c r="AK7" s="282">
        <f t="shared" ref="AK7:AK37" si="9">2*AI7/(12*B7)</f>
        <v>6.2500000000000012E-3</v>
      </c>
      <c r="AL7" s="272" t="str">
        <f t="shared" ref="AL7:AL37" si="10">L7</f>
        <v>#4 @ 8</v>
      </c>
      <c r="AN7" s="2">
        <f t="shared" ref="AN7:AN37" si="11">A7</f>
        <v>4.5</v>
      </c>
      <c r="AO7" s="246">
        <f t="shared" ref="AO7:AO37" si="12">B7</f>
        <v>8</v>
      </c>
      <c r="AP7" s="167" t="str">
        <f t="shared" ref="AP7:AP37" si="13">L7</f>
        <v>#4 @ 8</v>
      </c>
      <c r="AQ7" s="275" t="str">
        <f>AH7</f>
        <v>#4 @ 8</v>
      </c>
      <c r="AR7" s="50">
        <f t="shared" ref="AR7:AR22" si="14">AD7</f>
        <v>-3.9050000000000002</v>
      </c>
      <c r="AS7" s="111">
        <f t="shared" ref="AS7:AS22" si="15">AE7</f>
        <v>8.426499999999999</v>
      </c>
      <c r="AT7" s="50">
        <f>-V7</f>
        <v>-8.9794117647058851</v>
      </c>
      <c r="AU7" s="114">
        <f>W7</f>
        <v>9.8794117647058837</v>
      </c>
      <c r="AW7" s="156">
        <f>AT7/AR7</f>
        <v>2.299465240641712</v>
      </c>
      <c r="AX7" s="156">
        <f>AU7/AS7</f>
        <v>1.1724217367478651</v>
      </c>
    </row>
    <row r="8" spans="1:50" x14ac:dyDescent="0.2">
      <c r="A8" s="2">
        <v>4.75</v>
      </c>
      <c r="B8" s="236">
        <v>8</v>
      </c>
      <c r="C8" s="4">
        <f t="shared" ref="C8:C37" si="16">B8/12*0.15</f>
        <v>9.9999999999999992E-2</v>
      </c>
      <c r="D8" s="253">
        <f>-0.1*C8*A8^2</f>
        <v>-0.22562499999999999</v>
      </c>
      <c r="E8" s="108">
        <f>0.08*C8*A8^2</f>
        <v>0.18049999999999999</v>
      </c>
      <c r="F8" s="253">
        <f>-0.1*0.05*A8^2</f>
        <v>-0.11281250000000002</v>
      </c>
      <c r="G8" s="99">
        <f>0.08*0.05*A8^2</f>
        <v>9.0249999999999997E-2</v>
      </c>
      <c r="H8" s="253">
        <v>-2.19</v>
      </c>
      <c r="I8" s="108">
        <v>4.6399999999999997</v>
      </c>
      <c r="J8" s="253">
        <f t="shared" si="0"/>
        <v>-4.2837500000000004</v>
      </c>
      <c r="K8" s="99">
        <f t="shared" si="0"/>
        <v>8.4809999999999999</v>
      </c>
      <c r="L8" s="167" t="s">
        <v>110</v>
      </c>
      <c r="M8" s="221">
        <v>0.2</v>
      </c>
      <c r="N8" s="271">
        <v>8</v>
      </c>
      <c r="O8" s="315">
        <f>M8*12/N8</f>
        <v>0.30000000000000004</v>
      </c>
      <c r="P8" s="224">
        <f t="shared" ref="P8:P37" si="17">O8</f>
        <v>0.30000000000000004</v>
      </c>
      <c r="Q8" s="195">
        <f t="shared" si="1"/>
        <v>5.25</v>
      </c>
      <c r="R8" s="105">
        <f t="shared" si="2"/>
        <v>5.75</v>
      </c>
      <c r="S8" s="287">
        <f>P8/(12*Q8)</f>
        <v>4.7619047619047623E-3</v>
      </c>
      <c r="T8" s="115">
        <f>P8/(12*R8)</f>
        <v>4.3478260869565227E-3</v>
      </c>
      <c r="U8" s="164"/>
      <c r="V8" s="253">
        <f t="shared" ref="V8:V37" si="18">0.9*P8*$AE$3*(Q8-0.5*S8*($AE$3/(0.85*4.5))*Q8)/12</f>
        <v>8.9794117647058851</v>
      </c>
      <c r="W8" s="108">
        <f t="shared" ref="W8:W37" si="19">0.9*P8*$AE$3*(R8-0.5*T8*($AE$3/(0.85*4.5))*R8)/12</f>
        <v>9.8794117647058837</v>
      </c>
      <c r="X8" s="253">
        <f t="shared" ref="X8:X37" si="20">0.9*P8*$AE$3*(Q8-0.5*S8*($AE$3/(0.85*4))*Q8)/12</f>
        <v>8.9205882352941206</v>
      </c>
      <c r="Y8" s="99">
        <f t="shared" ref="Y8:Y37" si="21">0.9*P8*$AE$3*(R8-0.5*T8*($AE$3/(0.85*4))*R8)/12</f>
        <v>9.8205882352941192</v>
      </c>
      <c r="Z8" s="253">
        <f t="shared" ref="Z8:Z37" si="22">0.9*P8*$AE$3*(Q8-0.5*S8*($AE$3/(0.85*5))*Q8)/12</f>
        <v>9.0264705882352967</v>
      </c>
      <c r="AA8" s="108">
        <f t="shared" ref="AA8:AA37" si="23">0.9*P8*$AE$3*(R8-0.5*T8*($AE$3/(0.85*5))*R8)/12</f>
        <v>9.9264705882352953</v>
      </c>
      <c r="AB8" s="3">
        <f t="shared" si="3"/>
        <v>4.75</v>
      </c>
      <c r="AC8" s="246">
        <f t="shared" si="4"/>
        <v>8</v>
      </c>
      <c r="AD8" s="5">
        <f t="shared" si="5"/>
        <v>-4.2837500000000004</v>
      </c>
      <c r="AE8" s="105">
        <f t="shared" si="6"/>
        <v>8.4809999999999999</v>
      </c>
      <c r="AF8" s="201">
        <v>67</v>
      </c>
      <c r="AG8" s="32">
        <f t="shared" si="7"/>
        <v>0.20100000000000001</v>
      </c>
      <c r="AH8" s="218" t="s">
        <v>110</v>
      </c>
      <c r="AI8" s="43">
        <f t="shared" si="8"/>
        <v>0.30000000000000004</v>
      </c>
      <c r="AJ8" s="290">
        <f t="shared" ref="AJ8:AJ37" si="24">AI8/P8</f>
        <v>1</v>
      </c>
      <c r="AK8" s="282">
        <f t="shared" si="9"/>
        <v>6.2500000000000012E-3</v>
      </c>
      <c r="AL8" s="272" t="str">
        <f t="shared" si="10"/>
        <v>#4 @ 8</v>
      </c>
      <c r="AN8" s="2">
        <f t="shared" si="11"/>
        <v>4.75</v>
      </c>
      <c r="AO8" s="246">
        <f t="shared" si="12"/>
        <v>8</v>
      </c>
      <c r="AP8" s="167" t="str">
        <f t="shared" si="13"/>
        <v>#4 @ 8</v>
      </c>
      <c r="AQ8" s="169" t="str">
        <f>AH8</f>
        <v>#4 @ 8</v>
      </c>
      <c r="AR8" s="157">
        <f t="shared" si="14"/>
        <v>-4.2837500000000004</v>
      </c>
      <c r="AS8" s="111">
        <f t="shared" si="15"/>
        <v>8.4809999999999999</v>
      </c>
      <c r="AT8" s="50">
        <f t="shared" ref="AT8:AT37" si="25">-V8</f>
        <v>-8.9794117647058851</v>
      </c>
      <c r="AU8" s="111">
        <f>W8</f>
        <v>9.8794117647058837</v>
      </c>
      <c r="AW8" s="156">
        <f t="shared" ref="AW8:AW37" si="26">AT8/AR8</f>
        <v>2.0961568169724853</v>
      </c>
      <c r="AX8" s="156">
        <f t="shared" ref="AX8:AX37" si="27">AU8/AS8</f>
        <v>1.1648876034318929</v>
      </c>
    </row>
    <row r="9" spans="1:50" x14ac:dyDescent="0.2">
      <c r="A9" s="2">
        <v>5</v>
      </c>
      <c r="B9" s="236">
        <v>8</v>
      </c>
      <c r="C9" s="4">
        <f t="shared" si="16"/>
        <v>9.9999999999999992E-2</v>
      </c>
      <c r="D9" s="253">
        <f>-0.1*C9*A9^2</f>
        <v>-0.25</v>
      </c>
      <c r="E9" s="108">
        <f>0.08*C9*A9^2</f>
        <v>0.2</v>
      </c>
      <c r="F9" s="253">
        <f>-0.1*0.05*A9^2</f>
        <v>-0.12500000000000003</v>
      </c>
      <c r="G9" s="99">
        <f>0.08*0.05*A9^2</f>
        <v>0.1</v>
      </c>
      <c r="H9" s="253">
        <v>-2.38</v>
      </c>
      <c r="I9" s="108">
        <v>4.6500000000000004</v>
      </c>
      <c r="J9" s="253">
        <f t="shared" si="0"/>
        <v>-4.665</v>
      </c>
      <c r="K9" s="99">
        <f t="shared" si="0"/>
        <v>8.5375000000000014</v>
      </c>
      <c r="L9" s="167" t="s">
        <v>110</v>
      </c>
      <c r="M9" s="236">
        <v>0.2</v>
      </c>
      <c r="N9" s="297">
        <v>8</v>
      </c>
      <c r="O9" s="315">
        <f>M9*12/N9</f>
        <v>0.30000000000000004</v>
      </c>
      <c r="P9" s="224">
        <f t="shared" si="17"/>
        <v>0.30000000000000004</v>
      </c>
      <c r="Q9" s="195">
        <f t="shared" si="1"/>
        <v>5.25</v>
      </c>
      <c r="R9" s="105">
        <f t="shared" si="2"/>
        <v>5.75</v>
      </c>
      <c r="S9" s="287">
        <f>P9/(12*Q9)</f>
        <v>4.7619047619047623E-3</v>
      </c>
      <c r="T9" s="115">
        <f>P9/(12*R9)</f>
        <v>4.3478260869565227E-3</v>
      </c>
      <c r="U9" s="164"/>
      <c r="V9" s="253">
        <f t="shared" si="18"/>
        <v>8.9794117647058851</v>
      </c>
      <c r="W9" s="108">
        <f t="shared" si="19"/>
        <v>9.8794117647058837</v>
      </c>
      <c r="X9" s="253">
        <f t="shared" si="20"/>
        <v>8.9205882352941206</v>
      </c>
      <c r="Y9" s="99">
        <f t="shared" si="21"/>
        <v>9.8205882352941192</v>
      </c>
      <c r="Z9" s="253">
        <f t="shared" si="22"/>
        <v>9.0264705882352967</v>
      </c>
      <c r="AA9" s="108">
        <f t="shared" si="23"/>
        <v>9.9264705882352953</v>
      </c>
      <c r="AB9" s="3">
        <f t="shared" si="3"/>
        <v>5</v>
      </c>
      <c r="AC9" s="246">
        <f t="shared" si="4"/>
        <v>8</v>
      </c>
      <c r="AD9" s="5">
        <f t="shared" si="5"/>
        <v>-4.665</v>
      </c>
      <c r="AE9" s="105">
        <f t="shared" si="6"/>
        <v>8.5375000000000014</v>
      </c>
      <c r="AF9" s="201">
        <v>67</v>
      </c>
      <c r="AG9" s="32">
        <f t="shared" si="7"/>
        <v>0.20100000000000001</v>
      </c>
      <c r="AH9" s="218" t="s">
        <v>110</v>
      </c>
      <c r="AI9" s="43">
        <f t="shared" si="8"/>
        <v>0.30000000000000004</v>
      </c>
      <c r="AJ9" s="290">
        <f t="shared" si="24"/>
        <v>1</v>
      </c>
      <c r="AK9" s="282">
        <f t="shared" si="9"/>
        <v>6.2500000000000012E-3</v>
      </c>
      <c r="AL9" s="272" t="str">
        <f t="shared" si="10"/>
        <v>#4 @ 8</v>
      </c>
      <c r="AN9" s="2">
        <f t="shared" si="11"/>
        <v>5</v>
      </c>
      <c r="AO9" s="246">
        <f t="shared" si="12"/>
        <v>8</v>
      </c>
      <c r="AP9" s="167" t="str">
        <f t="shared" si="13"/>
        <v>#4 @ 8</v>
      </c>
      <c r="AQ9" s="169" t="str">
        <f>AH9</f>
        <v>#4 @ 8</v>
      </c>
      <c r="AR9" s="50">
        <f t="shared" si="14"/>
        <v>-4.665</v>
      </c>
      <c r="AS9" s="111">
        <f t="shared" si="15"/>
        <v>8.5375000000000014</v>
      </c>
      <c r="AT9" s="50">
        <f t="shared" si="25"/>
        <v>-8.9794117647058851</v>
      </c>
      <c r="AU9" s="111">
        <f t="shared" ref="AU9:AU37" si="28">W9</f>
        <v>9.8794117647058837</v>
      </c>
      <c r="AW9" s="156">
        <f t="shared" si="26"/>
        <v>1.9248471092617117</v>
      </c>
      <c r="AX9" s="156">
        <f t="shared" si="27"/>
        <v>1.1571785375936612</v>
      </c>
    </row>
    <row r="10" spans="1:50" x14ac:dyDescent="0.2">
      <c r="A10" s="2">
        <v>5.25</v>
      </c>
      <c r="B10" s="236">
        <v>8</v>
      </c>
      <c r="C10" s="4">
        <f t="shared" si="16"/>
        <v>9.9999999999999992E-2</v>
      </c>
      <c r="D10" s="253">
        <f t="shared" ref="D10:D37" si="29">-0.1*C10*A10^2</f>
        <v>-0.27562500000000001</v>
      </c>
      <c r="E10" s="108">
        <f t="shared" ref="E10:E37" si="30">0.08*C10*A10^2</f>
        <v>0.2205</v>
      </c>
      <c r="F10" s="253">
        <f t="shared" ref="F10:F37" si="31">-0.1*0.05*A10^2</f>
        <v>-0.13781250000000003</v>
      </c>
      <c r="G10" s="99">
        <f t="shared" ref="G10:G37" si="32">0.08*0.05*A10^2</f>
        <v>0.11025</v>
      </c>
      <c r="H10" s="253">
        <v>-2.57</v>
      </c>
      <c r="I10" s="108">
        <v>4.67</v>
      </c>
      <c r="J10" s="253">
        <f t="shared" si="0"/>
        <v>-5.0487500000000001</v>
      </c>
      <c r="K10" s="99">
        <f t="shared" si="0"/>
        <v>8.6135000000000002</v>
      </c>
      <c r="L10" s="167" t="s">
        <v>110</v>
      </c>
      <c r="M10" s="236">
        <v>0.2</v>
      </c>
      <c r="N10" s="297">
        <v>8</v>
      </c>
      <c r="O10" s="315">
        <f t="shared" ref="O10:O37" si="33">M10*12/N10</f>
        <v>0.30000000000000004</v>
      </c>
      <c r="P10" s="224">
        <f t="shared" si="17"/>
        <v>0.30000000000000004</v>
      </c>
      <c r="Q10" s="195">
        <f t="shared" si="1"/>
        <v>5.25</v>
      </c>
      <c r="R10" s="105">
        <f t="shared" si="2"/>
        <v>5.75</v>
      </c>
      <c r="S10" s="287">
        <f t="shared" ref="S10:S37" si="34">P10/(12*Q10)</f>
        <v>4.7619047619047623E-3</v>
      </c>
      <c r="T10" s="115">
        <f t="shared" ref="T10:T37" si="35">P10/(12*R10)</f>
        <v>4.3478260869565227E-3</v>
      </c>
      <c r="U10" s="164"/>
      <c r="V10" s="253">
        <f t="shared" si="18"/>
        <v>8.9794117647058851</v>
      </c>
      <c r="W10" s="108">
        <f t="shared" si="19"/>
        <v>9.8794117647058837</v>
      </c>
      <c r="X10" s="253">
        <f t="shared" si="20"/>
        <v>8.9205882352941206</v>
      </c>
      <c r="Y10" s="99">
        <f t="shared" si="21"/>
        <v>9.8205882352941192</v>
      </c>
      <c r="Z10" s="253">
        <f t="shared" si="22"/>
        <v>9.0264705882352967</v>
      </c>
      <c r="AA10" s="108">
        <f t="shared" si="23"/>
        <v>9.9264705882352953</v>
      </c>
      <c r="AB10" s="3">
        <f t="shared" si="3"/>
        <v>5.25</v>
      </c>
      <c r="AC10" s="246">
        <f t="shared" si="4"/>
        <v>8</v>
      </c>
      <c r="AD10" s="5">
        <f t="shared" si="5"/>
        <v>-5.0487500000000001</v>
      </c>
      <c r="AE10" s="105">
        <f t="shared" si="6"/>
        <v>8.6135000000000002</v>
      </c>
      <c r="AF10" s="201">
        <v>67</v>
      </c>
      <c r="AG10" s="32">
        <f t="shared" si="7"/>
        <v>0.20100000000000001</v>
      </c>
      <c r="AH10" s="218" t="s">
        <v>110</v>
      </c>
      <c r="AI10" s="43">
        <f t="shared" si="8"/>
        <v>0.30000000000000004</v>
      </c>
      <c r="AJ10" s="290">
        <f t="shared" si="24"/>
        <v>1</v>
      </c>
      <c r="AK10" s="282">
        <f t="shared" si="9"/>
        <v>6.2500000000000012E-3</v>
      </c>
      <c r="AL10" s="272" t="str">
        <f t="shared" si="10"/>
        <v>#4 @ 8</v>
      </c>
      <c r="AN10" s="2">
        <f t="shared" si="11"/>
        <v>5.25</v>
      </c>
      <c r="AO10" s="246">
        <f t="shared" si="12"/>
        <v>8</v>
      </c>
      <c r="AP10" s="167" t="str">
        <f t="shared" si="13"/>
        <v>#4 @ 8</v>
      </c>
      <c r="AQ10" s="169" t="str">
        <f t="shared" ref="AQ10:AQ37" si="36">AH10</f>
        <v>#4 @ 8</v>
      </c>
      <c r="AR10" s="50">
        <f t="shared" si="14"/>
        <v>-5.0487500000000001</v>
      </c>
      <c r="AS10" s="111">
        <f t="shared" si="15"/>
        <v>8.6135000000000002</v>
      </c>
      <c r="AT10" s="50">
        <f t="shared" si="25"/>
        <v>-8.9794117647058851</v>
      </c>
      <c r="AU10" s="111">
        <f t="shared" si="28"/>
        <v>9.8794117647058837</v>
      </c>
      <c r="AW10" s="156">
        <f t="shared" si="26"/>
        <v>1.7785415726082465</v>
      </c>
      <c r="AX10" s="156">
        <f t="shared" si="27"/>
        <v>1.1469683362983554</v>
      </c>
    </row>
    <row r="11" spans="1:50" x14ac:dyDescent="0.2">
      <c r="A11" s="2">
        <v>5.5</v>
      </c>
      <c r="B11" s="236">
        <v>8</v>
      </c>
      <c r="C11" s="4">
        <f t="shared" si="16"/>
        <v>9.9999999999999992E-2</v>
      </c>
      <c r="D11" s="253">
        <f t="shared" si="29"/>
        <v>-0.30249999999999999</v>
      </c>
      <c r="E11" s="108">
        <f t="shared" si="30"/>
        <v>0.24199999999999999</v>
      </c>
      <c r="F11" s="253">
        <f t="shared" si="31"/>
        <v>-0.15125000000000002</v>
      </c>
      <c r="G11" s="99">
        <f t="shared" si="32"/>
        <v>0.121</v>
      </c>
      <c r="H11" s="253">
        <v>-2.76</v>
      </c>
      <c r="I11" s="108">
        <v>4.71</v>
      </c>
      <c r="J11" s="253">
        <f t="shared" si="0"/>
        <v>-5.4350000000000005</v>
      </c>
      <c r="K11" s="99">
        <f t="shared" si="0"/>
        <v>8.7264999999999997</v>
      </c>
      <c r="L11" s="167" t="s">
        <v>110</v>
      </c>
      <c r="M11" s="236">
        <v>0.2</v>
      </c>
      <c r="N11" s="297">
        <v>8</v>
      </c>
      <c r="O11" s="315">
        <f t="shared" si="33"/>
        <v>0.30000000000000004</v>
      </c>
      <c r="P11" s="224">
        <f t="shared" si="17"/>
        <v>0.30000000000000004</v>
      </c>
      <c r="Q11" s="195">
        <f t="shared" si="1"/>
        <v>5.25</v>
      </c>
      <c r="R11" s="105">
        <f t="shared" si="2"/>
        <v>5.75</v>
      </c>
      <c r="S11" s="287">
        <f t="shared" si="34"/>
        <v>4.7619047619047623E-3</v>
      </c>
      <c r="T11" s="115">
        <f t="shared" si="35"/>
        <v>4.3478260869565227E-3</v>
      </c>
      <c r="U11" s="164"/>
      <c r="V11" s="253">
        <f t="shared" si="18"/>
        <v>8.9794117647058851</v>
      </c>
      <c r="W11" s="108">
        <f t="shared" si="19"/>
        <v>9.8794117647058837</v>
      </c>
      <c r="X11" s="253">
        <f t="shared" si="20"/>
        <v>8.9205882352941206</v>
      </c>
      <c r="Y11" s="99">
        <f t="shared" si="21"/>
        <v>9.8205882352941192</v>
      </c>
      <c r="Z11" s="253">
        <f t="shared" si="22"/>
        <v>9.0264705882352967</v>
      </c>
      <c r="AA11" s="108">
        <f t="shared" si="23"/>
        <v>9.9264705882352953</v>
      </c>
      <c r="AB11" s="3">
        <f t="shared" si="3"/>
        <v>5.5</v>
      </c>
      <c r="AC11" s="246">
        <f t="shared" si="4"/>
        <v>8</v>
      </c>
      <c r="AD11" s="5">
        <f t="shared" si="5"/>
        <v>-5.4350000000000005</v>
      </c>
      <c r="AE11" s="105">
        <f t="shared" si="6"/>
        <v>8.7264999999999997</v>
      </c>
      <c r="AF11" s="201">
        <v>67</v>
      </c>
      <c r="AG11" s="32">
        <f t="shared" si="7"/>
        <v>0.20100000000000001</v>
      </c>
      <c r="AH11" s="218" t="s">
        <v>110</v>
      </c>
      <c r="AI11" s="43">
        <f t="shared" si="8"/>
        <v>0.30000000000000004</v>
      </c>
      <c r="AJ11" s="290">
        <f t="shared" si="24"/>
        <v>1</v>
      </c>
      <c r="AK11" s="282">
        <f t="shared" si="9"/>
        <v>6.2500000000000012E-3</v>
      </c>
      <c r="AL11" s="272" t="str">
        <f t="shared" si="10"/>
        <v>#4 @ 8</v>
      </c>
      <c r="AN11" s="2">
        <f t="shared" si="11"/>
        <v>5.5</v>
      </c>
      <c r="AO11" s="246">
        <f t="shared" si="12"/>
        <v>8</v>
      </c>
      <c r="AP11" s="167" t="str">
        <f t="shared" si="13"/>
        <v>#4 @ 8</v>
      </c>
      <c r="AQ11" s="169" t="str">
        <f t="shared" si="36"/>
        <v>#4 @ 8</v>
      </c>
      <c r="AR11" s="50">
        <f t="shared" si="14"/>
        <v>-5.4350000000000005</v>
      </c>
      <c r="AS11" s="111">
        <f t="shared" si="15"/>
        <v>8.7264999999999997</v>
      </c>
      <c r="AT11" s="50">
        <f t="shared" si="25"/>
        <v>-8.9794117647058851</v>
      </c>
      <c r="AU11" s="111">
        <f t="shared" si="28"/>
        <v>9.8794117647058837</v>
      </c>
      <c r="AW11" s="156">
        <f t="shared" si="26"/>
        <v>1.6521456788787277</v>
      </c>
      <c r="AX11" s="156">
        <f t="shared" si="27"/>
        <v>1.1321161708251744</v>
      </c>
    </row>
    <row r="12" spans="1:50" x14ac:dyDescent="0.2">
      <c r="A12" s="2">
        <v>5.75</v>
      </c>
      <c r="B12" s="236">
        <v>8</v>
      </c>
      <c r="C12" s="4">
        <f t="shared" si="16"/>
        <v>9.9999999999999992E-2</v>
      </c>
      <c r="D12" s="253">
        <f t="shared" si="29"/>
        <v>-0.330625</v>
      </c>
      <c r="E12" s="108">
        <f t="shared" si="30"/>
        <v>0.26450000000000001</v>
      </c>
      <c r="F12" s="253">
        <f t="shared" si="31"/>
        <v>-0.16531250000000003</v>
      </c>
      <c r="G12" s="99">
        <f t="shared" si="32"/>
        <v>0.13225000000000001</v>
      </c>
      <c r="H12" s="253">
        <v>-2.92</v>
      </c>
      <c r="I12" s="108">
        <v>4.7699999999999996</v>
      </c>
      <c r="J12" s="253">
        <f t="shared" si="0"/>
        <v>-5.7712499999999993</v>
      </c>
      <c r="K12" s="99">
        <f t="shared" si="0"/>
        <v>8.8765000000000001</v>
      </c>
      <c r="L12" s="167" t="s">
        <v>110</v>
      </c>
      <c r="M12" s="238">
        <v>0.2</v>
      </c>
      <c r="N12" s="297">
        <v>8</v>
      </c>
      <c r="O12" s="316">
        <f t="shared" si="33"/>
        <v>0.30000000000000004</v>
      </c>
      <c r="P12" s="225">
        <f t="shared" si="17"/>
        <v>0.30000000000000004</v>
      </c>
      <c r="Q12" s="195">
        <f t="shared" si="1"/>
        <v>5.25</v>
      </c>
      <c r="R12" s="105">
        <f t="shared" si="2"/>
        <v>5.75</v>
      </c>
      <c r="S12" s="287">
        <f t="shared" si="34"/>
        <v>4.7619047619047623E-3</v>
      </c>
      <c r="T12" s="115">
        <f t="shared" si="35"/>
        <v>4.3478260869565227E-3</v>
      </c>
      <c r="U12" s="164"/>
      <c r="V12" s="61">
        <f t="shared" si="18"/>
        <v>8.9794117647058851</v>
      </c>
      <c r="W12" s="110">
        <f t="shared" si="19"/>
        <v>9.8794117647058837</v>
      </c>
      <c r="X12" s="61">
        <f t="shared" si="20"/>
        <v>8.9205882352941206</v>
      </c>
      <c r="Y12" s="101">
        <f t="shared" si="21"/>
        <v>9.8205882352941192</v>
      </c>
      <c r="Z12" s="61">
        <f t="shared" si="22"/>
        <v>9.0264705882352967</v>
      </c>
      <c r="AA12" s="110">
        <f t="shared" si="23"/>
        <v>9.9264705882352953</v>
      </c>
      <c r="AB12" s="3">
        <f t="shared" si="3"/>
        <v>5.75</v>
      </c>
      <c r="AC12" s="246">
        <f t="shared" si="4"/>
        <v>8</v>
      </c>
      <c r="AD12" s="5">
        <f t="shared" si="5"/>
        <v>-5.7712499999999993</v>
      </c>
      <c r="AE12" s="105">
        <f t="shared" si="6"/>
        <v>8.8765000000000001</v>
      </c>
      <c r="AF12" s="201">
        <v>67</v>
      </c>
      <c r="AG12" s="32">
        <f t="shared" si="7"/>
        <v>0.20100000000000001</v>
      </c>
      <c r="AH12" s="218" t="s">
        <v>110</v>
      </c>
      <c r="AI12" s="43">
        <f t="shared" si="8"/>
        <v>0.30000000000000004</v>
      </c>
      <c r="AJ12" s="291">
        <f t="shared" si="24"/>
        <v>1</v>
      </c>
      <c r="AK12" s="282">
        <f t="shared" si="9"/>
        <v>6.2500000000000012E-3</v>
      </c>
      <c r="AL12" s="272" t="str">
        <f t="shared" si="10"/>
        <v>#4 @ 8</v>
      </c>
      <c r="AN12" s="2">
        <f t="shared" si="11"/>
        <v>5.75</v>
      </c>
      <c r="AO12" s="246">
        <f t="shared" si="12"/>
        <v>8</v>
      </c>
      <c r="AP12" s="167" t="str">
        <f t="shared" si="13"/>
        <v>#4 @ 8</v>
      </c>
      <c r="AQ12" s="169" t="str">
        <f t="shared" si="36"/>
        <v>#4 @ 8</v>
      </c>
      <c r="AR12" s="50">
        <f t="shared" si="14"/>
        <v>-5.7712499999999993</v>
      </c>
      <c r="AS12" s="111">
        <f t="shared" si="15"/>
        <v>8.8765000000000001</v>
      </c>
      <c r="AT12" s="52">
        <f t="shared" si="25"/>
        <v>-8.9794117647058851</v>
      </c>
      <c r="AU12" s="113">
        <f t="shared" si="28"/>
        <v>9.8794117647058837</v>
      </c>
      <c r="AW12" s="156">
        <f t="shared" si="26"/>
        <v>1.5558868121647627</v>
      </c>
      <c r="AX12" s="156">
        <f t="shared" si="27"/>
        <v>1.1129850464378848</v>
      </c>
    </row>
    <row r="13" spans="1:50" x14ac:dyDescent="0.2">
      <c r="A13" s="17">
        <v>6</v>
      </c>
      <c r="B13" s="237">
        <v>8</v>
      </c>
      <c r="C13" s="42">
        <f t="shared" si="16"/>
        <v>9.9999999999999992E-2</v>
      </c>
      <c r="D13" s="255">
        <f t="shared" si="29"/>
        <v>-0.36</v>
      </c>
      <c r="E13" s="109">
        <f t="shared" si="30"/>
        <v>0.28800000000000003</v>
      </c>
      <c r="F13" s="255">
        <f t="shared" si="31"/>
        <v>-0.18000000000000005</v>
      </c>
      <c r="G13" s="100">
        <f t="shared" si="32"/>
        <v>0.14400000000000002</v>
      </c>
      <c r="H13" s="255">
        <v>-3.09</v>
      </c>
      <c r="I13" s="109">
        <v>4.83</v>
      </c>
      <c r="J13" s="255">
        <f t="shared" si="0"/>
        <v>-6.1274999999999995</v>
      </c>
      <c r="K13" s="100">
        <f t="shared" si="0"/>
        <v>9.0285000000000011</v>
      </c>
      <c r="L13" s="173" t="s">
        <v>110</v>
      </c>
      <c r="M13" s="237">
        <v>0.2</v>
      </c>
      <c r="N13" s="317">
        <v>8</v>
      </c>
      <c r="O13" s="315">
        <f t="shared" si="33"/>
        <v>0.30000000000000004</v>
      </c>
      <c r="P13" s="224">
        <f t="shared" si="17"/>
        <v>0.30000000000000004</v>
      </c>
      <c r="Q13" s="256">
        <f t="shared" si="1"/>
        <v>5.25</v>
      </c>
      <c r="R13" s="106">
        <f t="shared" si="2"/>
        <v>5.75</v>
      </c>
      <c r="S13" s="288">
        <f t="shared" si="34"/>
        <v>4.7619047619047623E-3</v>
      </c>
      <c r="T13" s="116">
        <f t="shared" si="35"/>
        <v>4.3478260869565227E-3</v>
      </c>
      <c r="U13" s="164"/>
      <c r="V13" s="253">
        <f t="shared" si="18"/>
        <v>8.9794117647058851</v>
      </c>
      <c r="W13" s="108">
        <f t="shared" si="19"/>
        <v>9.8794117647058837</v>
      </c>
      <c r="X13" s="253">
        <f t="shared" si="20"/>
        <v>8.9205882352941206</v>
      </c>
      <c r="Y13" s="99">
        <f t="shared" si="21"/>
        <v>9.8205882352941192</v>
      </c>
      <c r="Z13" s="253">
        <f t="shared" si="22"/>
        <v>9.0264705882352967</v>
      </c>
      <c r="AA13" s="108">
        <f t="shared" si="23"/>
        <v>9.9264705882352953</v>
      </c>
      <c r="AB13" s="18">
        <f t="shared" si="3"/>
        <v>6</v>
      </c>
      <c r="AC13" s="247">
        <f t="shared" si="4"/>
        <v>8</v>
      </c>
      <c r="AD13" s="20">
        <f t="shared" si="5"/>
        <v>-6.1274999999999995</v>
      </c>
      <c r="AE13" s="106">
        <f t="shared" si="6"/>
        <v>9.0285000000000011</v>
      </c>
      <c r="AF13" s="244">
        <v>67</v>
      </c>
      <c r="AG13" s="33">
        <f t="shared" si="7"/>
        <v>0.20100000000000001</v>
      </c>
      <c r="AH13" s="220" t="s">
        <v>110</v>
      </c>
      <c r="AI13" s="42">
        <f>0.2*12/8</f>
        <v>0.30000000000000004</v>
      </c>
      <c r="AJ13" s="290">
        <f t="shared" si="24"/>
        <v>1</v>
      </c>
      <c r="AK13" s="283">
        <f t="shared" si="9"/>
        <v>6.2500000000000012E-3</v>
      </c>
      <c r="AL13" s="274" t="str">
        <f t="shared" si="10"/>
        <v>#4 @ 8</v>
      </c>
      <c r="AN13" s="17">
        <f t="shared" si="11"/>
        <v>6</v>
      </c>
      <c r="AO13" s="247">
        <f t="shared" si="12"/>
        <v>8</v>
      </c>
      <c r="AP13" s="173" t="str">
        <f t="shared" si="13"/>
        <v>#4 @ 8</v>
      </c>
      <c r="AQ13" s="174" t="str">
        <f t="shared" si="36"/>
        <v>#4 @ 8</v>
      </c>
      <c r="AR13" s="51">
        <f t="shared" si="14"/>
        <v>-6.1274999999999995</v>
      </c>
      <c r="AS13" s="112">
        <f t="shared" si="15"/>
        <v>9.0285000000000011</v>
      </c>
      <c r="AT13" s="50">
        <f t="shared" si="25"/>
        <v>-8.9794117647058851</v>
      </c>
      <c r="AU13" s="111">
        <f t="shared" si="28"/>
        <v>9.8794117647058837</v>
      </c>
      <c r="AW13" s="156">
        <f t="shared" si="26"/>
        <v>1.465428276573788</v>
      </c>
      <c r="AX13" s="156">
        <f t="shared" si="27"/>
        <v>1.0942473018448118</v>
      </c>
    </row>
    <row r="14" spans="1:50" x14ac:dyDescent="0.2">
      <c r="A14" s="2">
        <v>6.25</v>
      </c>
      <c r="B14" s="236">
        <v>8</v>
      </c>
      <c r="C14" s="43">
        <f t="shared" si="16"/>
        <v>9.9999999999999992E-2</v>
      </c>
      <c r="D14" s="253">
        <f t="shared" si="29"/>
        <v>-0.390625</v>
      </c>
      <c r="E14" s="108">
        <f t="shared" si="30"/>
        <v>0.3125</v>
      </c>
      <c r="F14" s="253">
        <f t="shared" si="31"/>
        <v>-0.19531250000000003</v>
      </c>
      <c r="G14" s="99">
        <f t="shared" si="32"/>
        <v>0.15625</v>
      </c>
      <c r="H14" s="253">
        <v>-3.24</v>
      </c>
      <c r="I14" s="108">
        <v>4.91</v>
      </c>
      <c r="J14" s="253">
        <f t="shared" si="0"/>
        <v>-6.4512499999999999</v>
      </c>
      <c r="K14" s="99">
        <f t="shared" si="0"/>
        <v>9.2175000000000011</v>
      </c>
      <c r="L14" s="167" t="s">
        <v>110</v>
      </c>
      <c r="M14" s="236">
        <v>0.2</v>
      </c>
      <c r="N14" s="297">
        <v>8</v>
      </c>
      <c r="O14" s="315">
        <f t="shared" si="33"/>
        <v>0.30000000000000004</v>
      </c>
      <c r="P14" s="224">
        <f t="shared" si="17"/>
        <v>0.30000000000000004</v>
      </c>
      <c r="Q14" s="195">
        <f t="shared" si="1"/>
        <v>5.25</v>
      </c>
      <c r="R14" s="105">
        <f t="shared" si="2"/>
        <v>5.75</v>
      </c>
      <c r="S14" s="287">
        <f t="shared" si="34"/>
        <v>4.7619047619047623E-3</v>
      </c>
      <c r="T14" s="115">
        <f t="shared" si="35"/>
        <v>4.3478260869565227E-3</v>
      </c>
      <c r="U14" s="164"/>
      <c r="V14" s="253">
        <f t="shared" si="18"/>
        <v>8.9794117647058851</v>
      </c>
      <c r="W14" s="108">
        <f t="shared" si="19"/>
        <v>9.8794117647058837</v>
      </c>
      <c r="X14" s="253">
        <f t="shared" si="20"/>
        <v>8.9205882352941206</v>
      </c>
      <c r="Y14" s="99">
        <f t="shared" si="21"/>
        <v>9.8205882352941192</v>
      </c>
      <c r="Z14" s="253">
        <f t="shared" si="22"/>
        <v>9.0264705882352967</v>
      </c>
      <c r="AA14" s="108">
        <f t="shared" si="23"/>
        <v>9.9264705882352953</v>
      </c>
      <c r="AB14" s="3">
        <f t="shared" si="3"/>
        <v>6.25</v>
      </c>
      <c r="AC14" s="246">
        <f t="shared" si="4"/>
        <v>8</v>
      </c>
      <c r="AD14" s="5">
        <f t="shared" si="5"/>
        <v>-6.4512499999999999</v>
      </c>
      <c r="AE14" s="105">
        <f t="shared" si="6"/>
        <v>9.2175000000000011</v>
      </c>
      <c r="AF14" s="201">
        <v>67</v>
      </c>
      <c r="AG14" s="32">
        <f t="shared" si="7"/>
        <v>0.20100000000000001</v>
      </c>
      <c r="AH14" s="218" t="s">
        <v>110</v>
      </c>
      <c r="AI14" s="43">
        <f t="shared" si="8"/>
        <v>0.30000000000000004</v>
      </c>
      <c r="AJ14" s="290">
        <f t="shared" si="24"/>
        <v>1</v>
      </c>
      <c r="AK14" s="282">
        <f t="shared" si="9"/>
        <v>6.2500000000000012E-3</v>
      </c>
      <c r="AL14" s="272" t="str">
        <f t="shared" si="10"/>
        <v>#4 @ 8</v>
      </c>
      <c r="AN14" s="2">
        <f t="shared" si="11"/>
        <v>6.25</v>
      </c>
      <c r="AO14" s="246">
        <f t="shared" si="12"/>
        <v>8</v>
      </c>
      <c r="AP14" s="167" t="str">
        <f t="shared" si="13"/>
        <v>#4 @ 8</v>
      </c>
      <c r="AQ14" s="169" t="str">
        <f t="shared" si="36"/>
        <v>#4 @ 8</v>
      </c>
      <c r="AR14" s="50">
        <f t="shared" si="14"/>
        <v>-6.4512499999999999</v>
      </c>
      <c r="AS14" s="111">
        <f t="shared" si="15"/>
        <v>9.2175000000000011</v>
      </c>
      <c r="AT14" s="50">
        <f t="shared" si="25"/>
        <v>-8.9794117647058851</v>
      </c>
      <c r="AU14" s="111">
        <f t="shared" si="28"/>
        <v>9.8794117647058837</v>
      </c>
      <c r="AW14" s="156">
        <f t="shared" si="26"/>
        <v>1.3918871171797536</v>
      </c>
      <c r="AX14" s="156">
        <f t="shared" si="27"/>
        <v>1.0718103351999873</v>
      </c>
    </row>
    <row r="15" spans="1:50" x14ac:dyDescent="0.2">
      <c r="A15" s="2">
        <v>6.5</v>
      </c>
      <c r="B15" s="236">
        <v>8</v>
      </c>
      <c r="C15" s="43">
        <f t="shared" si="16"/>
        <v>9.9999999999999992E-2</v>
      </c>
      <c r="D15" s="253">
        <f t="shared" si="29"/>
        <v>-0.42249999999999999</v>
      </c>
      <c r="E15" s="108">
        <f t="shared" si="30"/>
        <v>0.33800000000000002</v>
      </c>
      <c r="F15" s="253">
        <f t="shared" si="31"/>
        <v>-0.21125000000000005</v>
      </c>
      <c r="G15" s="99">
        <f t="shared" si="32"/>
        <v>0.16900000000000001</v>
      </c>
      <c r="H15" s="253">
        <v>-3.38</v>
      </c>
      <c r="I15" s="108">
        <v>5</v>
      </c>
      <c r="J15" s="253">
        <f t="shared" si="0"/>
        <v>-6.76</v>
      </c>
      <c r="K15" s="99">
        <f t="shared" si="0"/>
        <v>9.4260000000000002</v>
      </c>
      <c r="L15" s="167" t="s">
        <v>110</v>
      </c>
      <c r="M15" s="236">
        <v>0.2</v>
      </c>
      <c r="N15" s="297">
        <v>8</v>
      </c>
      <c r="O15" s="315">
        <f t="shared" si="33"/>
        <v>0.30000000000000004</v>
      </c>
      <c r="P15" s="224">
        <f t="shared" si="17"/>
        <v>0.30000000000000004</v>
      </c>
      <c r="Q15" s="195">
        <f t="shared" si="1"/>
        <v>5.25</v>
      </c>
      <c r="R15" s="105">
        <f t="shared" si="2"/>
        <v>5.75</v>
      </c>
      <c r="S15" s="287">
        <f t="shared" si="34"/>
        <v>4.7619047619047623E-3</v>
      </c>
      <c r="T15" s="115">
        <f t="shared" si="35"/>
        <v>4.3478260869565227E-3</v>
      </c>
      <c r="U15" s="164"/>
      <c r="V15" s="253">
        <f t="shared" si="18"/>
        <v>8.9794117647058851</v>
      </c>
      <c r="W15" s="108">
        <f t="shared" si="19"/>
        <v>9.8794117647058837</v>
      </c>
      <c r="X15" s="253">
        <f t="shared" si="20"/>
        <v>8.9205882352941206</v>
      </c>
      <c r="Y15" s="99">
        <f t="shared" si="21"/>
        <v>9.8205882352941192</v>
      </c>
      <c r="Z15" s="253">
        <f t="shared" si="22"/>
        <v>9.0264705882352967</v>
      </c>
      <c r="AA15" s="108">
        <f t="shared" si="23"/>
        <v>9.9264705882352953</v>
      </c>
      <c r="AB15" s="3">
        <f t="shared" si="3"/>
        <v>6.5</v>
      </c>
      <c r="AC15" s="246">
        <f t="shared" si="4"/>
        <v>8</v>
      </c>
      <c r="AD15" s="5">
        <f t="shared" si="5"/>
        <v>-6.76</v>
      </c>
      <c r="AE15" s="105">
        <f t="shared" si="6"/>
        <v>9.4260000000000002</v>
      </c>
      <c r="AF15" s="201">
        <v>67</v>
      </c>
      <c r="AG15" s="32">
        <f t="shared" si="7"/>
        <v>0.20100000000000001</v>
      </c>
      <c r="AH15" s="218" t="s">
        <v>110</v>
      </c>
      <c r="AI15" s="43">
        <f t="shared" si="8"/>
        <v>0.30000000000000004</v>
      </c>
      <c r="AJ15" s="290">
        <f t="shared" si="24"/>
        <v>1</v>
      </c>
      <c r="AK15" s="282">
        <f t="shared" si="9"/>
        <v>6.2500000000000012E-3</v>
      </c>
      <c r="AL15" s="272" t="str">
        <f t="shared" si="10"/>
        <v>#4 @ 8</v>
      </c>
      <c r="AN15" s="2">
        <f t="shared" si="11"/>
        <v>6.5</v>
      </c>
      <c r="AO15" s="246">
        <f t="shared" si="12"/>
        <v>8</v>
      </c>
      <c r="AP15" s="167" t="str">
        <f t="shared" si="13"/>
        <v>#4 @ 8</v>
      </c>
      <c r="AQ15" s="169" t="str">
        <f t="shared" si="36"/>
        <v>#4 @ 8</v>
      </c>
      <c r="AR15" s="50">
        <f t="shared" si="14"/>
        <v>-6.76</v>
      </c>
      <c r="AS15" s="111">
        <f t="shared" si="15"/>
        <v>9.4260000000000002</v>
      </c>
      <c r="AT15" s="50">
        <f t="shared" si="25"/>
        <v>-8.9794117647058851</v>
      </c>
      <c r="AU15" s="111">
        <f t="shared" si="28"/>
        <v>9.8794117647058837</v>
      </c>
      <c r="AW15" s="156">
        <f t="shared" si="26"/>
        <v>1.3283153498085629</v>
      </c>
      <c r="AX15" s="156">
        <f t="shared" si="27"/>
        <v>1.0481022453539024</v>
      </c>
    </row>
    <row r="16" spans="1:50" x14ac:dyDescent="0.2">
      <c r="A16" s="8">
        <v>6.75</v>
      </c>
      <c r="B16" s="238">
        <v>8</v>
      </c>
      <c r="C16" s="44">
        <f t="shared" si="16"/>
        <v>9.9999999999999992E-2</v>
      </c>
      <c r="D16" s="61">
        <f t="shared" si="29"/>
        <v>-0.455625</v>
      </c>
      <c r="E16" s="110">
        <f t="shared" si="30"/>
        <v>0.36449999999999999</v>
      </c>
      <c r="F16" s="61">
        <f t="shared" si="31"/>
        <v>-0.22781250000000006</v>
      </c>
      <c r="G16" s="101">
        <f t="shared" si="32"/>
        <v>0.18225</v>
      </c>
      <c r="H16" s="61">
        <v>-3.51</v>
      </c>
      <c r="I16" s="110">
        <v>5.0999999999999996</v>
      </c>
      <c r="J16" s="61">
        <f t="shared" si="0"/>
        <v>-7.05375</v>
      </c>
      <c r="K16" s="101">
        <f t="shared" si="0"/>
        <v>9.6539999999999981</v>
      </c>
      <c r="L16" s="168" t="s">
        <v>110</v>
      </c>
      <c r="M16" s="238">
        <v>0.2</v>
      </c>
      <c r="N16" s="298">
        <v>8</v>
      </c>
      <c r="O16" s="316">
        <f t="shared" si="33"/>
        <v>0.30000000000000004</v>
      </c>
      <c r="P16" s="225">
        <f t="shared" si="17"/>
        <v>0.30000000000000004</v>
      </c>
      <c r="Q16" s="257">
        <f t="shared" si="1"/>
        <v>5.25</v>
      </c>
      <c r="R16" s="107">
        <f t="shared" si="2"/>
        <v>5.75</v>
      </c>
      <c r="S16" s="289">
        <f t="shared" si="34"/>
        <v>4.7619047619047623E-3</v>
      </c>
      <c r="T16" s="117">
        <f t="shared" si="35"/>
        <v>4.3478260869565227E-3</v>
      </c>
      <c r="U16" s="164"/>
      <c r="V16" s="61">
        <f t="shared" si="18"/>
        <v>8.9794117647058851</v>
      </c>
      <c r="W16" s="110">
        <f t="shared" si="19"/>
        <v>9.8794117647058837</v>
      </c>
      <c r="X16" s="61">
        <f t="shared" si="20"/>
        <v>8.9205882352941206</v>
      </c>
      <c r="Y16" s="101">
        <f t="shared" si="21"/>
        <v>9.8205882352941192</v>
      </c>
      <c r="Z16" s="61">
        <f t="shared" si="22"/>
        <v>9.0264705882352967</v>
      </c>
      <c r="AA16" s="110">
        <f t="shared" si="23"/>
        <v>9.9264705882352953</v>
      </c>
      <c r="AB16" s="9">
        <f t="shared" si="3"/>
        <v>6.75</v>
      </c>
      <c r="AC16" s="60">
        <f t="shared" si="4"/>
        <v>8</v>
      </c>
      <c r="AD16" s="11">
        <f t="shared" si="5"/>
        <v>-7.05375</v>
      </c>
      <c r="AE16" s="107">
        <f t="shared" si="6"/>
        <v>9.6539999999999981</v>
      </c>
      <c r="AF16" s="245">
        <v>67</v>
      </c>
      <c r="AG16" s="34">
        <f t="shared" si="7"/>
        <v>0.20100000000000001</v>
      </c>
      <c r="AH16" s="219" t="s">
        <v>110</v>
      </c>
      <c r="AI16" s="44">
        <f t="shared" si="8"/>
        <v>0.30000000000000004</v>
      </c>
      <c r="AJ16" s="291">
        <f t="shared" si="24"/>
        <v>1</v>
      </c>
      <c r="AK16" s="284">
        <f t="shared" si="9"/>
        <v>6.2500000000000012E-3</v>
      </c>
      <c r="AL16" s="273" t="str">
        <f t="shared" si="10"/>
        <v>#4 @ 8</v>
      </c>
      <c r="AN16" s="8">
        <f t="shared" si="11"/>
        <v>6.75</v>
      </c>
      <c r="AO16" s="60">
        <f t="shared" si="12"/>
        <v>8</v>
      </c>
      <c r="AP16" s="168" t="str">
        <f t="shared" si="13"/>
        <v>#4 @ 8</v>
      </c>
      <c r="AQ16" s="175" t="str">
        <f t="shared" si="36"/>
        <v>#4 @ 8</v>
      </c>
      <c r="AR16" s="52">
        <f t="shared" si="14"/>
        <v>-7.05375</v>
      </c>
      <c r="AS16" s="113">
        <f t="shared" si="15"/>
        <v>9.6539999999999981</v>
      </c>
      <c r="AT16" s="52">
        <f t="shared" si="25"/>
        <v>-8.9794117647058851</v>
      </c>
      <c r="AU16" s="113">
        <f t="shared" si="28"/>
        <v>9.8794117647058837</v>
      </c>
      <c r="AW16" s="156">
        <f t="shared" si="26"/>
        <v>1.2729983008620784</v>
      </c>
      <c r="AX16" s="156">
        <f t="shared" si="27"/>
        <v>1.0233490537296339</v>
      </c>
    </row>
    <row r="17" spans="1:50" x14ac:dyDescent="0.2">
      <c r="A17" s="2">
        <v>7</v>
      </c>
      <c r="B17" s="236">
        <v>8</v>
      </c>
      <c r="C17" s="4">
        <f t="shared" si="16"/>
        <v>9.9999999999999992E-2</v>
      </c>
      <c r="D17" s="253">
        <f t="shared" si="29"/>
        <v>-0.49</v>
      </c>
      <c r="E17" s="108">
        <f t="shared" si="30"/>
        <v>0.39200000000000002</v>
      </c>
      <c r="F17" s="253">
        <f t="shared" si="31"/>
        <v>-0.24500000000000005</v>
      </c>
      <c r="G17" s="99">
        <f t="shared" si="32"/>
        <v>0.19600000000000001</v>
      </c>
      <c r="H17" s="253">
        <v>-3.83</v>
      </c>
      <c r="I17" s="108">
        <v>5.21</v>
      </c>
      <c r="J17" s="253">
        <f t="shared" si="0"/>
        <v>-7.682500000000001</v>
      </c>
      <c r="K17" s="99">
        <f t="shared" si="0"/>
        <v>9.9015000000000004</v>
      </c>
      <c r="L17" s="167" t="s">
        <v>144</v>
      </c>
      <c r="M17" s="237">
        <v>0.2</v>
      </c>
      <c r="N17" s="297">
        <v>7.5</v>
      </c>
      <c r="O17" s="315">
        <f t="shared" si="33"/>
        <v>0.32000000000000006</v>
      </c>
      <c r="P17" s="224">
        <f t="shared" si="17"/>
        <v>0.32000000000000006</v>
      </c>
      <c r="Q17" s="195">
        <f t="shared" si="1"/>
        <v>5.25</v>
      </c>
      <c r="R17" s="105">
        <f t="shared" si="2"/>
        <v>5.75</v>
      </c>
      <c r="S17" s="287">
        <f t="shared" si="34"/>
        <v>5.0793650793650802E-3</v>
      </c>
      <c r="T17" s="115">
        <f t="shared" si="35"/>
        <v>4.6376811594202906E-3</v>
      </c>
      <c r="U17" s="164"/>
      <c r="V17" s="253">
        <f t="shared" si="18"/>
        <v>9.5445751633986955</v>
      </c>
      <c r="W17" s="108">
        <f t="shared" si="19"/>
        <v>10.504575163398696</v>
      </c>
      <c r="X17" s="253">
        <f t="shared" si="20"/>
        <v>9.477647058823532</v>
      </c>
      <c r="Y17" s="99">
        <f t="shared" si="21"/>
        <v>10.437647058823533</v>
      </c>
      <c r="Z17" s="253">
        <f t="shared" si="22"/>
        <v>9.5981176470588263</v>
      </c>
      <c r="AA17" s="108">
        <f t="shared" si="23"/>
        <v>10.558117647058827</v>
      </c>
      <c r="AB17" s="3">
        <f t="shared" si="3"/>
        <v>7</v>
      </c>
      <c r="AC17" s="246">
        <f t="shared" si="4"/>
        <v>8</v>
      </c>
      <c r="AD17" s="5">
        <f t="shared" si="5"/>
        <v>-7.682500000000001</v>
      </c>
      <c r="AE17" s="105">
        <f t="shared" si="6"/>
        <v>9.9015000000000004</v>
      </c>
      <c r="AF17" s="201">
        <v>67</v>
      </c>
      <c r="AG17" s="32">
        <f t="shared" si="7"/>
        <v>0.21440000000000003</v>
      </c>
      <c r="AH17" s="218" t="s">
        <v>110</v>
      </c>
      <c r="AI17" s="43">
        <f>0.2*12/8</f>
        <v>0.30000000000000004</v>
      </c>
      <c r="AJ17" s="290">
        <f t="shared" si="24"/>
        <v>0.9375</v>
      </c>
      <c r="AK17" s="282">
        <f t="shared" si="9"/>
        <v>6.2500000000000012E-3</v>
      </c>
      <c r="AL17" s="272" t="str">
        <f t="shared" si="10"/>
        <v>#4 @ 7.5</v>
      </c>
      <c r="AN17" s="2">
        <f t="shared" si="11"/>
        <v>7</v>
      </c>
      <c r="AO17" s="246">
        <f t="shared" si="12"/>
        <v>8</v>
      </c>
      <c r="AP17" s="167" t="str">
        <f t="shared" si="13"/>
        <v>#4 @ 7.5</v>
      </c>
      <c r="AQ17" s="169" t="str">
        <f t="shared" si="36"/>
        <v>#4 @ 8</v>
      </c>
      <c r="AR17" s="50">
        <f t="shared" si="14"/>
        <v>-7.682500000000001</v>
      </c>
      <c r="AS17" s="111">
        <f t="shared" si="15"/>
        <v>9.9015000000000004</v>
      </c>
      <c r="AT17" s="50">
        <f t="shared" si="25"/>
        <v>-9.5445751633986955</v>
      </c>
      <c r="AU17" s="111">
        <f t="shared" si="28"/>
        <v>10.504575163398696</v>
      </c>
      <c r="AW17" s="156">
        <f t="shared" si="26"/>
        <v>1.2423788042172073</v>
      </c>
      <c r="AX17" s="156">
        <f t="shared" si="27"/>
        <v>1.0609074547693476</v>
      </c>
    </row>
    <row r="18" spans="1:50" x14ac:dyDescent="0.2">
      <c r="A18" s="2">
        <v>7.25</v>
      </c>
      <c r="B18" s="236">
        <v>8</v>
      </c>
      <c r="C18" s="4">
        <f t="shared" si="16"/>
        <v>9.9999999999999992E-2</v>
      </c>
      <c r="D18" s="253">
        <f t="shared" si="29"/>
        <v>-0.52562500000000001</v>
      </c>
      <c r="E18" s="108">
        <f t="shared" si="30"/>
        <v>0.42049999999999998</v>
      </c>
      <c r="F18" s="253">
        <f t="shared" si="31"/>
        <v>-0.26281250000000006</v>
      </c>
      <c r="G18" s="99">
        <f t="shared" si="32"/>
        <v>0.21024999999999999</v>
      </c>
      <c r="H18" s="253">
        <v>-3.95</v>
      </c>
      <c r="I18" s="108">
        <v>5.32</v>
      </c>
      <c r="J18" s="253">
        <f t="shared" si="0"/>
        <v>-7.963750000000001</v>
      </c>
      <c r="K18" s="99">
        <f t="shared" si="0"/>
        <v>10.151</v>
      </c>
      <c r="L18" s="167" t="s">
        <v>144</v>
      </c>
      <c r="M18" s="236">
        <v>0.2</v>
      </c>
      <c r="N18" s="297">
        <v>7.5</v>
      </c>
      <c r="O18" s="315">
        <f t="shared" si="33"/>
        <v>0.32000000000000006</v>
      </c>
      <c r="P18" s="224">
        <f t="shared" si="17"/>
        <v>0.32000000000000006</v>
      </c>
      <c r="Q18" s="195">
        <f t="shared" si="1"/>
        <v>5.25</v>
      </c>
      <c r="R18" s="105">
        <f t="shared" si="2"/>
        <v>5.75</v>
      </c>
      <c r="S18" s="287">
        <f t="shared" si="34"/>
        <v>5.0793650793650802E-3</v>
      </c>
      <c r="T18" s="115">
        <f t="shared" si="35"/>
        <v>4.6376811594202906E-3</v>
      </c>
      <c r="U18" s="164"/>
      <c r="V18" s="253">
        <f t="shared" si="18"/>
        <v>9.5445751633986955</v>
      </c>
      <c r="W18" s="108">
        <f t="shared" si="19"/>
        <v>10.504575163398696</v>
      </c>
      <c r="X18" s="253">
        <f t="shared" si="20"/>
        <v>9.477647058823532</v>
      </c>
      <c r="Y18" s="99">
        <f t="shared" si="21"/>
        <v>10.437647058823533</v>
      </c>
      <c r="Z18" s="253">
        <f t="shared" si="22"/>
        <v>9.5981176470588263</v>
      </c>
      <c r="AA18" s="108">
        <f t="shared" si="23"/>
        <v>10.558117647058827</v>
      </c>
      <c r="AB18" s="3">
        <f t="shared" si="3"/>
        <v>7.25</v>
      </c>
      <c r="AC18" s="246">
        <f t="shared" si="4"/>
        <v>8</v>
      </c>
      <c r="AD18" s="5">
        <f t="shared" si="5"/>
        <v>-7.963750000000001</v>
      </c>
      <c r="AE18" s="105">
        <f t="shared" si="6"/>
        <v>10.151</v>
      </c>
      <c r="AF18" s="201">
        <v>67</v>
      </c>
      <c r="AG18" s="32">
        <f t="shared" si="7"/>
        <v>0.21440000000000003</v>
      </c>
      <c r="AH18" s="218" t="s">
        <v>110</v>
      </c>
      <c r="AI18" s="43">
        <f>0.2*12/8</f>
        <v>0.30000000000000004</v>
      </c>
      <c r="AJ18" s="290">
        <f t="shared" si="24"/>
        <v>0.9375</v>
      </c>
      <c r="AK18" s="282">
        <f t="shared" si="9"/>
        <v>6.2500000000000012E-3</v>
      </c>
      <c r="AL18" s="272" t="str">
        <f t="shared" si="10"/>
        <v>#4 @ 7.5</v>
      </c>
      <c r="AN18" s="2">
        <f t="shared" si="11"/>
        <v>7.25</v>
      </c>
      <c r="AO18" s="246">
        <f t="shared" si="12"/>
        <v>8</v>
      </c>
      <c r="AP18" s="167" t="str">
        <f t="shared" si="13"/>
        <v>#4 @ 7.5</v>
      </c>
      <c r="AQ18" s="169" t="str">
        <f t="shared" si="36"/>
        <v>#4 @ 8</v>
      </c>
      <c r="AR18" s="50">
        <f t="shared" si="14"/>
        <v>-7.963750000000001</v>
      </c>
      <c r="AS18" s="111">
        <f t="shared" si="15"/>
        <v>10.151</v>
      </c>
      <c r="AT18" s="50">
        <f t="shared" si="25"/>
        <v>-9.5445751633986955</v>
      </c>
      <c r="AU18" s="111">
        <f t="shared" si="28"/>
        <v>10.504575163398696</v>
      </c>
      <c r="AW18" s="156">
        <f t="shared" si="26"/>
        <v>1.1985026103781127</v>
      </c>
      <c r="AX18" s="156">
        <f t="shared" si="27"/>
        <v>1.0348315597870847</v>
      </c>
    </row>
    <row r="19" spans="1:50" x14ac:dyDescent="0.2">
      <c r="A19" s="2">
        <v>7.5</v>
      </c>
      <c r="B19" s="236">
        <v>8</v>
      </c>
      <c r="C19" s="4">
        <f t="shared" si="16"/>
        <v>9.9999999999999992E-2</v>
      </c>
      <c r="D19" s="253">
        <f t="shared" si="29"/>
        <v>-0.5625</v>
      </c>
      <c r="E19" s="108">
        <f t="shared" si="30"/>
        <v>0.45</v>
      </c>
      <c r="F19" s="253">
        <f t="shared" si="31"/>
        <v>-0.28125000000000006</v>
      </c>
      <c r="G19" s="99">
        <f t="shared" si="32"/>
        <v>0.22500000000000001</v>
      </c>
      <c r="H19" s="253">
        <v>-4.0599999999999996</v>
      </c>
      <c r="I19" s="108">
        <v>5.44</v>
      </c>
      <c r="J19" s="253">
        <f t="shared" si="0"/>
        <v>-8.23</v>
      </c>
      <c r="K19" s="99">
        <f t="shared" si="0"/>
        <v>10.420000000000002</v>
      </c>
      <c r="L19" s="167" t="s">
        <v>144</v>
      </c>
      <c r="M19" s="236">
        <v>0.2</v>
      </c>
      <c r="N19" s="297">
        <v>7.5</v>
      </c>
      <c r="O19" s="315">
        <f t="shared" si="33"/>
        <v>0.32000000000000006</v>
      </c>
      <c r="P19" s="224">
        <f t="shared" si="17"/>
        <v>0.32000000000000006</v>
      </c>
      <c r="Q19" s="195">
        <f t="shared" si="1"/>
        <v>5.25</v>
      </c>
      <c r="R19" s="105">
        <f t="shared" si="2"/>
        <v>5.75</v>
      </c>
      <c r="S19" s="287">
        <f t="shared" si="34"/>
        <v>5.0793650793650802E-3</v>
      </c>
      <c r="T19" s="115">
        <f t="shared" si="35"/>
        <v>4.6376811594202906E-3</v>
      </c>
      <c r="U19" s="164"/>
      <c r="V19" s="253">
        <f t="shared" si="18"/>
        <v>9.5445751633986955</v>
      </c>
      <c r="W19" s="108">
        <f t="shared" si="19"/>
        <v>10.504575163398696</v>
      </c>
      <c r="X19" s="253">
        <f t="shared" si="20"/>
        <v>9.477647058823532</v>
      </c>
      <c r="Y19" s="99">
        <f t="shared" si="21"/>
        <v>10.437647058823533</v>
      </c>
      <c r="Z19" s="253">
        <f t="shared" si="22"/>
        <v>9.5981176470588263</v>
      </c>
      <c r="AA19" s="108">
        <f t="shared" si="23"/>
        <v>10.558117647058827</v>
      </c>
      <c r="AB19" s="3">
        <f t="shared" si="3"/>
        <v>7.5</v>
      </c>
      <c r="AC19" s="246">
        <f t="shared" si="4"/>
        <v>8</v>
      </c>
      <c r="AD19" s="5">
        <f t="shared" si="5"/>
        <v>-8.23</v>
      </c>
      <c r="AE19" s="105">
        <f t="shared" si="6"/>
        <v>10.420000000000002</v>
      </c>
      <c r="AF19" s="201">
        <v>67</v>
      </c>
      <c r="AG19" s="32">
        <f t="shared" si="7"/>
        <v>0.21440000000000003</v>
      </c>
      <c r="AH19" s="218" t="s">
        <v>110</v>
      </c>
      <c r="AI19" s="43">
        <f>0.2*12/8</f>
        <v>0.30000000000000004</v>
      </c>
      <c r="AJ19" s="290">
        <f t="shared" si="24"/>
        <v>0.9375</v>
      </c>
      <c r="AK19" s="282">
        <f t="shared" si="9"/>
        <v>6.2500000000000012E-3</v>
      </c>
      <c r="AL19" s="272" t="str">
        <f t="shared" si="10"/>
        <v>#4 @ 7.5</v>
      </c>
      <c r="AN19" s="2">
        <f t="shared" si="11"/>
        <v>7.5</v>
      </c>
      <c r="AO19" s="246">
        <f t="shared" si="12"/>
        <v>8</v>
      </c>
      <c r="AP19" s="167" t="str">
        <f t="shared" si="13"/>
        <v>#4 @ 7.5</v>
      </c>
      <c r="AQ19" s="169" t="str">
        <f t="shared" si="36"/>
        <v>#4 @ 8</v>
      </c>
      <c r="AR19" s="50">
        <f t="shared" si="14"/>
        <v>-8.23</v>
      </c>
      <c r="AS19" s="111">
        <f t="shared" si="15"/>
        <v>10.420000000000002</v>
      </c>
      <c r="AT19" s="50">
        <f t="shared" si="25"/>
        <v>-9.5445751633986955</v>
      </c>
      <c r="AU19" s="111">
        <f t="shared" si="28"/>
        <v>10.504575163398696</v>
      </c>
      <c r="AW19" s="156">
        <f t="shared" si="26"/>
        <v>1.1597296674846531</v>
      </c>
      <c r="AX19" s="156">
        <f t="shared" si="27"/>
        <v>1.0081166183683967</v>
      </c>
    </row>
    <row r="20" spans="1:50" x14ac:dyDescent="0.2">
      <c r="A20" s="2">
        <v>7.75</v>
      </c>
      <c r="B20" s="236">
        <v>8</v>
      </c>
      <c r="C20" s="4">
        <f t="shared" si="16"/>
        <v>9.9999999999999992E-2</v>
      </c>
      <c r="D20" s="253">
        <f t="shared" si="29"/>
        <v>-0.60062499999999996</v>
      </c>
      <c r="E20" s="108">
        <f t="shared" si="30"/>
        <v>0.48049999999999998</v>
      </c>
      <c r="F20" s="253">
        <f t="shared" si="31"/>
        <v>-0.30031250000000004</v>
      </c>
      <c r="G20" s="99">
        <f t="shared" si="32"/>
        <v>0.24024999999999999</v>
      </c>
      <c r="H20" s="253">
        <v>-4.16</v>
      </c>
      <c r="I20" s="108">
        <v>5.56</v>
      </c>
      <c r="J20" s="253">
        <f t="shared" si="0"/>
        <v>-8.4812499999999993</v>
      </c>
      <c r="K20" s="99">
        <f t="shared" si="0"/>
        <v>10.690999999999999</v>
      </c>
      <c r="L20" s="167" t="s">
        <v>145</v>
      </c>
      <c r="M20" s="238">
        <v>0.2</v>
      </c>
      <c r="N20" s="297">
        <v>7</v>
      </c>
      <c r="O20" s="316">
        <f t="shared" si="33"/>
        <v>0.34285714285714292</v>
      </c>
      <c r="P20" s="225">
        <f t="shared" si="17"/>
        <v>0.34285714285714292</v>
      </c>
      <c r="Q20" s="257">
        <f t="shared" si="1"/>
        <v>5.25</v>
      </c>
      <c r="R20" s="254">
        <f t="shared" si="2"/>
        <v>5.75</v>
      </c>
      <c r="S20" s="287">
        <f>P20/(12*Q20)</f>
        <v>5.4421768707483007E-3</v>
      </c>
      <c r="T20" s="115">
        <f>P20/(12*R20)</f>
        <v>4.968944099378883E-3</v>
      </c>
      <c r="U20" s="164"/>
      <c r="V20" s="61">
        <f t="shared" si="18"/>
        <v>10.185354141656665</v>
      </c>
      <c r="W20" s="110">
        <f t="shared" si="19"/>
        <v>11.213925570228094</v>
      </c>
      <c r="X20" s="61">
        <f t="shared" si="20"/>
        <v>10.108523409363748</v>
      </c>
      <c r="Y20" s="101">
        <f t="shared" si="21"/>
        <v>11.137094837935178</v>
      </c>
      <c r="Z20" s="61">
        <f t="shared" si="22"/>
        <v>10.246818727490998</v>
      </c>
      <c r="AA20" s="110">
        <f t="shared" si="23"/>
        <v>11.275390156062427</v>
      </c>
      <c r="AB20" s="3">
        <f t="shared" si="3"/>
        <v>7.75</v>
      </c>
      <c r="AC20" s="246">
        <f t="shared" si="4"/>
        <v>8</v>
      </c>
      <c r="AD20" s="5">
        <f t="shared" si="5"/>
        <v>-8.4812499999999993</v>
      </c>
      <c r="AE20" s="105">
        <f t="shared" si="6"/>
        <v>10.690999999999999</v>
      </c>
      <c r="AF20" s="201">
        <v>67</v>
      </c>
      <c r="AG20" s="32">
        <f t="shared" si="7"/>
        <v>0.22971428571428576</v>
      </c>
      <c r="AH20" s="218" t="s">
        <v>110</v>
      </c>
      <c r="AI20" s="44">
        <f>0.2*12/8</f>
        <v>0.30000000000000004</v>
      </c>
      <c r="AJ20" s="291">
        <f t="shared" si="24"/>
        <v>0.875</v>
      </c>
      <c r="AK20" s="282">
        <f t="shared" si="9"/>
        <v>6.2500000000000012E-3</v>
      </c>
      <c r="AL20" s="272" t="str">
        <f t="shared" si="10"/>
        <v>#4 @ 7</v>
      </c>
      <c r="AN20" s="2">
        <f t="shared" si="11"/>
        <v>7.75</v>
      </c>
      <c r="AO20" s="246">
        <f t="shared" si="12"/>
        <v>8</v>
      </c>
      <c r="AP20" s="167" t="str">
        <f t="shared" si="13"/>
        <v>#4 @ 7</v>
      </c>
      <c r="AQ20" s="169" t="str">
        <f t="shared" si="36"/>
        <v>#4 @ 8</v>
      </c>
      <c r="AR20" s="50">
        <f t="shared" si="14"/>
        <v>-8.4812499999999993</v>
      </c>
      <c r="AS20" s="193">
        <f t="shared" si="15"/>
        <v>10.690999999999999</v>
      </c>
      <c r="AT20" s="52">
        <f t="shared" si="25"/>
        <v>-10.185354141656665</v>
      </c>
      <c r="AU20" s="113">
        <f t="shared" si="28"/>
        <v>11.213925570228094</v>
      </c>
      <c r="AW20" s="156">
        <f t="shared" si="26"/>
        <v>1.2009260594436748</v>
      </c>
      <c r="AX20" s="156">
        <f t="shared" si="27"/>
        <v>1.0489126901345145</v>
      </c>
    </row>
    <row r="21" spans="1:50" x14ac:dyDescent="0.2">
      <c r="A21" s="17">
        <v>8</v>
      </c>
      <c r="B21" s="237">
        <v>8</v>
      </c>
      <c r="C21" s="42">
        <f t="shared" si="16"/>
        <v>9.9999999999999992E-2</v>
      </c>
      <c r="D21" s="255">
        <f t="shared" si="29"/>
        <v>-0.64</v>
      </c>
      <c r="E21" s="109">
        <f t="shared" si="30"/>
        <v>0.51200000000000001</v>
      </c>
      <c r="F21" s="255">
        <f t="shared" si="31"/>
        <v>-0.32000000000000006</v>
      </c>
      <c r="G21" s="100">
        <f t="shared" si="32"/>
        <v>0.25600000000000001</v>
      </c>
      <c r="H21" s="255">
        <v>-4.26</v>
      </c>
      <c r="I21" s="109">
        <v>5.69</v>
      </c>
      <c r="J21" s="255">
        <f t="shared" si="0"/>
        <v>-8.7349999999999994</v>
      </c>
      <c r="K21" s="100">
        <f t="shared" si="0"/>
        <v>10.9815</v>
      </c>
      <c r="L21" s="173" t="s">
        <v>145</v>
      </c>
      <c r="M21" s="237">
        <v>0.2</v>
      </c>
      <c r="N21" s="317">
        <v>7</v>
      </c>
      <c r="O21" s="315">
        <f t="shared" si="33"/>
        <v>0.34285714285714292</v>
      </c>
      <c r="P21" s="224">
        <f t="shared" si="17"/>
        <v>0.34285714285714292</v>
      </c>
      <c r="Q21" s="195">
        <f t="shared" ref="Q21:Q37" si="37">B21-2.5-0.5/2</f>
        <v>5.25</v>
      </c>
      <c r="R21" s="105">
        <f t="shared" ref="R21:R37" si="38">B21-1.5-0.5/2-0.5</f>
        <v>5.75</v>
      </c>
      <c r="S21" s="288">
        <f>P21/(12*Q21)</f>
        <v>5.4421768707483007E-3</v>
      </c>
      <c r="T21" s="116">
        <f>P21/(12*R21)</f>
        <v>4.968944099378883E-3</v>
      </c>
      <c r="U21" s="164"/>
      <c r="V21" s="253">
        <f t="shared" si="18"/>
        <v>10.185354141656665</v>
      </c>
      <c r="W21" s="108">
        <f t="shared" si="19"/>
        <v>11.213925570228094</v>
      </c>
      <c r="X21" s="253">
        <f t="shared" si="20"/>
        <v>10.108523409363748</v>
      </c>
      <c r="Y21" s="99">
        <f t="shared" si="21"/>
        <v>11.137094837935178</v>
      </c>
      <c r="Z21" s="253">
        <f t="shared" si="22"/>
        <v>10.246818727490998</v>
      </c>
      <c r="AA21" s="108">
        <f t="shared" si="23"/>
        <v>11.275390156062427</v>
      </c>
      <c r="AB21" s="18">
        <f t="shared" si="3"/>
        <v>8</v>
      </c>
      <c r="AC21" s="247">
        <f t="shared" si="4"/>
        <v>8</v>
      </c>
      <c r="AD21" s="20">
        <f t="shared" si="5"/>
        <v>-8.7349999999999994</v>
      </c>
      <c r="AE21" s="106">
        <f t="shared" si="6"/>
        <v>10.9815</v>
      </c>
      <c r="AF21" s="244">
        <v>67</v>
      </c>
      <c r="AG21" s="33">
        <f t="shared" si="7"/>
        <v>0.22971428571428576</v>
      </c>
      <c r="AH21" s="220" t="s">
        <v>110</v>
      </c>
      <c r="AI21" s="43">
        <f t="shared" ref="AI21:AI24" si="39">0.2*12/8</f>
        <v>0.30000000000000004</v>
      </c>
      <c r="AJ21" s="290">
        <f t="shared" si="24"/>
        <v>0.875</v>
      </c>
      <c r="AK21" s="283">
        <f t="shared" si="9"/>
        <v>6.2500000000000012E-3</v>
      </c>
      <c r="AL21" s="274" t="str">
        <f t="shared" si="10"/>
        <v>#4 @ 7</v>
      </c>
      <c r="AN21" s="17">
        <f t="shared" si="11"/>
        <v>8</v>
      </c>
      <c r="AO21" s="247">
        <f t="shared" si="12"/>
        <v>8</v>
      </c>
      <c r="AP21" s="170" t="str">
        <f t="shared" si="13"/>
        <v>#4 @ 7</v>
      </c>
      <c r="AQ21" s="174" t="str">
        <f t="shared" si="36"/>
        <v>#4 @ 8</v>
      </c>
      <c r="AR21" s="51">
        <f t="shared" si="14"/>
        <v>-8.7349999999999994</v>
      </c>
      <c r="AS21" s="112">
        <f t="shared" si="15"/>
        <v>10.9815</v>
      </c>
      <c r="AT21" s="50">
        <f t="shared" si="25"/>
        <v>-10.185354141656665</v>
      </c>
      <c r="AU21" s="111">
        <f t="shared" si="28"/>
        <v>11.213925570228094</v>
      </c>
      <c r="AW21" s="156">
        <f t="shared" si="26"/>
        <v>1.166039398014501</v>
      </c>
      <c r="AX21" s="156">
        <f t="shared" si="27"/>
        <v>1.0211651933003774</v>
      </c>
    </row>
    <row r="22" spans="1:50" x14ac:dyDescent="0.2">
      <c r="A22" s="2">
        <v>8.25</v>
      </c>
      <c r="B22" s="236">
        <v>8</v>
      </c>
      <c r="C22" s="43">
        <f t="shared" si="16"/>
        <v>9.9999999999999992E-2</v>
      </c>
      <c r="D22" s="253">
        <f t="shared" si="29"/>
        <v>-0.68062500000000004</v>
      </c>
      <c r="E22" s="108">
        <f t="shared" si="30"/>
        <v>0.54449999999999998</v>
      </c>
      <c r="F22" s="253">
        <f t="shared" si="31"/>
        <v>-0.34031250000000007</v>
      </c>
      <c r="G22" s="99">
        <f t="shared" si="32"/>
        <v>0.27224999999999999</v>
      </c>
      <c r="H22" s="253">
        <v>-4.34</v>
      </c>
      <c r="I22" s="108">
        <v>5.83</v>
      </c>
      <c r="J22" s="253">
        <f t="shared" si="0"/>
        <v>-8.9562500000000007</v>
      </c>
      <c r="K22" s="99">
        <f t="shared" si="0"/>
        <v>11.291500000000001</v>
      </c>
      <c r="L22" s="167" t="s">
        <v>42</v>
      </c>
      <c r="M22" s="236">
        <v>0.2</v>
      </c>
      <c r="N22" s="297">
        <v>6.5</v>
      </c>
      <c r="O22" s="315">
        <f t="shared" si="33"/>
        <v>0.36923076923076931</v>
      </c>
      <c r="P22" s="224">
        <f t="shared" si="17"/>
        <v>0.36923076923076931</v>
      </c>
      <c r="Q22" s="195">
        <f t="shared" si="37"/>
        <v>5.25</v>
      </c>
      <c r="R22" s="105">
        <f t="shared" si="38"/>
        <v>5.75</v>
      </c>
      <c r="S22" s="287">
        <f t="shared" si="34"/>
        <v>5.8608058608058617E-3</v>
      </c>
      <c r="T22" s="115">
        <f t="shared" si="35"/>
        <v>5.3511705685618744E-3</v>
      </c>
      <c r="U22" s="164"/>
      <c r="V22" s="253">
        <f t="shared" si="18"/>
        <v>10.917925513400631</v>
      </c>
      <c r="W22" s="108">
        <f t="shared" si="19"/>
        <v>12.025617821092936</v>
      </c>
      <c r="X22" s="253">
        <f t="shared" si="20"/>
        <v>10.828820048729552</v>
      </c>
      <c r="Y22" s="99">
        <f t="shared" si="21"/>
        <v>11.93651235642186</v>
      </c>
      <c r="Z22" s="253">
        <f t="shared" si="22"/>
        <v>10.989209885137489</v>
      </c>
      <c r="AA22" s="108">
        <f t="shared" si="23"/>
        <v>12.096902192829797</v>
      </c>
      <c r="AB22" s="3">
        <f t="shared" si="3"/>
        <v>8.25</v>
      </c>
      <c r="AC22" s="246">
        <f t="shared" si="4"/>
        <v>8</v>
      </c>
      <c r="AD22" s="5">
        <f t="shared" si="5"/>
        <v>-8.9562500000000007</v>
      </c>
      <c r="AE22" s="105">
        <f t="shared" si="6"/>
        <v>11.291500000000001</v>
      </c>
      <c r="AF22" s="201">
        <v>67</v>
      </c>
      <c r="AG22" s="32">
        <f t="shared" si="7"/>
        <v>0.24738461538461542</v>
      </c>
      <c r="AH22" s="218" t="s">
        <v>110</v>
      </c>
      <c r="AI22" s="43">
        <f t="shared" si="39"/>
        <v>0.30000000000000004</v>
      </c>
      <c r="AJ22" s="290">
        <f t="shared" si="24"/>
        <v>0.8125</v>
      </c>
      <c r="AK22" s="282">
        <f t="shared" si="9"/>
        <v>6.2500000000000012E-3</v>
      </c>
      <c r="AL22" s="272" t="str">
        <f t="shared" si="10"/>
        <v>#4 @ 6.5</v>
      </c>
      <c r="AN22" s="2">
        <f t="shared" si="11"/>
        <v>8.25</v>
      </c>
      <c r="AO22" s="246">
        <f t="shared" si="12"/>
        <v>8</v>
      </c>
      <c r="AP22" s="171" t="str">
        <f t="shared" si="13"/>
        <v>#4 @ 6.5</v>
      </c>
      <c r="AQ22" s="169" t="str">
        <f t="shared" si="36"/>
        <v>#4 @ 8</v>
      </c>
      <c r="AR22" s="50">
        <f t="shared" si="14"/>
        <v>-8.9562500000000007</v>
      </c>
      <c r="AS22" s="111">
        <f t="shared" si="15"/>
        <v>11.291500000000001</v>
      </c>
      <c r="AT22" s="50">
        <f t="shared" si="25"/>
        <v>-10.917925513400631</v>
      </c>
      <c r="AU22" s="111">
        <f t="shared" si="28"/>
        <v>12.025617821092936</v>
      </c>
      <c r="AW22" s="156">
        <f t="shared" si="26"/>
        <v>1.2190286686281233</v>
      </c>
      <c r="AX22" s="156">
        <f t="shared" si="27"/>
        <v>1.0650150840094703</v>
      </c>
    </row>
    <row r="23" spans="1:50" x14ac:dyDescent="0.2">
      <c r="A23" s="2">
        <v>8.5</v>
      </c>
      <c r="B23" s="236">
        <v>8</v>
      </c>
      <c r="C23" s="43">
        <f t="shared" si="16"/>
        <v>9.9999999999999992E-2</v>
      </c>
      <c r="D23" s="253">
        <f t="shared" si="29"/>
        <v>-0.72250000000000003</v>
      </c>
      <c r="E23" s="108">
        <f t="shared" si="30"/>
        <v>0.57799999999999996</v>
      </c>
      <c r="F23" s="253">
        <f t="shared" si="31"/>
        <v>-0.36125000000000007</v>
      </c>
      <c r="G23" s="99">
        <f t="shared" si="32"/>
        <v>0.28899999999999998</v>
      </c>
      <c r="H23" s="253">
        <v>-4.42</v>
      </c>
      <c r="I23" s="108">
        <v>5.99</v>
      </c>
      <c r="J23" s="253">
        <f t="shared" ref="J23:K37" si="40">1.25*D23+1.5*F23+1.75*H23</f>
        <v>-9.18</v>
      </c>
      <c r="K23" s="99">
        <f t="shared" si="40"/>
        <v>11.638500000000001</v>
      </c>
      <c r="L23" s="167" t="s">
        <v>42</v>
      </c>
      <c r="M23" s="236">
        <v>0.2</v>
      </c>
      <c r="N23" s="297">
        <v>6.5</v>
      </c>
      <c r="O23" s="315">
        <f t="shared" si="33"/>
        <v>0.36923076923076931</v>
      </c>
      <c r="P23" s="224">
        <f t="shared" si="17"/>
        <v>0.36923076923076931</v>
      </c>
      <c r="Q23" s="195">
        <f t="shared" si="37"/>
        <v>5.25</v>
      </c>
      <c r="R23" s="105">
        <f t="shared" si="38"/>
        <v>5.75</v>
      </c>
      <c r="S23" s="287">
        <f t="shared" si="34"/>
        <v>5.8608058608058617E-3</v>
      </c>
      <c r="T23" s="115">
        <f t="shared" si="35"/>
        <v>5.3511705685618744E-3</v>
      </c>
      <c r="U23" s="164"/>
      <c r="V23" s="253">
        <f t="shared" si="18"/>
        <v>10.917925513400631</v>
      </c>
      <c r="W23" s="108">
        <f t="shared" si="19"/>
        <v>12.025617821092936</v>
      </c>
      <c r="X23" s="253">
        <f t="shared" si="20"/>
        <v>10.828820048729552</v>
      </c>
      <c r="Y23" s="99">
        <f t="shared" si="21"/>
        <v>11.93651235642186</v>
      </c>
      <c r="Z23" s="253">
        <f t="shared" si="22"/>
        <v>10.989209885137489</v>
      </c>
      <c r="AA23" s="108">
        <f t="shared" si="23"/>
        <v>12.096902192829797</v>
      </c>
      <c r="AB23" s="3">
        <f t="shared" si="3"/>
        <v>8.5</v>
      </c>
      <c r="AC23" s="246">
        <f t="shared" si="4"/>
        <v>8</v>
      </c>
      <c r="AD23" s="5">
        <f t="shared" si="5"/>
        <v>-9.18</v>
      </c>
      <c r="AE23" s="105">
        <f t="shared" si="6"/>
        <v>11.638500000000001</v>
      </c>
      <c r="AF23" s="201">
        <v>67</v>
      </c>
      <c r="AG23" s="32">
        <f t="shared" si="7"/>
        <v>0.24738461538461542</v>
      </c>
      <c r="AH23" s="218" t="s">
        <v>110</v>
      </c>
      <c r="AI23" s="43">
        <f t="shared" si="39"/>
        <v>0.30000000000000004</v>
      </c>
      <c r="AJ23" s="290">
        <f t="shared" si="24"/>
        <v>0.8125</v>
      </c>
      <c r="AK23" s="282">
        <f t="shared" si="9"/>
        <v>6.2500000000000012E-3</v>
      </c>
      <c r="AL23" s="272" t="str">
        <f t="shared" si="10"/>
        <v>#4 @ 6.5</v>
      </c>
      <c r="AN23" s="2">
        <f t="shared" si="11"/>
        <v>8.5</v>
      </c>
      <c r="AO23" s="246">
        <f t="shared" si="12"/>
        <v>8</v>
      </c>
      <c r="AP23" s="171" t="str">
        <f t="shared" si="13"/>
        <v>#4 @ 6.5</v>
      </c>
      <c r="AQ23" s="169" t="str">
        <f t="shared" si="36"/>
        <v>#4 @ 8</v>
      </c>
      <c r="AR23" s="50">
        <f t="shared" ref="AR23:AS37" si="41">AD23</f>
        <v>-9.18</v>
      </c>
      <c r="AS23" s="111">
        <f t="shared" si="41"/>
        <v>11.638500000000001</v>
      </c>
      <c r="AT23" s="50">
        <f t="shared" si="25"/>
        <v>-10.917925513400631</v>
      </c>
      <c r="AU23" s="111">
        <f t="shared" si="28"/>
        <v>12.025617821092936</v>
      </c>
      <c r="AW23" s="156">
        <f t="shared" si="26"/>
        <v>1.1893165047277376</v>
      </c>
      <c r="AX23" s="156">
        <f t="shared" si="27"/>
        <v>1.0332618310858732</v>
      </c>
    </row>
    <row r="24" spans="1:50" x14ac:dyDescent="0.2">
      <c r="A24" s="8">
        <v>8.75</v>
      </c>
      <c r="B24" s="238">
        <v>8</v>
      </c>
      <c r="C24" s="44">
        <f t="shared" si="16"/>
        <v>9.9999999999999992E-2</v>
      </c>
      <c r="D24" s="61">
        <f t="shared" si="29"/>
        <v>-0.765625</v>
      </c>
      <c r="E24" s="110">
        <f t="shared" si="30"/>
        <v>0.61250000000000004</v>
      </c>
      <c r="F24" s="61">
        <f t="shared" si="31"/>
        <v>-0.38281250000000006</v>
      </c>
      <c r="G24" s="101">
        <f t="shared" si="32"/>
        <v>0.30625000000000002</v>
      </c>
      <c r="H24" s="61">
        <v>-4.5</v>
      </c>
      <c r="I24" s="110">
        <v>6.14</v>
      </c>
      <c r="J24" s="61">
        <f t="shared" si="40"/>
        <v>-9.40625</v>
      </c>
      <c r="K24" s="101">
        <f t="shared" si="40"/>
        <v>11.969999999999999</v>
      </c>
      <c r="L24" s="168" t="s">
        <v>42</v>
      </c>
      <c r="M24" s="238">
        <v>0.2</v>
      </c>
      <c r="N24" s="298">
        <v>6.5</v>
      </c>
      <c r="O24" s="316">
        <f t="shared" si="33"/>
        <v>0.36923076923076931</v>
      </c>
      <c r="P24" s="225">
        <f t="shared" si="17"/>
        <v>0.36923076923076931</v>
      </c>
      <c r="Q24" s="257">
        <f t="shared" si="37"/>
        <v>5.25</v>
      </c>
      <c r="R24" s="254">
        <f t="shared" si="38"/>
        <v>5.75</v>
      </c>
      <c r="S24" s="289">
        <f t="shared" si="34"/>
        <v>5.8608058608058617E-3</v>
      </c>
      <c r="T24" s="117">
        <f t="shared" si="35"/>
        <v>5.3511705685618744E-3</v>
      </c>
      <c r="U24" s="164"/>
      <c r="V24" s="61">
        <f t="shared" si="18"/>
        <v>10.917925513400631</v>
      </c>
      <c r="W24" s="110">
        <f t="shared" si="19"/>
        <v>12.025617821092936</v>
      </c>
      <c r="X24" s="61">
        <f t="shared" si="20"/>
        <v>10.828820048729552</v>
      </c>
      <c r="Y24" s="101">
        <f t="shared" si="21"/>
        <v>11.93651235642186</v>
      </c>
      <c r="Z24" s="61">
        <f t="shared" si="22"/>
        <v>10.989209885137489</v>
      </c>
      <c r="AA24" s="110">
        <f t="shared" si="23"/>
        <v>12.096902192829797</v>
      </c>
      <c r="AB24" s="9">
        <f t="shared" si="3"/>
        <v>8.75</v>
      </c>
      <c r="AC24" s="60">
        <f t="shared" si="4"/>
        <v>8</v>
      </c>
      <c r="AD24" s="11">
        <f t="shared" si="5"/>
        <v>-9.40625</v>
      </c>
      <c r="AE24" s="107">
        <f t="shared" si="6"/>
        <v>11.969999999999999</v>
      </c>
      <c r="AF24" s="245">
        <v>67</v>
      </c>
      <c r="AG24" s="34">
        <f t="shared" si="7"/>
        <v>0.24738461538461542</v>
      </c>
      <c r="AH24" s="219" t="s">
        <v>110</v>
      </c>
      <c r="AI24" s="44">
        <f t="shared" si="39"/>
        <v>0.30000000000000004</v>
      </c>
      <c r="AJ24" s="291">
        <f t="shared" si="24"/>
        <v>0.8125</v>
      </c>
      <c r="AK24" s="284">
        <f t="shared" si="9"/>
        <v>6.2500000000000012E-3</v>
      </c>
      <c r="AL24" s="273" t="str">
        <f t="shared" si="10"/>
        <v>#4 @ 6.5</v>
      </c>
      <c r="AN24" s="8">
        <f t="shared" si="11"/>
        <v>8.75</v>
      </c>
      <c r="AO24" s="60">
        <f t="shared" si="12"/>
        <v>8</v>
      </c>
      <c r="AP24" s="172" t="str">
        <f t="shared" si="13"/>
        <v>#4 @ 6.5</v>
      </c>
      <c r="AQ24" s="175" t="str">
        <f t="shared" si="36"/>
        <v>#4 @ 8</v>
      </c>
      <c r="AR24" s="52">
        <f t="shared" si="41"/>
        <v>-9.40625</v>
      </c>
      <c r="AS24" s="113">
        <f t="shared" si="41"/>
        <v>11.969999999999999</v>
      </c>
      <c r="AT24" s="52">
        <f t="shared" si="25"/>
        <v>-10.917925513400631</v>
      </c>
      <c r="AU24" s="113">
        <f t="shared" si="28"/>
        <v>12.025617821092936</v>
      </c>
      <c r="AW24" s="156">
        <f t="shared" si="26"/>
        <v>1.160709689132293</v>
      </c>
      <c r="AX24" s="155">
        <f t="shared" si="27"/>
        <v>1.0046464345106882</v>
      </c>
    </row>
    <row r="25" spans="1:50" x14ac:dyDescent="0.2">
      <c r="A25" s="2">
        <v>9</v>
      </c>
      <c r="B25" s="236">
        <v>8.25</v>
      </c>
      <c r="C25" s="4">
        <f t="shared" si="16"/>
        <v>0.10312499999999999</v>
      </c>
      <c r="D25" s="253">
        <f t="shared" si="29"/>
        <v>-0.83531250000000001</v>
      </c>
      <c r="E25" s="108">
        <f t="shared" si="30"/>
        <v>0.66825000000000001</v>
      </c>
      <c r="F25" s="253">
        <f t="shared" si="31"/>
        <v>-0.40500000000000008</v>
      </c>
      <c r="G25" s="99">
        <f t="shared" si="32"/>
        <v>0.32400000000000001</v>
      </c>
      <c r="H25" s="253">
        <v>-4.5599999999999996</v>
      </c>
      <c r="I25" s="108">
        <v>6.29</v>
      </c>
      <c r="J25" s="253">
        <f t="shared" si="40"/>
        <v>-9.6316406249999993</v>
      </c>
      <c r="K25" s="99">
        <f t="shared" si="40"/>
        <v>12.3288125</v>
      </c>
      <c r="L25" s="167" t="s">
        <v>42</v>
      </c>
      <c r="M25" s="236">
        <v>0.2</v>
      </c>
      <c r="N25" s="297">
        <v>6.5</v>
      </c>
      <c r="O25" s="315">
        <f t="shared" si="33"/>
        <v>0.36923076923076931</v>
      </c>
      <c r="P25" s="224">
        <f t="shared" si="17"/>
        <v>0.36923076923076931</v>
      </c>
      <c r="Q25" s="195">
        <f t="shared" si="37"/>
        <v>5.5</v>
      </c>
      <c r="R25" s="105">
        <f t="shared" si="38"/>
        <v>6</v>
      </c>
      <c r="S25" s="287">
        <f t="shared" si="34"/>
        <v>5.5944055944055953E-3</v>
      </c>
      <c r="T25" s="115">
        <f t="shared" si="35"/>
        <v>5.1282051282051291E-3</v>
      </c>
      <c r="U25" s="164"/>
      <c r="V25" s="253">
        <f t="shared" si="18"/>
        <v>11.471771667246783</v>
      </c>
      <c r="W25" s="108">
        <f t="shared" si="19"/>
        <v>12.57946397493909</v>
      </c>
      <c r="X25" s="253">
        <f t="shared" si="20"/>
        <v>11.382666202575706</v>
      </c>
      <c r="Y25" s="99">
        <f t="shared" si="21"/>
        <v>12.490358510268015</v>
      </c>
      <c r="Z25" s="253">
        <f t="shared" si="22"/>
        <v>11.543056038983643</v>
      </c>
      <c r="AA25" s="108">
        <f t="shared" si="23"/>
        <v>12.650748346675952</v>
      </c>
      <c r="AB25" s="3">
        <f t="shared" si="3"/>
        <v>9</v>
      </c>
      <c r="AC25" s="246">
        <f t="shared" si="4"/>
        <v>8.25</v>
      </c>
      <c r="AD25" s="5">
        <f t="shared" si="5"/>
        <v>-9.6316406249999993</v>
      </c>
      <c r="AE25" s="105">
        <f t="shared" si="6"/>
        <v>12.3288125</v>
      </c>
      <c r="AF25" s="201">
        <v>67</v>
      </c>
      <c r="AG25" s="32">
        <f t="shared" si="7"/>
        <v>0.24738461538461542</v>
      </c>
      <c r="AH25" s="220" t="s">
        <v>144</v>
      </c>
      <c r="AI25" s="43">
        <f>0.2*12/7.5</f>
        <v>0.32000000000000006</v>
      </c>
      <c r="AJ25" s="290">
        <f t="shared" si="24"/>
        <v>0.8666666666666667</v>
      </c>
      <c r="AK25" s="282">
        <f t="shared" si="9"/>
        <v>6.4646464646464655E-3</v>
      </c>
      <c r="AL25" s="272" t="str">
        <f t="shared" si="10"/>
        <v>#4 @ 6.5</v>
      </c>
      <c r="AN25" s="2">
        <f t="shared" si="11"/>
        <v>9</v>
      </c>
      <c r="AO25" s="246">
        <f t="shared" si="12"/>
        <v>8.25</v>
      </c>
      <c r="AP25" s="171" t="str">
        <f t="shared" si="13"/>
        <v>#4 @ 6.5</v>
      </c>
      <c r="AQ25" s="169" t="str">
        <f t="shared" si="36"/>
        <v>#4 @ 7.5</v>
      </c>
      <c r="AR25" s="157">
        <f t="shared" si="41"/>
        <v>-9.6316406249999993</v>
      </c>
      <c r="AS25" s="111">
        <f t="shared" si="41"/>
        <v>12.3288125</v>
      </c>
      <c r="AT25" s="50">
        <f t="shared" si="25"/>
        <v>-11.471771667246783</v>
      </c>
      <c r="AU25" s="111">
        <f t="shared" si="28"/>
        <v>12.57946397493909</v>
      </c>
      <c r="AW25" s="156">
        <f t="shared" si="26"/>
        <v>1.1910506334165456</v>
      </c>
      <c r="AX25" s="156">
        <f t="shared" si="27"/>
        <v>1.0203305448062487</v>
      </c>
    </row>
    <row r="26" spans="1:50" x14ac:dyDescent="0.2">
      <c r="A26" s="2">
        <v>9.25</v>
      </c>
      <c r="B26" s="236">
        <v>8.25</v>
      </c>
      <c r="C26" s="4">
        <f t="shared" si="16"/>
        <v>0.10312499999999999</v>
      </c>
      <c r="D26" s="253">
        <f t="shared" si="29"/>
        <v>-0.88236328125000008</v>
      </c>
      <c r="E26" s="108">
        <f t="shared" si="30"/>
        <v>0.70589062499999999</v>
      </c>
      <c r="F26" s="253">
        <f t="shared" si="31"/>
        <v>-0.4278125000000001</v>
      </c>
      <c r="G26" s="99">
        <f t="shared" si="32"/>
        <v>0.34225</v>
      </c>
      <c r="H26" s="253">
        <v>-4.66</v>
      </c>
      <c r="I26" s="108">
        <v>6.44</v>
      </c>
      <c r="J26" s="253">
        <f t="shared" si="40"/>
        <v>-9.8996728515625012</v>
      </c>
      <c r="K26" s="99">
        <f t="shared" si="40"/>
        <v>12.66573828125</v>
      </c>
      <c r="L26" s="167" t="s">
        <v>11</v>
      </c>
      <c r="M26" s="236">
        <v>0.2</v>
      </c>
      <c r="N26" s="297">
        <v>6</v>
      </c>
      <c r="O26" s="315">
        <f t="shared" si="33"/>
        <v>0.40000000000000008</v>
      </c>
      <c r="P26" s="224">
        <f t="shared" si="17"/>
        <v>0.40000000000000008</v>
      </c>
      <c r="Q26" s="195">
        <f t="shared" si="37"/>
        <v>5.5</v>
      </c>
      <c r="R26" s="105">
        <f t="shared" si="38"/>
        <v>6</v>
      </c>
      <c r="S26" s="287">
        <f t="shared" si="34"/>
        <v>6.0606060606060615E-3</v>
      </c>
      <c r="T26" s="115">
        <f t="shared" si="35"/>
        <v>5.5555555555555566E-3</v>
      </c>
      <c r="U26" s="164"/>
      <c r="V26" s="253">
        <f t="shared" si="18"/>
        <v>12.363398692810462</v>
      </c>
      <c r="W26" s="108">
        <f t="shared" si="19"/>
        <v>13.563398692810461</v>
      </c>
      <c r="X26" s="253">
        <f t="shared" si="20"/>
        <v>12.258823529411766</v>
      </c>
      <c r="Y26" s="99">
        <f t="shared" si="21"/>
        <v>13.458823529411767</v>
      </c>
      <c r="Z26" s="253">
        <f t="shared" si="22"/>
        <v>12.447058823529416</v>
      </c>
      <c r="AA26" s="108">
        <f t="shared" si="23"/>
        <v>13.647058823529415</v>
      </c>
      <c r="AB26" s="3">
        <f t="shared" si="3"/>
        <v>9.25</v>
      </c>
      <c r="AC26" s="246">
        <f t="shared" si="4"/>
        <v>8.25</v>
      </c>
      <c r="AD26" s="5">
        <f t="shared" si="5"/>
        <v>-9.8996728515625012</v>
      </c>
      <c r="AE26" s="105">
        <f t="shared" si="6"/>
        <v>12.66573828125</v>
      </c>
      <c r="AF26" s="201">
        <v>67</v>
      </c>
      <c r="AG26" s="32">
        <f t="shared" si="7"/>
        <v>0.26800000000000002</v>
      </c>
      <c r="AH26" s="218" t="s">
        <v>144</v>
      </c>
      <c r="AI26" s="43">
        <f t="shared" ref="AI26:AI30" si="42">0.2*12/7.5</f>
        <v>0.32000000000000006</v>
      </c>
      <c r="AJ26" s="290">
        <f t="shared" si="24"/>
        <v>0.8</v>
      </c>
      <c r="AK26" s="282">
        <f t="shared" si="9"/>
        <v>6.4646464646464655E-3</v>
      </c>
      <c r="AL26" s="272" t="str">
        <f t="shared" si="10"/>
        <v>#4 @ 6</v>
      </c>
      <c r="AN26" s="2">
        <f t="shared" si="11"/>
        <v>9.25</v>
      </c>
      <c r="AO26" s="246">
        <f t="shared" si="12"/>
        <v>8.25</v>
      </c>
      <c r="AP26" s="171" t="str">
        <f t="shared" si="13"/>
        <v>#4 @ 6</v>
      </c>
      <c r="AQ26" s="169" t="str">
        <f t="shared" si="36"/>
        <v>#4 @ 7.5</v>
      </c>
      <c r="AR26" s="157">
        <f t="shared" si="41"/>
        <v>-9.8996728515625012</v>
      </c>
      <c r="AS26" s="111">
        <f t="shared" si="41"/>
        <v>12.66573828125</v>
      </c>
      <c r="AT26" s="50">
        <f t="shared" si="25"/>
        <v>-12.363398692810462</v>
      </c>
      <c r="AU26" s="111">
        <f t="shared" si="28"/>
        <v>13.563398692810461</v>
      </c>
      <c r="AW26" s="156">
        <f t="shared" si="26"/>
        <v>1.2488694200494819</v>
      </c>
      <c r="AX26" s="156">
        <f t="shared" si="27"/>
        <v>1.0708731217736696</v>
      </c>
    </row>
    <row r="27" spans="1:50" x14ac:dyDescent="0.2">
      <c r="A27" s="2">
        <v>9.5</v>
      </c>
      <c r="B27" s="236">
        <v>8.5</v>
      </c>
      <c r="C27" s="4">
        <f t="shared" si="16"/>
        <v>0.10625</v>
      </c>
      <c r="D27" s="253">
        <f t="shared" si="29"/>
        <v>-0.95890625000000007</v>
      </c>
      <c r="E27" s="108">
        <f t="shared" si="30"/>
        <v>0.76712500000000006</v>
      </c>
      <c r="F27" s="253">
        <f t="shared" si="31"/>
        <v>-0.4512500000000001</v>
      </c>
      <c r="G27" s="99">
        <f t="shared" si="32"/>
        <v>0.36099999999999999</v>
      </c>
      <c r="H27" s="253">
        <v>-4.93</v>
      </c>
      <c r="I27" s="108">
        <v>6.59</v>
      </c>
      <c r="J27" s="253">
        <f t="shared" si="40"/>
        <v>-10.5030078125</v>
      </c>
      <c r="K27" s="99">
        <f t="shared" si="40"/>
        <v>13.03290625</v>
      </c>
      <c r="L27" s="167" t="s">
        <v>11</v>
      </c>
      <c r="M27" s="236">
        <v>0.2</v>
      </c>
      <c r="N27" s="297">
        <v>6</v>
      </c>
      <c r="O27" s="315">
        <f t="shared" si="33"/>
        <v>0.40000000000000008</v>
      </c>
      <c r="P27" s="224">
        <f t="shared" si="17"/>
        <v>0.40000000000000008</v>
      </c>
      <c r="Q27" s="195">
        <f t="shared" si="37"/>
        <v>5.75</v>
      </c>
      <c r="R27" s="105">
        <f t="shared" si="38"/>
        <v>6.25</v>
      </c>
      <c r="S27" s="287">
        <f t="shared" si="34"/>
        <v>5.7971014492753633E-3</v>
      </c>
      <c r="T27" s="115">
        <f t="shared" si="35"/>
        <v>5.333333333333334E-3</v>
      </c>
      <c r="U27" s="164"/>
      <c r="V27" s="253">
        <f t="shared" si="18"/>
        <v>12.963398692810459</v>
      </c>
      <c r="W27" s="108">
        <f t="shared" si="19"/>
        <v>14.16339869281046</v>
      </c>
      <c r="X27" s="253">
        <f t="shared" si="20"/>
        <v>12.858823529411767</v>
      </c>
      <c r="Y27" s="99">
        <f t="shared" si="21"/>
        <v>14.058823529411768</v>
      </c>
      <c r="Z27" s="253">
        <f t="shared" si="22"/>
        <v>13.047058823529417</v>
      </c>
      <c r="AA27" s="108">
        <f t="shared" si="23"/>
        <v>14.247058823529416</v>
      </c>
      <c r="AB27" s="3">
        <f t="shared" si="3"/>
        <v>9.5</v>
      </c>
      <c r="AC27" s="246">
        <f t="shared" si="4"/>
        <v>8.5</v>
      </c>
      <c r="AD27" s="5">
        <f t="shared" si="5"/>
        <v>-10.5030078125</v>
      </c>
      <c r="AE27" s="105">
        <f t="shared" si="6"/>
        <v>13.03290625</v>
      </c>
      <c r="AF27" s="201">
        <v>67</v>
      </c>
      <c r="AG27" s="32">
        <f t="shared" si="7"/>
        <v>0.26800000000000002</v>
      </c>
      <c r="AH27" s="218" t="s">
        <v>144</v>
      </c>
      <c r="AI27" s="43">
        <f t="shared" si="42"/>
        <v>0.32000000000000006</v>
      </c>
      <c r="AJ27" s="290">
        <f t="shared" si="24"/>
        <v>0.8</v>
      </c>
      <c r="AK27" s="282">
        <f t="shared" si="9"/>
        <v>6.2745098039215701E-3</v>
      </c>
      <c r="AL27" s="272" t="str">
        <f t="shared" si="10"/>
        <v>#4 @ 6</v>
      </c>
      <c r="AN27" s="2">
        <f t="shared" si="11"/>
        <v>9.5</v>
      </c>
      <c r="AO27" s="246">
        <f t="shared" si="12"/>
        <v>8.5</v>
      </c>
      <c r="AP27" s="171" t="str">
        <f t="shared" si="13"/>
        <v>#4 @ 6</v>
      </c>
      <c r="AQ27" s="169" t="str">
        <f t="shared" si="36"/>
        <v>#4 @ 7.5</v>
      </c>
      <c r="AR27" s="157">
        <f t="shared" si="41"/>
        <v>-10.5030078125</v>
      </c>
      <c r="AS27" s="111">
        <f t="shared" si="41"/>
        <v>13.03290625</v>
      </c>
      <c r="AT27" s="50">
        <f t="shared" si="25"/>
        <v>-12.963398692810459</v>
      </c>
      <c r="AU27" s="111">
        <f t="shared" si="28"/>
        <v>14.16339869281046</v>
      </c>
      <c r="AW27" s="156">
        <f t="shared" si="26"/>
        <v>1.2342558364454668</v>
      </c>
      <c r="AX27" s="156">
        <f t="shared" si="27"/>
        <v>1.0867413929882646</v>
      </c>
    </row>
    <row r="28" spans="1:50" x14ac:dyDescent="0.2">
      <c r="A28" s="2">
        <v>9.75</v>
      </c>
      <c r="B28" s="236">
        <v>8.5</v>
      </c>
      <c r="C28" s="4">
        <f t="shared" si="16"/>
        <v>0.10625</v>
      </c>
      <c r="D28" s="253">
        <f t="shared" si="29"/>
        <v>-1.0100390625</v>
      </c>
      <c r="E28" s="108">
        <f t="shared" si="30"/>
        <v>0.80803125000000009</v>
      </c>
      <c r="F28" s="253">
        <f t="shared" si="31"/>
        <v>-0.47531250000000008</v>
      </c>
      <c r="G28" s="99">
        <f t="shared" si="32"/>
        <v>0.38025000000000003</v>
      </c>
      <c r="H28" s="253">
        <v>-5.23</v>
      </c>
      <c r="I28" s="108">
        <v>6.74</v>
      </c>
      <c r="J28" s="253">
        <f t="shared" si="40"/>
        <v>-11.128017578125</v>
      </c>
      <c r="K28" s="99">
        <f t="shared" si="40"/>
        <v>13.375414062500001</v>
      </c>
      <c r="L28" s="167" t="s">
        <v>11</v>
      </c>
      <c r="M28" s="236">
        <v>0.2</v>
      </c>
      <c r="N28" s="297">
        <v>6</v>
      </c>
      <c r="O28" s="316">
        <f t="shared" si="33"/>
        <v>0.40000000000000008</v>
      </c>
      <c r="P28" s="225">
        <f t="shared" si="17"/>
        <v>0.40000000000000008</v>
      </c>
      <c r="Q28" s="257">
        <f t="shared" si="37"/>
        <v>5.75</v>
      </c>
      <c r="R28" s="254">
        <f t="shared" si="38"/>
        <v>6.25</v>
      </c>
      <c r="S28" s="287">
        <f t="shared" si="34"/>
        <v>5.7971014492753633E-3</v>
      </c>
      <c r="T28" s="115">
        <f t="shared" si="35"/>
        <v>5.333333333333334E-3</v>
      </c>
      <c r="U28" s="164"/>
      <c r="V28" s="61">
        <f t="shared" si="18"/>
        <v>12.963398692810459</v>
      </c>
      <c r="W28" s="110">
        <f t="shared" si="19"/>
        <v>14.16339869281046</v>
      </c>
      <c r="X28" s="61">
        <f t="shared" si="20"/>
        <v>12.858823529411767</v>
      </c>
      <c r="Y28" s="101">
        <f t="shared" si="21"/>
        <v>14.058823529411768</v>
      </c>
      <c r="Z28" s="61">
        <f t="shared" si="22"/>
        <v>13.047058823529417</v>
      </c>
      <c r="AA28" s="110">
        <f t="shared" si="23"/>
        <v>14.247058823529416</v>
      </c>
      <c r="AB28" s="3">
        <f t="shared" si="3"/>
        <v>9.75</v>
      </c>
      <c r="AC28" s="246">
        <f t="shared" si="4"/>
        <v>8.5</v>
      </c>
      <c r="AD28" s="5">
        <f t="shared" si="5"/>
        <v>-11.128017578125</v>
      </c>
      <c r="AE28" s="105">
        <f t="shared" si="6"/>
        <v>13.375414062500001</v>
      </c>
      <c r="AF28" s="201">
        <v>67</v>
      </c>
      <c r="AG28" s="32">
        <f t="shared" si="7"/>
        <v>0.26800000000000002</v>
      </c>
      <c r="AH28" s="219" t="s">
        <v>144</v>
      </c>
      <c r="AI28" s="44">
        <f t="shared" si="42"/>
        <v>0.32000000000000006</v>
      </c>
      <c r="AJ28" s="291">
        <f t="shared" si="24"/>
        <v>0.8</v>
      </c>
      <c r="AK28" s="282">
        <f t="shared" si="9"/>
        <v>6.2745098039215701E-3</v>
      </c>
      <c r="AL28" s="272" t="str">
        <f t="shared" si="10"/>
        <v>#4 @ 6</v>
      </c>
      <c r="AN28" s="2">
        <f t="shared" si="11"/>
        <v>9.75</v>
      </c>
      <c r="AO28" s="246">
        <f t="shared" si="12"/>
        <v>8.5</v>
      </c>
      <c r="AP28" s="171" t="str">
        <f t="shared" si="13"/>
        <v>#4 @ 6</v>
      </c>
      <c r="AQ28" s="169" t="str">
        <f t="shared" si="36"/>
        <v>#4 @ 7.5</v>
      </c>
      <c r="AR28" s="157">
        <f t="shared" si="41"/>
        <v>-11.128017578125</v>
      </c>
      <c r="AS28" s="111">
        <f t="shared" si="41"/>
        <v>13.375414062500001</v>
      </c>
      <c r="AT28" s="52">
        <f t="shared" si="25"/>
        <v>-12.963398692810459</v>
      </c>
      <c r="AU28" s="113">
        <f t="shared" si="28"/>
        <v>14.16339869281046</v>
      </c>
      <c r="AW28" s="156">
        <f t="shared" si="26"/>
        <v>1.1649333407141067</v>
      </c>
      <c r="AX28" s="156">
        <f t="shared" si="27"/>
        <v>1.0589129148920851</v>
      </c>
    </row>
    <row r="29" spans="1:50" x14ac:dyDescent="0.2">
      <c r="A29" s="17">
        <v>10</v>
      </c>
      <c r="B29" s="237">
        <v>8.5</v>
      </c>
      <c r="C29" s="42">
        <f t="shared" si="16"/>
        <v>0.10625</v>
      </c>
      <c r="D29" s="255">
        <f t="shared" si="29"/>
        <v>-1.0625</v>
      </c>
      <c r="E29" s="109">
        <f t="shared" si="30"/>
        <v>0.85000000000000009</v>
      </c>
      <c r="F29" s="255">
        <f t="shared" si="31"/>
        <v>-0.50000000000000011</v>
      </c>
      <c r="G29" s="100">
        <f t="shared" si="32"/>
        <v>0.4</v>
      </c>
      <c r="H29" s="255">
        <v>-5.55</v>
      </c>
      <c r="I29" s="109">
        <v>6.89</v>
      </c>
      <c r="J29" s="255">
        <f t="shared" si="40"/>
        <v>-11.790625</v>
      </c>
      <c r="K29" s="100">
        <f t="shared" si="40"/>
        <v>13.719999999999999</v>
      </c>
      <c r="L29" s="173" t="s">
        <v>11</v>
      </c>
      <c r="M29" s="237">
        <v>0.2</v>
      </c>
      <c r="N29" s="317">
        <v>6</v>
      </c>
      <c r="O29" s="315">
        <f t="shared" si="33"/>
        <v>0.40000000000000008</v>
      </c>
      <c r="P29" s="224">
        <f t="shared" si="17"/>
        <v>0.40000000000000008</v>
      </c>
      <c r="Q29" s="195">
        <f t="shared" si="37"/>
        <v>5.75</v>
      </c>
      <c r="R29" s="105">
        <f t="shared" si="38"/>
        <v>6.25</v>
      </c>
      <c r="S29" s="288">
        <f t="shared" si="34"/>
        <v>5.7971014492753633E-3</v>
      </c>
      <c r="T29" s="116">
        <f t="shared" si="35"/>
        <v>5.333333333333334E-3</v>
      </c>
      <c r="U29" s="164"/>
      <c r="V29" s="253">
        <f t="shared" si="18"/>
        <v>12.963398692810459</v>
      </c>
      <c r="W29" s="108">
        <f t="shared" si="19"/>
        <v>14.16339869281046</v>
      </c>
      <c r="X29" s="253">
        <f t="shared" si="20"/>
        <v>12.858823529411767</v>
      </c>
      <c r="Y29" s="99">
        <f t="shared" si="21"/>
        <v>14.058823529411768</v>
      </c>
      <c r="Z29" s="253">
        <f t="shared" si="22"/>
        <v>13.047058823529417</v>
      </c>
      <c r="AA29" s="108">
        <f t="shared" si="23"/>
        <v>14.247058823529416</v>
      </c>
      <c r="AB29" s="18">
        <f t="shared" si="3"/>
        <v>10</v>
      </c>
      <c r="AC29" s="247">
        <f t="shared" si="4"/>
        <v>8.5</v>
      </c>
      <c r="AD29" s="20">
        <f t="shared" si="5"/>
        <v>-11.790625</v>
      </c>
      <c r="AE29" s="106">
        <f t="shared" si="6"/>
        <v>13.719999999999999</v>
      </c>
      <c r="AF29" s="244">
        <v>67</v>
      </c>
      <c r="AG29" s="33">
        <f t="shared" si="7"/>
        <v>0.26800000000000002</v>
      </c>
      <c r="AH29" s="220" t="s">
        <v>144</v>
      </c>
      <c r="AI29" s="43">
        <f>0.2*12/7.5</f>
        <v>0.32000000000000006</v>
      </c>
      <c r="AJ29" s="290">
        <f t="shared" si="24"/>
        <v>0.8</v>
      </c>
      <c r="AK29" s="283">
        <f t="shared" si="9"/>
        <v>6.2745098039215701E-3</v>
      </c>
      <c r="AL29" s="274" t="str">
        <f t="shared" si="10"/>
        <v>#4 @ 6</v>
      </c>
      <c r="AN29" s="17">
        <f t="shared" si="11"/>
        <v>10</v>
      </c>
      <c r="AO29" s="247">
        <f t="shared" si="12"/>
        <v>8.5</v>
      </c>
      <c r="AP29" s="170" t="str">
        <f t="shared" si="13"/>
        <v>#4 @ 6</v>
      </c>
      <c r="AQ29" s="174" t="str">
        <f t="shared" si="36"/>
        <v>#4 @ 7.5</v>
      </c>
      <c r="AR29" s="51">
        <f t="shared" si="41"/>
        <v>-11.790625</v>
      </c>
      <c r="AS29" s="112">
        <f t="shared" si="41"/>
        <v>13.719999999999999</v>
      </c>
      <c r="AT29" s="50">
        <f t="shared" si="25"/>
        <v>-12.963398692810459</v>
      </c>
      <c r="AU29" s="111">
        <f t="shared" si="28"/>
        <v>14.16339869281046</v>
      </c>
      <c r="AW29" s="156">
        <f t="shared" si="26"/>
        <v>1.0994666264774309</v>
      </c>
      <c r="AX29" s="156">
        <f t="shared" si="27"/>
        <v>1.0323176889803543</v>
      </c>
    </row>
    <row r="30" spans="1:50" x14ac:dyDescent="0.2">
      <c r="A30" s="2">
        <v>10.25</v>
      </c>
      <c r="B30" s="236">
        <v>8.5</v>
      </c>
      <c r="C30" s="43">
        <f t="shared" si="16"/>
        <v>0.10625</v>
      </c>
      <c r="D30" s="253">
        <f t="shared" si="29"/>
        <v>-1.1162890625000002</v>
      </c>
      <c r="E30" s="108">
        <f t="shared" si="30"/>
        <v>0.89303125000000005</v>
      </c>
      <c r="F30" s="253">
        <f t="shared" si="31"/>
        <v>-0.52531250000000007</v>
      </c>
      <c r="G30" s="99">
        <f t="shared" si="32"/>
        <v>0.42025000000000001</v>
      </c>
      <c r="H30" s="253">
        <v>-5.87</v>
      </c>
      <c r="I30" s="108">
        <v>7.03</v>
      </c>
      <c r="J30" s="253">
        <f t="shared" si="40"/>
        <v>-12.455830078125</v>
      </c>
      <c r="K30" s="99">
        <f t="shared" si="40"/>
        <v>14.049164062500001</v>
      </c>
      <c r="L30" s="167" t="s">
        <v>11</v>
      </c>
      <c r="M30" s="236">
        <v>0.2</v>
      </c>
      <c r="N30" s="297">
        <v>6</v>
      </c>
      <c r="O30" s="315">
        <f t="shared" si="33"/>
        <v>0.40000000000000008</v>
      </c>
      <c r="P30" s="224">
        <f t="shared" si="17"/>
        <v>0.40000000000000008</v>
      </c>
      <c r="Q30" s="195">
        <f t="shared" si="37"/>
        <v>5.75</v>
      </c>
      <c r="R30" s="105">
        <f t="shared" si="38"/>
        <v>6.25</v>
      </c>
      <c r="S30" s="287">
        <f t="shared" si="34"/>
        <v>5.7971014492753633E-3</v>
      </c>
      <c r="T30" s="115">
        <f t="shared" si="35"/>
        <v>5.333333333333334E-3</v>
      </c>
      <c r="U30" s="164"/>
      <c r="V30" s="253">
        <f t="shared" si="18"/>
        <v>12.963398692810459</v>
      </c>
      <c r="W30" s="108">
        <f t="shared" si="19"/>
        <v>14.16339869281046</v>
      </c>
      <c r="X30" s="253">
        <f t="shared" si="20"/>
        <v>12.858823529411767</v>
      </c>
      <c r="Y30" s="99">
        <f t="shared" si="21"/>
        <v>14.058823529411768</v>
      </c>
      <c r="Z30" s="253">
        <f t="shared" si="22"/>
        <v>13.047058823529417</v>
      </c>
      <c r="AA30" s="108">
        <f t="shared" si="23"/>
        <v>14.247058823529416</v>
      </c>
      <c r="AB30" s="3">
        <f t="shared" si="3"/>
        <v>10.25</v>
      </c>
      <c r="AC30" s="246">
        <f t="shared" si="4"/>
        <v>8.5</v>
      </c>
      <c r="AD30" s="5">
        <f t="shared" si="5"/>
        <v>-12.455830078125</v>
      </c>
      <c r="AE30" s="105">
        <f t="shared" si="6"/>
        <v>14.049164062500001</v>
      </c>
      <c r="AF30" s="201">
        <v>67</v>
      </c>
      <c r="AG30" s="32">
        <f t="shared" si="7"/>
        <v>0.26800000000000002</v>
      </c>
      <c r="AH30" s="218" t="s">
        <v>144</v>
      </c>
      <c r="AI30" s="43">
        <f t="shared" si="42"/>
        <v>0.32000000000000006</v>
      </c>
      <c r="AJ30" s="290">
        <f t="shared" si="24"/>
        <v>0.8</v>
      </c>
      <c r="AK30" s="282">
        <f t="shared" si="9"/>
        <v>6.2745098039215701E-3</v>
      </c>
      <c r="AL30" s="272" t="str">
        <f t="shared" si="10"/>
        <v>#4 @ 6</v>
      </c>
      <c r="AN30" s="2">
        <f t="shared" si="11"/>
        <v>10.25</v>
      </c>
      <c r="AO30" s="246">
        <f t="shared" si="12"/>
        <v>8.5</v>
      </c>
      <c r="AP30" s="171" t="str">
        <f t="shared" si="13"/>
        <v>#4 @ 6</v>
      </c>
      <c r="AQ30" s="169" t="str">
        <f t="shared" si="36"/>
        <v>#4 @ 7.5</v>
      </c>
      <c r="AR30" s="50">
        <f t="shared" si="41"/>
        <v>-12.455830078125</v>
      </c>
      <c r="AS30" s="111">
        <f t="shared" si="41"/>
        <v>14.049164062500001</v>
      </c>
      <c r="AT30" s="50">
        <f t="shared" si="25"/>
        <v>-12.963398692810459</v>
      </c>
      <c r="AU30" s="111">
        <f t="shared" si="28"/>
        <v>14.16339869281046</v>
      </c>
      <c r="AW30" s="156">
        <f t="shared" si="26"/>
        <v>1.0407494812872291</v>
      </c>
      <c r="AX30" s="156">
        <f t="shared" si="27"/>
        <v>1.0081310624462971</v>
      </c>
    </row>
    <row r="31" spans="1:50" x14ac:dyDescent="0.2">
      <c r="A31" s="2">
        <v>10.5</v>
      </c>
      <c r="B31" s="236">
        <v>8.75</v>
      </c>
      <c r="C31" s="43">
        <f t="shared" si="16"/>
        <v>0.10937499999999999</v>
      </c>
      <c r="D31" s="253">
        <f t="shared" si="29"/>
        <v>-1.205859375</v>
      </c>
      <c r="E31" s="108">
        <f t="shared" si="30"/>
        <v>0.96468749999999992</v>
      </c>
      <c r="F31" s="253">
        <f t="shared" si="31"/>
        <v>-0.55125000000000013</v>
      </c>
      <c r="G31" s="99">
        <f t="shared" si="32"/>
        <v>0.441</v>
      </c>
      <c r="H31" s="253">
        <v>-6.18</v>
      </c>
      <c r="I31" s="108">
        <v>7.17</v>
      </c>
      <c r="J31" s="253">
        <f t="shared" si="40"/>
        <v>-13.149199218749999</v>
      </c>
      <c r="K31" s="99">
        <f t="shared" si="40"/>
        <v>14.414859374999999</v>
      </c>
      <c r="L31" s="167" t="s">
        <v>11</v>
      </c>
      <c r="M31" s="236">
        <v>0.2</v>
      </c>
      <c r="N31" s="297">
        <v>6</v>
      </c>
      <c r="O31" s="315">
        <f t="shared" si="33"/>
        <v>0.40000000000000008</v>
      </c>
      <c r="P31" s="224">
        <f t="shared" si="17"/>
        <v>0.40000000000000008</v>
      </c>
      <c r="Q31" s="195">
        <f t="shared" si="37"/>
        <v>6</v>
      </c>
      <c r="R31" s="105">
        <f t="shared" si="38"/>
        <v>6.5</v>
      </c>
      <c r="S31" s="287">
        <f t="shared" si="34"/>
        <v>5.5555555555555566E-3</v>
      </c>
      <c r="T31" s="115">
        <f t="shared" si="35"/>
        <v>5.1282051282051291E-3</v>
      </c>
      <c r="U31" s="164"/>
      <c r="V31" s="253">
        <f t="shared" si="18"/>
        <v>13.563398692810461</v>
      </c>
      <c r="W31" s="108">
        <f t="shared" si="19"/>
        <v>14.763398692810462</v>
      </c>
      <c r="X31" s="253">
        <f t="shared" si="20"/>
        <v>13.458823529411767</v>
      </c>
      <c r="Y31" s="99">
        <f t="shared" si="21"/>
        <v>14.658823529411768</v>
      </c>
      <c r="Z31" s="253">
        <f t="shared" si="22"/>
        <v>13.647058823529415</v>
      </c>
      <c r="AA31" s="108">
        <f t="shared" si="23"/>
        <v>14.847058823529416</v>
      </c>
      <c r="AB31" s="3">
        <f t="shared" si="3"/>
        <v>10.5</v>
      </c>
      <c r="AC31" s="246">
        <f t="shared" si="4"/>
        <v>8.75</v>
      </c>
      <c r="AD31" s="5">
        <f t="shared" si="5"/>
        <v>-13.149199218749999</v>
      </c>
      <c r="AE31" s="105">
        <f t="shared" si="6"/>
        <v>14.414859374999999</v>
      </c>
      <c r="AF31" s="201">
        <v>67</v>
      </c>
      <c r="AG31" s="32">
        <f t="shared" si="7"/>
        <v>0.26800000000000002</v>
      </c>
      <c r="AH31" s="218" t="s">
        <v>145</v>
      </c>
      <c r="AI31" s="43">
        <f>0.2*12/7</f>
        <v>0.34285714285714292</v>
      </c>
      <c r="AJ31" s="290">
        <f t="shared" si="24"/>
        <v>0.8571428571428571</v>
      </c>
      <c r="AK31" s="282">
        <f t="shared" si="9"/>
        <v>6.5306122448979603E-3</v>
      </c>
      <c r="AL31" s="272" t="str">
        <f t="shared" si="10"/>
        <v>#4 @ 6</v>
      </c>
      <c r="AN31" s="2">
        <f t="shared" si="11"/>
        <v>10.5</v>
      </c>
      <c r="AO31" s="246">
        <f t="shared" si="12"/>
        <v>8.75</v>
      </c>
      <c r="AP31" s="171" t="str">
        <f t="shared" si="13"/>
        <v>#4 @ 6</v>
      </c>
      <c r="AQ31" s="169" t="str">
        <f t="shared" si="36"/>
        <v>#4 @ 7</v>
      </c>
      <c r="AR31" s="50">
        <f t="shared" si="41"/>
        <v>-13.149199218749999</v>
      </c>
      <c r="AS31" s="111">
        <f t="shared" si="41"/>
        <v>14.414859374999999</v>
      </c>
      <c r="AT31" s="50">
        <f t="shared" si="25"/>
        <v>-13.563398692810461</v>
      </c>
      <c r="AU31" s="111">
        <f t="shared" si="28"/>
        <v>14.763398692810462</v>
      </c>
      <c r="AW31" s="156">
        <f t="shared" si="26"/>
        <v>1.0314999770837632</v>
      </c>
      <c r="AX31" s="156">
        <f t="shared" si="27"/>
        <v>1.0241791687829396</v>
      </c>
    </row>
    <row r="32" spans="1:50" x14ac:dyDescent="0.2">
      <c r="A32" s="8">
        <v>10.75</v>
      </c>
      <c r="B32" s="238">
        <v>8.75</v>
      </c>
      <c r="C32" s="44">
        <f t="shared" si="16"/>
        <v>0.10937499999999999</v>
      </c>
      <c r="D32" s="61">
        <f t="shared" si="29"/>
        <v>-1.26396484375</v>
      </c>
      <c r="E32" s="110">
        <f t="shared" si="30"/>
        <v>1.0111718749999998</v>
      </c>
      <c r="F32" s="61">
        <f t="shared" si="31"/>
        <v>-0.57781250000000006</v>
      </c>
      <c r="G32" s="101">
        <f t="shared" si="32"/>
        <v>0.46224999999999999</v>
      </c>
      <c r="H32" s="61">
        <v>-6.49</v>
      </c>
      <c r="I32" s="110">
        <v>7.32</v>
      </c>
      <c r="J32" s="61">
        <f t="shared" si="40"/>
        <v>-13.8041748046875</v>
      </c>
      <c r="K32" s="101">
        <f t="shared" si="40"/>
        <v>14.767339843750001</v>
      </c>
      <c r="L32" s="168" t="s">
        <v>12</v>
      </c>
      <c r="M32" s="238">
        <v>0.2</v>
      </c>
      <c r="N32" s="298">
        <v>5.5</v>
      </c>
      <c r="O32" s="316">
        <f t="shared" si="33"/>
        <v>0.43636363636363645</v>
      </c>
      <c r="P32" s="225">
        <f t="shared" si="17"/>
        <v>0.43636363636363645</v>
      </c>
      <c r="Q32" s="257">
        <f t="shared" si="37"/>
        <v>6</v>
      </c>
      <c r="R32" s="254">
        <f t="shared" si="38"/>
        <v>6.5</v>
      </c>
      <c r="S32" s="289">
        <f t="shared" si="34"/>
        <v>6.0606060606060615E-3</v>
      </c>
      <c r="T32" s="117">
        <f t="shared" si="35"/>
        <v>5.5944055944055953E-3</v>
      </c>
      <c r="U32" s="164"/>
      <c r="V32" s="61">
        <f t="shared" si="18"/>
        <v>14.713466212931458</v>
      </c>
      <c r="W32" s="110">
        <f t="shared" si="19"/>
        <v>16.022557122022366</v>
      </c>
      <c r="X32" s="61">
        <f t="shared" si="20"/>
        <v>14.589013125911526</v>
      </c>
      <c r="Y32" s="101">
        <f t="shared" si="21"/>
        <v>15.898104035002435</v>
      </c>
      <c r="Z32" s="61">
        <f t="shared" si="22"/>
        <v>14.813028682547404</v>
      </c>
      <c r="AA32" s="110">
        <f t="shared" si="23"/>
        <v>16.122119591638313</v>
      </c>
      <c r="AB32" s="9">
        <f t="shared" si="3"/>
        <v>10.75</v>
      </c>
      <c r="AC32" s="60">
        <f t="shared" si="4"/>
        <v>8.75</v>
      </c>
      <c r="AD32" s="11">
        <f t="shared" si="5"/>
        <v>-13.8041748046875</v>
      </c>
      <c r="AE32" s="107">
        <f t="shared" si="6"/>
        <v>14.767339843750001</v>
      </c>
      <c r="AF32" s="245">
        <v>67</v>
      </c>
      <c r="AG32" s="34">
        <f t="shared" si="7"/>
        <v>0.29236363636363644</v>
      </c>
      <c r="AH32" s="219" t="s">
        <v>145</v>
      </c>
      <c r="AI32" s="44">
        <f>0.2*12/7</f>
        <v>0.34285714285714292</v>
      </c>
      <c r="AJ32" s="291">
        <f t="shared" si="24"/>
        <v>0.7857142857142857</v>
      </c>
      <c r="AK32" s="284">
        <f t="shared" si="9"/>
        <v>6.5306122448979603E-3</v>
      </c>
      <c r="AL32" s="273" t="str">
        <f t="shared" si="10"/>
        <v>#4 @ 5.5</v>
      </c>
      <c r="AN32" s="8">
        <f t="shared" si="11"/>
        <v>10.75</v>
      </c>
      <c r="AO32" s="60">
        <f t="shared" si="12"/>
        <v>8.75</v>
      </c>
      <c r="AP32" s="172" t="str">
        <f t="shared" si="13"/>
        <v>#4 @ 5.5</v>
      </c>
      <c r="AQ32" s="175" t="str">
        <f t="shared" si="36"/>
        <v>#4 @ 7</v>
      </c>
      <c r="AR32" s="52">
        <f t="shared" si="41"/>
        <v>-13.8041748046875</v>
      </c>
      <c r="AS32" s="113">
        <f t="shared" si="41"/>
        <v>14.767339843750001</v>
      </c>
      <c r="AT32" s="52">
        <f t="shared" si="25"/>
        <v>-14.713466212931458</v>
      </c>
      <c r="AU32" s="113">
        <f t="shared" si="28"/>
        <v>16.022557122022366</v>
      </c>
      <c r="AW32" s="156">
        <f t="shared" si="26"/>
        <v>1.0658707543992552</v>
      </c>
      <c r="AX32" s="156">
        <f t="shared" si="27"/>
        <v>1.0849995524958147</v>
      </c>
    </row>
    <row r="33" spans="1:50" x14ac:dyDescent="0.2">
      <c r="A33" s="2">
        <v>11</v>
      </c>
      <c r="B33" s="236">
        <v>9</v>
      </c>
      <c r="C33" s="42">
        <f t="shared" si="16"/>
        <v>0.11249999999999999</v>
      </c>
      <c r="D33" s="253">
        <f t="shared" si="29"/>
        <v>-1.3612499999999998</v>
      </c>
      <c r="E33" s="108">
        <f t="shared" si="30"/>
        <v>1.089</v>
      </c>
      <c r="F33" s="253">
        <f t="shared" si="31"/>
        <v>-0.60500000000000009</v>
      </c>
      <c r="G33" s="99">
        <f t="shared" si="32"/>
        <v>0.48399999999999999</v>
      </c>
      <c r="H33" s="253">
        <v>-6.79</v>
      </c>
      <c r="I33" s="108">
        <v>7.46</v>
      </c>
      <c r="J33" s="253">
        <f t="shared" si="40"/>
        <v>-14.491562500000001</v>
      </c>
      <c r="K33" s="99">
        <f t="shared" si="40"/>
        <v>15.142250000000001</v>
      </c>
      <c r="L33" s="167" t="s">
        <v>12</v>
      </c>
      <c r="M33" s="236">
        <v>0.2</v>
      </c>
      <c r="N33" s="297">
        <v>5.5</v>
      </c>
      <c r="O33" s="315">
        <f t="shared" si="33"/>
        <v>0.43636363636363645</v>
      </c>
      <c r="P33" s="224">
        <f t="shared" si="17"/>
        <v>0.43636363636363645</v>
      </c>
      <c r="Q33" s="195">
        <f t="shared" si="37"/>
        <v>6.25</v>
      </c>
      <c r="R33" s="105">
        <f t="shared" si="38"/>
        <v>6.75</v>
      </c>
      <c r="S33" s="287">
        <f t="shared" si="34"/>
        <v>5.8181818181818196E-3</v>
      </c>
      <c r="T33" s="115">
        <f t="shared" si="35"/>
        <v>5.3872053872053884E-3</v>
      </c>
      <c r="U33" s="164"/>
      <c r="V33" s="253">
        <f t="shared" si="18"/>
        <v>15.368011667476912</v>
      </c>
      <c r="W33" s="108">
        <f t="shared" si="19"/>
        <v>16.677102576567822</v>
      </c>
      <c r="X33" s="253">
        <f t="shared" si="20"/>
        <v>15.243558580456979</v>
      </c>
      <c r="Y33" s="99">
        <f t="shared" si="21"/>
        <v>16.552649489547889</v>
      </c>
      <c r="Z33" s="253">
        <f t="shared" si="22"/>
        <v>15.467574137092855</v>
      </c>
      <c r="AA33" s="108">
        <f t="shared" si="23"/>
        <v>16.776665046183766</v>
      </c>
      <c r="AB33" s="3">
        <f t="shared" si="3"/>
        <v>11</v>
      </c>
      <c r="AC33" s="246">
        <f t="shared" si="4"/>
        <v>9</v>
      </c>
      <c r="AD33" s="5">
        <f t="shared" si="5"/>
        <v>-14.491562500000001</v>
      </c>
      <c r="AE33" s="105">
        <f t="shared" si="6"/>
        <v>15.142250000000001</v>
      </c>
      <c r="AF33" s="201">
        <v>67</v>
      </c>
      <c r="AG33" s="32">
        <f t="shared" si="7"/>
        <v>0.29236363636363644</v>
      </c>
      <c r="AH33" s="220" t="s">
        <v>145</v>
      </c>
      <c r="AI33" s="43">
        <f>0.2*12/7</f>
        <v>0.34285714285714292</v>
      </c>
      <c r="AJ33" s="290">
        <f t="shared" si="24"/>
        <v>0.7857142857142857</v>
      </c>
      <c r="AK33" s="283">
        <f t="shared" si="9"/>
        <v>6.3492063492063501E-3</v>
      </c>
      <c r="AL33" s="274" t="str">
        <f t="shared" si="10"/>
        <v>#4 @ 5.5</v>
      </c>
      <c r="AN33" s="2">
        <f t="shared" si="11"/>
        <v>11</v>
      </c>
      <c r="AO33" s="246">
        <f t="shared" si="12"/>
        <v>9</v>
      </c>
      <c r="AP33" s="173" t="str">
        <f t="shared" si="13"/>
        <v>#4 @ 5.5</v>
      </c>
      <c r="AQ33" s="174" t="str">
        <f t="shared" si="36"/>
        <v>#4 @ 7</v>
      </c>
      <c r="AR33" s="51">
        <f t="shared" si="41"/>
        <v>-14.491562500000001</v>
      </c>
      <c r="AS33" s="112">
        <f t="shared" si="41"/>
        <v>15.142250000000001</v>
      </c>
      <c r="AT33" s="50">
        <f t="shared" si="25"/>
        <v>-15.368011667476912</v>
      </c>
      <c r="AU33" s="111">
        <f t="shared" si="28"/>
        <v>16.677102576567822</v>
      </c>
      <c r="AW33" s="156">
        <f t="shared" si="26"/>
        <v>1.0604799632528867</v>
      </c>
      <c r="AX33" s="156">
        <f t="shared" si="27"/>
        <v>1.1013622530712293</v>
      </c>
    </row>
    <row r="34" spans="1:50" x14ac:dyDescent="0.2">
      <c r="A34" s="2">
        <v>11.25</v>
      </c>
      <c r="B34" s="236">
        <v>9</v>
      </c>
      <c r="C34" s="43">
        <f t="shared" si="16"/>
        <v>0.11249999999999999</v>
      </c>
      <c r="D34" s="253">
        <f t="shared" si="29"/>
        <v>-1.423828125</v>
      </c>
      <c r="E34" s="108">
        <f t="shared" si="30"/>
        <v>1.1390624999999999</v>
      </c>
      <c r="F34" s="253">
        <f t="shared" si="31"/>
        <v>-0.63281250000000011</v>
      </c>
      <c r="G34" s="99">
        <f t="shared" si="32"/>
        <v>0.50624999999999998</v>
      </c>
      <c r="H34" s="253">
        <v>-7.08</v>
      </c>
      <c r="I34" s="108">
        <v>7.6</v>
      </c>
      <c r="J34" s="253">
        <f t="shared" si="40"/>
        <v>-15.119003906250001</v>
      </c>
      <c r="K34" s="99">
        <f t="shared" si="40"/>
        <v>15.483203124999999</v>
      </c>
      <c r="L34" s="167" t="s">
        <v>12</v>
      </c>
      <c r="M34" s="236">
        <v>0.2</v>
      </c>
      <c r="N34" s="297">
        <v>5.5</v>
      </c>
      <c r="O34" s="315">
        <f t="shared" si="33"/>
        <v>0.43636363636363645</v>
      </c>
      <c r="P34" s="224">
        <f t="shared" si="17"/>
        <v>0.43636363636363645</v>
      </c>
      <c r="Q34" s="195">
        <f t="shared" si="37"/>
        <v>6.25</v>
      </c>
      <c r="R34" s="105">
        <f t="shared" si="38"/>
        <v>6.75</v>
      </c>
      <c r="S34" s="287">
        <f t="shared" si="34"/>
        <v>5.8181818181818196E-3</v>
      </c>
      <c r="T34" s="115">
        <f t="shared" si="35"/>
        <v>5.3872053872053884E-3</v>
      </c>
      <c r="U34" s="164"/>
      <c r="V34" s="253">
        <f t="shared" si="18"/>
        <v>15.368011667476912</v>
      </c>
      <c r="W34" s="108">
        <f t="shared" si="19"/>
        <v>16.677102576567822</v>
      </c>
      <c r="X34" s="253">
        <f t="shared" si="20"/>
        <v>15.243558580456979</v>
      </c>
      <c r="Y34" s="99">
        <f t="shared" si="21"/>
        <v>16.552649489547889</v>
      </c>
      <c r="Z34" s="253">
        <f t="shared" si="22"/>
        <v>15.467574137092855</v>
      </c>
      <c r="AA34" s="108">
        <f t="shared" si="23"/>
        <v>16.776665046183766</v>
      </c>
      <c r="AB34" s="3">
        <f t="shared" si="3"/>
        <v>11.25</v>
      </c>
      <c r="AC34" s="246">
        <f t="shared" si="4"/>
        <v>9</v>
      </c>
      <c r="AD34" s="5">
        <f t="shared" si="5"/>
        <v>-15.119003906250001</v>
      </c>
      <c r="AE34" s="105">
        <f t="shared" si="6"/>
        <v>15.483203124999999</v>
      </c>
      <c r="AF34" s="201">
        <v>67</v>
      </c>
      <c r="AG34" s="32">
        <f t="shared" si="7"/>
        <v>0.29236363636363644</v>
      </c>
      <c r="AH34" s="218" t="s">
        <v>145</v>
      </c>
      <c r="AI34" s="43">
        <f>0.2*12/7</f>
        <v>0.34285714285714292</v>
      </c>
      <c r="AJ34" s="290">
        <f t="shared" si="24"/>
        <v>0.7857142857142857</v>
      </c>
      <c r="AK34" s="282">
        <f t="shared" si="9"/>
        <v>6.3492063492063501E-3</v>
      </c>
      <c r="AL34" s="272" t="str">
        <f t="shared" si="10"/>
        <v>#4 @ 5.5</v>
      </c>
      <c r="AN34" s="2">
        <f t="shared" si="11"/>
        <v>11.25</v>
      </c>
      <c r="AO34" s="246">
        <f t="shared" si="12"/>
        <v>9</v>
      </c>
      <c r="AP34" s="167" t="str">
        <f t="shared" si="13"/>
        <v>#4 @ 5.5</v>
      </c>
      <c r="AQ34" s="169" t="str">
        <f t="shared" si="36"/>
        <v>#4 @ 7</v>
      </c>
      <c r="AR34" s="50">
        <f t="shared" si="41"/>
        <v>-15.119003906250001</v>
      </c>
      <c r="AS34" s="111">
        <f t="shared" si="41"/>
        <v>15.483203124999999</v>
      </c>
      <c r="AT34" s="50">
        <f t="shared" si="25"/>
        <v>-15.368011667476912</v>
      </c>
      <c r="AU34" s="111">
        <f t="shared" si="28"/>
        <v>16.677102576567822</v>
      </c>
      <c r="AW34" s="156">
        <f t="shared" si="26"/>
        <v>1.0164698522978737</v>
      </c>
      <c r="AX34" s="156">
        <f t="shared" si="27"/>
        <v>1.0771093320890488</v>
      </c>
    </row>
    <row r="35" spans="1:50" x14ac:dyDescent="0.2">
      <c r="A35" s="2">
        <v>11.5</v>
      </c>
      <c r="B35" s="236">
        <v>9.25</v>
      </c>
      <c r="C35" s="43">
        <f t="shared" si="16"/>
        <v>0.11562500000000001</v>
      </c>
      <c r="D35" s="253">
        <f t="shared" si="29"/>
        <v>-1.5291406250000001</v>
      </c>
      <c r="E35" s="108">
        <f t="shared" si="30"/>
        <v>1.2233125000000002</v>
      </c>
      <c r="F35" s="253">
        <f t="shared" si="31"/>
        <v>-0.66125000000000012</v>
      </c>
      <c r="G35" s="99">
        <f t="shared" si="32"/>
        <v>0.52900000000000003</v>
      </c>
      <c r="H35" s="253">
        <v>-7.37</v>
      </c>
      <c r="I35" s="108">
        <v>7.74</v>
      </c>
      <c r="J35" s="253">
        <f t="shared" si="40"/>
        <v>-15.80080078125</v>
      </c>
      <c r="K35" s="99">
        <f t="shared" si="40"/>
        <v>15.867640625</v>
      </c>
      <c r="L35" s="167" t="s">
        <v>12</v>
      </c>
      <c r="M35" s="236">
        <v>0.2</v>
      </c>
      <c r="N35" s="297">
        <v>5.5</v>
      </c>
      <c r="O35" s="315">
        <f t="shared" si="33"/>
        <v>0.43636363636363645</v>
      </c>
      <c r="P35" s="224">
        <f t="shared" si="17"/>
        <v>0.43636363636363645</v>
      </c>
      <c r="Q35" s="195">
        <f t="shared" si="37"/>
        <v>6.5</v>
      </c>
      <c r="R35" s="105">
        <f t="shared" si="38"/>
        <v>7</v>
      </c>
      <c r="S35" s="287">
        <f t="shared" si="34"/>
        <v>5.5944055944055953E-3</v>
      </c>
      <c r="T35" s="115">
        <f t="shared" si="35"/>
        <v>5.1948051948051957E-3</v>
      </c>
      <c r="U35" s="164"/>
      <c r="V35" s="253">
        <f t="shared" si="18"/>
        <v>16.022557122022366</v>
      </c>
      <c r="W35" s="108">
        <f t="shared" si="19"/>
        <v>17.331648031113275</v>
      </c>
      <c r="X35" s="253">
        <f t="shared" si="20"/>
        <v>15.898104035002435</v>
      </c>
      <c r="Y35" s="99">
        <f t="shared" si="21"/>
        <v>17.207194944093342</v>
      </c>
      <c r="Z35" s="253">
        <f t="shared" si="22"/>
        <v>16.122119591638313</v>
      </c>
      <c r="AA35" s="108">
        <f t="shared" si="23"/>
        <v>17.431210500729218</v>
      </c>
      <c r="AB35" s="3">
        <f t="shared" si="3"/>
        <v>11.5</v>
      </c>
      <c r="AC35" s="246">
        <f t="shared" si="4"/>
        <v>9.25</v>
      </c>
      <c r="AD35" s="5">
        <f t="shared" si="5"/>
        <v>-15.80080078125</v>
      </c>
      <c r="AE35" s="105">
        <f t="shared" si="6"/>
        <v>15.867640625</v>
      </c>
      <c r="AF35" s="201">
        <v>67</v>
      </c>
      <c r="AG35" s="32">
        <f t="shared" si="7"/>
        <v>0.29236363636363644</v>
      </c>
      <c r="AH35" s="218" t="s">
        <v>42</v>
      </c>
      <c r="AI35" s="43">
        <f>0.2*12/6.5</f>
        <v>0.36923076923076931</v>
      </c>
      <c r="AJ35" s="290">
        <f t="shared" si="24"/>
        <v>0.84615384615384615</v>
      </c>
      <c r="AK35" s="282">
        <f t="shared" si="9"/>
        <v>6.652806652806654E-3</v>
      </c>
      <c r="AL35" s="272" t="str">
        <f t="shared" si="10"/>
        <v>#4 @ 5.5</v>
      </c>
      <c r="AN35" s="2">
        <f t="shared" si="11"/>
        <v>11.5</v>
      </c>
      <c r="AO35" s="246">
        <f t="shared" si="12"/>
        <v>9.25</v>
      </c>
      <c r="AP35" s="167" t="str">
        <f t="shared" si="13"/>
        <v>#4 @ 5.5</v>
      </c>
      <c r="AQ35" s="169" t="str">
        <f t="shared" si="36"/>
        <v>#4 @ 6.5</v>
      </c>
      <c r="AR35" s="50">
        <f t="shared" si="41"/>
        <v>-15.80080078125</v>
      </c>
      <c r="AS35" s="111">
        <f t="shared" si="41"/>
        <v>15.867640625</v>
      </c>
      <c r="AT35" s="50">
        <f t="shared" si="25"/>
        <v>-16.022557122022366</v>
      </c>
      <c r="AU35" s="111">
        <f t="shared" si="28"/>
        <v>17.331648031113275</v>
      </c>
      <c r="AW35" s="156">
        <f t="shared" si="26"/>
        <v>1.0140345001397342</v>
      </c>
      <c r="AX35" s="156">
        <f t="shared" si="27"/>
        <v>1.0922637108258353</v>
      </c>
    </row>
    <row r="36" spans="1:50" x14ac:dyDescent="0.2">
      <c r="A36" s="2">
        <v>11.75</v>
      </c>
      <c r="B36" s="236">
        <v>9.25</v>
      </c>
      <c r="C36" s="43">
        <f t="shared" si="16"/>
        <v>0.11562500000000001</v>
      </c>
      <c r="D36" s="253">
        <f t="shared" si="29"/>
        <v>-1.5963476562500003</v>
      </c>
      <c r="E36" s="108">
        <f t="shared" si="30"/>
        <v>1.2770781250000003</v>
      </c>
      <c r="F36" s="253">
        <f t="shared" si="31"/>
        <v>-0.69031250000000011</v>
      </c>
      <c r="G36" s="99">
        <f t="shared" si="32"/>
        <v>0.55225000000000002</v>
      </c>
      <c r="H36" s="253">
        <v>-7.65</v>
      </c>
      <c r="I36" s="108">
        <v>7.88</v>
      </c>
      <c r="J36" s="253">
        <f t="shared" si="40"/>
        <v>-16.4184033203125</v>
      </c>
      <c r="K36" s="99">
        <f t="shared" si="40"/>
        <v>16.21472265625</v>
      </c>
      <c r="L36" s="167" t="s">
        <v>147</v>
      </c>
      <c r="M36" s="236">
        <v>0.2</v>
      </c>
      <c r="N36" s="297">
        <v>5</v>
      </c>
      <c r="O36" s="315">
        <f t="shared" si="33"/>
        <v>0.48000000000000009</v>
      </c>
      <c r="P36" s="224">
        <f t="shared" si="17"/>
        <v>0.48000000000000009</v>
      </c>
      <c r="Q36" s="195">
        <f t="shared" si="37"/>
        <v>6.5</v>
      </c>
      <c r="R36" s="105">
        <f t="shared" si="38"/>
        <v>7</v>
      </c>
      <c r="S36" s="287">
        <f t="shared" si="34"/>
        <v>6.1538461538461547E-3</v>
      </c>
      <c r="T36" s="115">
        <f t="shared" si="35"/>
        <v>5.7142857142857151E-3</v>
      </c>
      <c r="U36" s="164"/>
      <c r="V36" s="253">
        <f t="shared" si="18"/>
        <v>17.515294117647063</v>
      </c>
      <c r="W36" s="108">
        <f t="shared" si="19"/>
        <v>18.955294117647064</v>
      </c>
      <c r="X36" s="253">
        <f t="shared" si="20"/>
        <v>17.364705882352947</v>
      </c>
      <c r="Y36" s="99">
        <f t="shared" si="21"/>
        <v>18.804705882352945</v>
      </c>
      <c r="Z36" s="253">
        <f t="shared" si="22"/>
        <v>17.635764705882355</v>
      </c>
      <c r="AA36" s="108">
        <f t="shared" si="23"/>
        <v>19.075764705882357</v>
      </c>
      <c r="AB36" s="3">
        <f t="shared" si="3"/>
        <v>11.75</v>
      </c>
      <c r="AC36" s="246">
        <f t="shared" si="4"/>
        <v>9.25</v>
      </c>
      <c r="AD36" s="5">
        <f t="shared" si="5"/>
        <v>-16.4184033203125</v>
      </c>
      <c r="AE36" s="105">
        <f t="shared" si="6"/>
        <v>16.21472265625</v>
      </c>
      <c r="AF36" s="201">
        <v>67</v>
      </c>
      <c r="AG36" s="32">
        <f t="shared" si="7"/>
        <v>0.32160000000000005</v>
      </c>
      <c r="AH36" s="218" t="s">
        <v>42</v>
      </c>
      <c r="AI36" s="43">
        <f t="shared" ref="AI36:AI37" si="43">0.2*12/6.5</f>
        <v>0.36923076923076931</v>
      </c>
      <c r="AJ36" s="290">
        <f t="shared" si="24"/>
        <v>0.76923076923076927</v>
      </c>
      <c r="AK36" s="282">
        <f t="shared" si="9"/>
        <v>6.652806652806654E-3</v>
      </c>
      <c r="AL36" s="272" t="str">
        <f t="shared" si="10"/>
        <v>#4 @ 5</v>
      </c>
      <c r="AN36" s="2">
        <f t="shared" si="11"/>
        <v>11.75</v>
      </c>
      <c r="AO36" s="246">
        <f t="shared" si="12"/>
        <v>9.25</v>
      </c>
      <c r="AP36" s="167" t="str">
        <f t="shared" si="13"/>
        <v>#4 @ 5</v>
      </c>
      <c r="AQ36" s="169" t="str">
        <f t="shared" si="36"/>
        <v>#4 @ 6.5</v>
      </c>
      <c r="AR36" s="50">
        <f t="shared" si="41"/>
        <v>-16.4184033203125</v>
      </c>
      <c r="AS36" s="111">
        <f t="shared" si="41"/>
        <v>16.21472265625</v>
      </c>
      <c r="AT36" s="50">
        <f t="shared" si="25"/>
        <v>-17.515294117647063</v>
      </c>
      <c r="AU36" s="111">
        <f t="shared" si="28"/>
        <v>18.955294117647064</v>
      </c>
      <c r="AW36" s="156">
        <f t="shared" si="26"/>
        <v>1.0668086156695586</v>
      </c>
      <c r="AX36" s="156">
        <f t="shared" si="27"/>
        <v>1.1690174737796519</v>
      </c>
    </row>
    <row r="37" spans="1:50" x14ac:dyDescent="0.2">
      <c r="A37" s="8">
        <v>12</v>
      </c>
      <c r="B37" s="238">
        <v>9.5</v>
      </c>
      <c r="C37" s="44">
        <f t="shared" si="16"/>
        <v>0.11874999999999999</v>
      </c>
      <c r="D37" s="61">
        <f t="shared" si="29"/>
        <v>-1.71</v>
      </c>
      <c r="E37" s="110">
        <f t="shared" si="30"/>
        <v>1.3679999999999999</v>
      </c>
      <c r="F37" s="61">
        <f t="shared" si="31"/>
        <v>-0.7200000000000002</v>
      </c>
      <c r="G37" s="101">
        <f t="shared" si="32"/>
        <v>0.57600000000000007</v>
      </c>
      <c r="H37" s="61">
        <v>-7.92</v>
      </c>
      <c r="I37" s="110">
        <v>8.01</v>
      </c>
      <c r="J37" s="61">
        <f t="shared" si="40"/>
        <v>-17.077500000000001</v>
      </c>
      <c r="K37" s="101">
        <f t="shared" si="40"/>
        <v>16.5915</v>
      </c>
      <c r="L37" s="168" t="s">
        <v>147</v>
      </c>
      <c r="M37" s="238">
        <v>0.2</v>
      </c>
      <c r="N37" s="298">
        <v>5</v>
      </c>
      <c r="O37" s="316">
        <f t="shared" si="33"/>
        <v>0.48000000000000009</v>
      </c>
      <c r="P37" s="225">
        <f t="shared" si="17"/>
        <v>0.48000000000000009</v>
      </c>
      <c r="Q37" s="257">
        <f t="shared" si="37"/>
        <v>6.75</v>
      </c>
      <c r="R37" s="254">
        <f t="shared" si="38"/>
        <v>7.25</v>
      </c>
      <c r="S37" s="289">
        <f t="shared" si="34"/>
        <v>5.9259259259259274E-3</v>
      </c>
      <c r="T37" s="117">
        <f t="shared" si="35"/>
        <v>5.5172413793103461E-3</v>
      </c>
      <c r="U37" s="164"/>
      <c r="V37" s="61">
        <f t="shared" si="18"/>
        <v>18.235294117647062</v>
      </c>
      <c r="W37" s="110">
        <f t="shared" si="19"/>
        <v>19.675294117647063</v>
      </c>
      <c r="X37" s="61">
        <f t="shared" si="20"/>
        <v>18.084705882352946</v>
      </c>
      <c r="Y37" s="101">
        <f t="shared" si="21"/>
        <v>19.524705882352947</v>
      </c>
      <c r="Z37" s="52">
        <f t="shared" si="22"/>
        <v>18.355764705882358</v>
      </c>
      <c r="AA37" s="110">
        <f t="shared" si="23"/>
        <v>19.795764705882359</v>
      </c>
      <c r="AB37" s="9">
        <f t="shared" si="3"/>
        <v>12</v>
      </c>
      <c r="AC37" s="60">
        <f t="shared" si="4"/>
        <v>9.5</v>
      </c>
      <c r="AD37" s="11">
        <f t="shared" si="5"/>
        <v>-17.077500000000001</v>
      </c>
      <c r="AE37" s="107">
        <f t="shared" si="6"/>
        <v>16.5915</v>
      </c>
      <c r="AF37" s="245">
        <v>67</v>
      </c>
      <c r="AG37" s="34">
        <f t="shared" si="7"/>
        <v>0.32160000000000005</v>
      </c>
      <c r="AH37" s="219" t="s">
        <v>42</v>
      </c>
      <c r="AI37" s="44">
        <f t="shared" si="43"/>
        <v>0.36923076923076931</v>
      </c>
      <c r="AJ37" s="291">
        <f t="shared" si="24"/>
        <v>0.76923076923076927</v>
      </c>
      <c r="AK37" s="284">
        <f t="shared" si="9"/>
        <v>6.4777327935222687E-3</v>
      </c>
      <c r="AL37" s="273" t="str">
        <f t="shared" si="10"/>
        <v>#4 @ 5</v>
      </c>
      <c r="AN37" s="8">
        <f t="shared" si="11"/>
        <v>12</v>
      </c>
      <c r="AO37" s="60">
        <f t="shared" si="12"/>
        <v>9.5</v>
      </c>
      <c r="AP37" s="168" t="str">
        <f t="shared" si="13"/>
        <v>#4 @ 5</v>
      </c>
      <c r="AQ37" s="175" t="str">
        <f t="shared" si="36"/>
        <v>#4 @ 6.5</v>
      </c>
      <c r="AR37" s="52">
        <f t="shared" si="41"/>
        <v>-17.077500000000001</v>
      </c>
      <c r="AS37" s="113">
        <f t="shared" si="41"/>
        <v>16.5915</v>
      </c>
      <c r="AT37" s="52">
        <f t="shared" si="25"/>
        <v>-18.235294117647062</v>
      </c>
      <c r="AU37" s="113">
        <f t="shared" si="28"/>
        <v>19.675294117647063</v>
      </c>
      <c r="AW37" s="156">
        <f t="shared" si="26"/>
        <v>1.0677964642159017</v>
      </c>
      <c r="AX37" s="156">
        <f t="shared" si="27"/>
        <v>1.185865902278098</v>
      </c>
    </row>
    <row r="38" spans="1:50" x14ac:dyDescent="0.2">
      <c r="AP38" s="140" t="s">
        <v>113</v>
      </c>
      <c r="AQ38" s="140" t="s">
        <v>113</v>
      </c>
      <c r="AR38" s="140" t="s">
        <v>113</v>
      </c>
      <c r="AS38" s="140" t="s">
        <v>113</v>
      </c>
      <c r="AT38" s="140" t="s">
        <v>113</v>
      </c>
      <c r="AU38" s="140" t="s">
        <v>113</v>
      </c>
      <c r="AW38" s="155">
        <f>MIN(AW7:AW37)</f>
        <v>1.0140345001397342</v>
      </c>
      <c r="AX38" s="155">
        <f>MIN(AX7:AX37)</f>
        <v>1.0046464345106882</v>
      </c>
    </row>
    <row r="39" spans="1:50" x14ac:dyDescent="0.2">
      <c r="B39" s="141"/>
      <c r="P39" s="153"/>
      <c r="R39" s="141"/>
      <c r="AO39" s="134"/>
    </row>
    <row r="40" spans="1:50" x14ac:dyDescent="0.2">
      <c r="P40" s="153"/>
      <c r="R40" s="141"/>
      <c r="AH40" s="141" t="s">
        <v>148</v>
      </c>
      <c r="AO40" s="59"/>
      <c r="AP40" s="59"/>
      <c r="AQ40" s="59"/>
    </row>
    <row r="41" spans="1:50" x14ac:dyDescent="0.2">
      <c r="P41" s="153"/>
      <c r="AQ41" s="141"/>
    </row>
    <row r="42" spans="1:50" x14ac:dyDescent="0.2">
      <c r="A42" s="148"/>
      <c r="P42" s="153"/>
      <c r="V42" s="141" t="s">
        <v>126</v>
      </c>
      <c r="AA42" s="141" t="s">
        <v>127</v>
      </c>
      <c r="AH42" s="154" t="s">
        <v>157</v>
      </c>
      <c r="AQ42" s="141"/>
    </row>
    <row r="43" spans="1:50" x14ac:dyDescent="0.2">
      <c r="P43" s="153"/>
      <c r="V43" s="154">
        <v>4000</v>
      </c>
      <c r="W43" s="154">
        <v>4500</v>
      </c>
      <c r="AA43" s="141" t="s">
        <v>128</v>
      </c>
      <c r="AH43" s="154" t="s">
        <v>158</v>
      </c>
      <c r="AI43" s="148"/>
      <c r="AJ43" s="148"/>
    </row>
    <row r="44" spans="1:50" x14ac:dyDescent="0.2">
      <c r="P44" s="153"/>
      <c r="V44" s="154">
        <v>4500</v>
      </c>
      <c r="W44" s="154">
        <v>5000</v>
      </c>
      <c r="AA44" s="141" t="s">
        <v>129</v>
      </c>
      <c r="AC44" s="141" t="s">
        <v>130</v>
      </c>
      <c r="AE44" s="141" t="s">
        <v>131</v>
      </c>
    </row>
    <row r="45" spans="1:50" x14ac:dyDescent="0.2">
      <c r="P45" s="153"/>
      <c r="V45" s="144">
        <f>W7-Y7</f>
        <v>5.8823529411764497E-2</v>
      </c>
      <c r="W45" s="144">
        <f>AA7-W7</f>
        <v>4.7058823529411598E-2</v>
      </c>
      <c r="AA45" s="177">
        <f t="shared" ref="AA45:AA75" si="44">-X7/AD7</f>
        <v>2.2844015967462536</v>
      </c>
      <c r="AB45" s="156">
        <f>Y7/AE7</f>
        <v>1.1654409583212628</v>
      </c>
      <c r="AC45" s="144">
        <f>-V7/AD7</f>
        <v>2.299465240641712</v>
      </c>
      <c r="AD45" s="144">
        <f>W7/AE7</f>
        <v>1.1724217367478651</v>
      </c>
      <c r="AE45" s="144">
        <f>AC45-AA45</f>
        <v>1.5063643895458334E-2</v>
      </c>
      <c r="AF45" s="144">
        <f>AD45-AB45</f>
        <v>6.9807784266022743E-3</v>
      </c>
    </row>
    <row r="46" spans="1:50" x14ac:dyDescent="0.2">
      <c r="P46" s="153"/>
      <c r="V46" s="144">
        <f t="shared" ref="V46:V75" si="45">W8-Y8</f>
        <v>5.8823529411764497E-2</v>
      </c>
      <c r="W46" s="144">
        <f t="shared" ref="W46:W75" si="46">AA8-W8</f>
        <v>4.7058823529411598E-2</v>
      </c>
      <c r="AA46" s="177">
        <f t="shared" si="44"/>
        <v>2.0824250330421057</v>
      </c>
      <c r="AB46" s="156">
        <f t="shared" ref="AB46:AB75" si="47">Y8/AE8</f>
        <v>1.1579516843879401</v>
      </c>
      <c r="AC46" s="144">
        <f t="shared" ref="AC46:AC75" si="48">-V8/AD8</f>
        <v>2.0961568169724853</v>
      </c>
      <c r="AD46" s="144">
        <f t="shared" ref="AD46:AD75" si="49">W8/AE8</f>
        <v>1.1648876034318929</v>
      </c>
      <c r="AE46" s="144">
        <f t="shared" ref="AE46:AF75" si="50">AC46-AA46</f>
        <v>1.373178393037966E-2</v>
      </c>
      <c r="AF46" s="144">
        <f t="shared" si="50"/>
        <v>6.935919043952854E-3</v>
      </c>
    </row>
    <row r="47" spans="1:50" x14ac:dyDescent="0.2">
      <c r="P47" s="153"/>
      <c r="V47" s="144">
        <f t="shared" si="45"/>
        <v>5.8823529411764497E-2</v>
      </c>
      <c r="W47" s="144">
        <f t="shared" si="46"/>
        <v>4.7058823529411598E-2</v>
      </c>
      <c r="AA47" s="177">
        <f t="shared" si="44"/>
        <v>1.9122375638358244</v>
      </c>
      <c r="AB47" s="156">
        <f t="shared" si="47"/>
        <v>1.1502885195073638</v>
      </c>
      <c r="AC47" s="144">
        <f t="shared" si="48"/>
        <v>1.9248471092617117</v>
      </c>
      <c r="AD47" s="144">
        <f t="shared" si="49"/>
        <v>1.1571785375936612</v>
      </c>
      <c r="AE47" s="144">
        <f t="shared" si="50"/>
        <v>1.2609545425887214E-2</v>
      </c>
      <c r="AF47" s="144">
        <f t="shared" si="50"/>
        <v>6.8900180862974114E-3</v>
      </c>
    </row>
    <row r="48" spans="1:50" x14ac:dyDescent="0.2">
      <c r="P48" s="153"/>
      <c r="V48" s="144">
        <f t="shared" si="45"/>
        <v>5.8823529411764497E-2</v>
      </c>
      <c r="W48" s="144">
        <f t="shared" si="46"/>
        <v>4.7058823529411598E-2</v>
      </c>
      <c r="AA48" s="177">
        <f t="shared" si="44"/>
        <v>1.766890465024832</v>
      </c>
      <c r="AB48" s="156">
        <f t="shared" si="47"/>
        <v>1.1401391113129529</v>
      </c>
      <c r="AC48" s="144">
        <f t="shared" si="48"/>
        <v>1.7785415726082465</v>
      </c>
      <c r="AD48" s="144">
        <f t="shared" si="49"/>
        <v>1.1469683362983554</v>
      </c>
      <c r="AE48" s="144">
        <f t="shared" si="50"/>
        <v>1.1651107583414477E-2</v>
      </c>
      <c r="AF48" s="144">
        <f t="shared" si="50"/>
        <v>6.8292249854025044E-3</v>
      </c>
    </row>
    <row r="49" spans="16:32" x14ac:dyDescent="0.2">
      <c r="P49" s="153"/>
      <c r="V49" s="144">
        <f t="shared" si="45"/>
        <v>5.8823529411764497E-2</v>
      </c>
      <c r="W49" s="144">
        <f t="shared" si="46"/>
        <v>4.7058823529411598E-2</v>
      </c>
      <c r="AA49" s="177">
        <f t="shared" si="44"/>
        <v>1.6413225823908224</v>
      </c>
      <c r="AB49" s="156">
        <f t="shared" si="47"/>
        <v>1.1253753779057032</v>
      </c>
      <c r="AC49" s="144">
        <f t="shared" si="48"/>
        <v>1.6521456788787277</v>
      </c>
      <c r="AD49" s="144">
        <f t="shared" si="49"/>
        <v>1.1321161708251744</v>
      </c>
      <c r="AE49" s="144">
        <f t="shared" si="50"/>
        <v>1.0823096487905248E-2</v>
      </c>
      <c r="AF49" s="144">
        <f t="shared" si="50"/>
        <v>6.7407929194711613E-3</v>
      </c>
    </row>
    <row r="50" spans="16:32" x14ac:dyDescent="0.2">
      <c r="P50" s="153"/>
      <c r="V50" s="144">
        <f t="shared" si="45"/>
        <v>5.8823529411764497E-2</v>
      </c>
      <c r="W50" s="144">
        <f t="shared" si="46"/>
        <v>4.7058823529411598E-2</v>
      </c>
      <c r="AA50" s="177">
        <f t="shared" si="44"/>
        <v>1.5456943011122584</v>
      </c>
      <c r="AB50" s="156">
        <f t="shared" si="47"/>
        <v>1.1063581631604933</v>
      </c>
      <c r="AC50" s="144">
        <f t="shared" si="48"/>
        <v>1.5558868121647627</v>
      </c>
      <c r="AD50" s="144">
        <f t="shared" si="49"/>
        <v>1.1129850464378848</v>
      </c>
      <c r="AE50" s="144">
        <f t="shared" si="50"/>
        <v>1.0192511052504294E-2</v>
      </c>
      <c r="AF50" s="144">
        <f t="shared" si="50"/>
        <v>6.626883277391471E-3</v>
      </c>
    </row>
    <row r="51" spans="16:32" x14ac:dyDescent="0.2">
      <c r="P51" s="153"/>
      <c r="V51" s="144">
        <f t="shared" si="45"/>
        <v>5.8823529411764497E-2</v>
      </c>
      <c r="W51" s="144">
        <f t="shared" si="46"/>
        <v>4.7058823529411598E-2</v>
      </c>
      <c r="AA51" s="177">
        <f t="shared" si="44"/>
        <v>1.4558283533731735</v>
      </c>
      <c r="AB51" s="156">
        <f t="shared" si="47"/>
        <v>1.0877319859660097</v>
      </c>
      <c r="AC51" s="144">
        <f t="shared" si="48"/>
        <v>1.465428276573788</v>
      </c>
      <c r="AD51" s="144">
        <f t="shared" si="49"/>
        <v>1.0942473018448118</v>
      </c>
      <c r="AE51" s="144">
        <f t="shared" si="50"/>
        <v>9.5999232006145352E-3</v>
      </c>
      <c r="AF51" s="144">
        <f t="shared" si="50"/>
        <v>6.5153158788020527E-3</v>
      </c>
    </row>
    <row r="52" spans="16:32" x14ac:dyDescent="0.2">
      <c r="P52" s="153"/>
      <c r="V52" s="144">
        <f t="shared" si="45"/>
        <v>5.8823529411764497E-2</v>
      </c>
      <c r="W52" s="144">
        <f t="shared" si="46"/>
        <v>4.7058823529411598E-2</v>
      </c>
      <c r="AA52" s="178">
        <f t="shared" si="44"/>
        <v>1.3827689572244326</v>
      </c>
      <c r="AB52" s="156">
        <f t="shared" si="47"/>
        <v>1.0654286124539321</v>
      </c>
      <c r="AC52" s="144">
        <f t="shared" si="48"/>
        <v>1.3918871171797536</v>
      </c>
      <c r="AD52" s="144">
        <f t="shared" si="49"/>
        <v>1.0718103351999873</v>
      </c>
      <c r="AE52" s="144">
        <f t="shared" si="50"/>
        <v>9.118159955320948E-3</v>
      </c>
      <c r="AF52" s="144">
        <f t="shared" si="50"/>
        <v>6.3817227460551962E-3</v>
      </c>
    </row>
    <row r="53" spans="16:32" x14ac:dyDescent="0.2">
      <c r="P53" s="153"/>
      <c r="V53" s="144">
        <f t="shared" si="45"/>
        <v>5.8823529411764497E-2</v>
      </c>
      <c r="W53" s="144">
        <f t="shared" si="46"/>
        <v>4.7058823529411598E-2</v>
      </c>
      <c r="AA53" s="178">
        <f t="shared" si="44"/>
        <v>1.3196136442742783</v>
      </c>
      <c r="AB53" s="156">
        <f t="shared" si="47"/>
        <v>1.0418616842026436</v>
      </c>
      <c r="AC53" s="144">
        <f t="shared" si="48"/>
        <v>1.3283153498085629</v>
      </c>
      <c r="AD53" s="144">
        <f t="shared" si="49"/>
        <v>1.0481022453539024</v>
      </c>
      <c r="AE53" s="144">
        <f t="shared" si="50"/>
        <v>8.7017055342846206E-3</v>
      </c>
      <c r="AF53" s="144">
        <f t="shared" si="50"/>
        <v>6.2405611512588166E-3</v>
      </c>
    </row>
    <row r="54" spans="16:32" x14ac:dyDescent="0.2">
      <c r="P54" s="153"/>
      <c r="V54" s="144">
        <f t="shared" si="45"/>
        <v>5.8823529411764497E-2</v>
      </c>
      <c r="W54" s="144">
        <f t="shared" si="46"/>
        <v>4.7058823529411598E-2</v>
      </c>
      <c r="AA54" s="178">
        <f t="shared" si="44"/>
        <v>1.2646589736373022</v>
      </c>
      <c r="AB54" s="156">
        <f t="shared" si="47"/>
        <v>1.0172558768690823</v>
      </c>
      <c r="AC54" s="144">
        <f t="shared" si="48"/>
        <v>1.2729983008620784</v>
      </c>
      <c r="AD54" s="144">
        <f t="shared" si="49"/>
        <v>1.0233490537296339</v>
      </c>
      <c r="AE54" s="144">
        <f t="shared" si="50"/>
        <v>8.3393272247762606E-3</v>
      </c>
      <c r="AF54" s="144">
        <f t="shared" si="50"/>
        <v>6.0931768605516634E-3</v>
      </c>
    </row>
    <row r="55" spans="16:32" x14ac:dyDescent="0.2">
      <c r="P55" s="153"/>
      <c r="V55" s="144">
        <f t="shared" si="45"/>
        <v>6.6928104575163516E-2</v>
      </c>
      <c r="W55" s="144">
        <f t="shared" si="46"/>
        <v>5.3542483660130813E-2</v>
      </c>
      <c r="AA55" s="178">
        <f t="shared" si="44"/>
        <v>1.233667043127046</v>
      </c>
      <c r="AB55" s="156">
        <f t="shared" si="47"/>
        <v>1.0541480643158645</v>
      </c>
      <c r="AC55" s="144">
        <f t="shared" si="48"/>
        <v>1.2423788042172073</v>
      </c>
      <c r="AD55" s="144">
        <f t="shared" si="49"/>
        <v>1.0609074547693476</v>
      </c>
      <c r="AE55" s="144">
        <f t="shared" si="50"/>
        <v>8.7117610901612519E-3</v>
      </c>
      <c r="AF55" s="144">
        <f t="shared" si="50"/>
        <v>6.7593904534830607E-3</v>
      </c>
    </row>
    <row r="56" spans="16:32" x14ac:dyDescent="0.2">
      <c r="P56" s="153"/>
      <c r="V56" s="144">
        <f t="shared" si="45"/>
        <v>6.6928104575163516E-2</v>
      </c>
      <c r="W56" s="144">
        <f t="shared" si="46"/>
        <v>5.3542483660130813E-2</v>
      </c>
      <c r="AA56" s="178">
        <f t="shared" si="44"/>
        <v>1.1900985162547206</v>
      </c>
      <c r="AB56" s="156">
        <f t="shared" si="47"/>
        <v>1.0282383074400092</v>
      </c>
      <c r="AC56" s="144">
        <f t="shared" si="48"/>
        <v>1.1985026103781127</v>
      </c>
      <c r="AD56" s="144">
        <f t="shared" si="49"/>
        <v>1.0348315597870847</v>
      </c>
      <c r="AE56" s="144">
        <f t="shared" si="50"/>
        <v>8.4040941233920474E-3</v>
      </c>
      <c r="AF56" s="144">
        <f t="shared" si="50"/>
        <v>6.5932523470755289E-3</v>
      </c>
    </row>
    <row r="57" spans="16:32" x14ac:dyDescent="0.2">
      <c r="P57" s="153"/>
      <c r="V57" s="144">
        <f t="shared" si="45"/>
        <v>6.6928104575163516E-2</v>
      </c>
      <c r="W57" s="144">
        <f t="shared" si="46"/>
        <v>5.3542483660130813E-2</v>
      </c>
      <c r="AA57" s="178">
        <f t="shared" si="44"/>
        <v>1.151597455507112</v>
      </c>
      <c r="AB57" s="156">
        <f t="shared" si="47"/>
        <v>1.001693575702834</v>
      </c>
      <c r="AC57" s="144">
        <f t="shared" si="48"/>
        <v>1.1597296674846531</v>
      </c>
      <c r="AD57" s="144">
        <f t="shared" si="49"/>
        <v>1.0081166183683967</v>
      </c>
      <c r="AE57" s="144">
        <f t="shared" si="50"/>
        <v>8.1322119775411039E-3</v>
      </c>
      <c r="AF57" s="144">
        <f t="shared" si="50"/>
        <v>6.423042665562706E-3</v>
      </c>
    </row>
    <row r="58" spans="16:32" x14ac:dyDescent="0.2">
      <c r="P58" s="153"/>
      <c r="V58" s="144">
        <f t="shared" si="45"/>
        <v>7.6830732292915371E-2</v>
      </c>
      <c r="W58" s="144">
        <f t="shared" si="46"/>
        <v>6.1464585834333008E-2</v>
      </c>
      <c r="AA58" s="178">
        <f t="shared" si="44"/>
        <v>1.1918671669109799</v>
      </c>
      <c r="AB58" s="156">
        <f t="shared" si="47"/>
        <v>1.0417262031554746</v>
      </c>
      <c r="AC58" s="144">
        <f t="shared" si="48"/>
        <v>1.2009260594436748</v>
      </c>
      <c r="AD58" s="144">
        <f t="shared" si="49"/>
        <v>1.0489126901345145</v>
      </c>
      <c r="AE58" s="144">
        <f t="shared" si="50"/>
        <v>9.0588925326948733E-3</v>
      </c>
      <c r="AF58" s="144">
        <f t="shared" si="50"/>
        <v>7.1864869790398966E-3</v>
      </c>
    </row>
    <row r="59" spans="16:32" x14ac:dyDescent="0.2">
      <c r="P59" s="153"/>
      <c r="V59" s="144">
        <f t="shared" si="45"/>
        <v>7.6830732292915371E-2</v>
      </c>
      <c r="W59" s="144">
        <f t="shared" si="46"/>
        <v>6.1464585834333008E-2</v>
      </c>
      <c r="AA59" s="178">
        <f t="shared" si="44"/>
        <v>1.1572436644949913</v>
      </c>
      <c r="AB59" s="156">
        <f t="shared" si="47"/>
        <v>1.0141688146369054</v>
      </c>
      <c r="AC59" s="144">
        <f t="shared" si="48"/>
        <v>1.166039398014501</v>
      </c>
      <c r="AD59" s="144">
        <f t="shared" si="49"/>
        <v>1.0211651933003774</v>
      </c>
      <c r="AE59" s="144">
        <f t="shared" si="50"/>
        <v>8.7957335195096853E-3</v>
      </c>
      <c r="AF59" s="144">
        <f t="shared" si="50"/>
        <v>6.9963786634719138E-3</v>
      </c>
    </row>
    <row r="60" spans="16:32" x14ac:dyDescent="0.2">
      <c r="P60" s="153"/>
      <c r="V60" s="144">
        <f t="shared" si="45"/>
        <v>8.9105464671076717E-2</v>
      </c>
      <c r="W60" s="144">
        <f t="shared" si="46"/>
        <v>7.1284371736860308E-2</v>
      </c>
      <c r="AA60" s="178">
        <f t="shared" si="44"/>
        <v>1.2090796983926924</v>
      </c>
      <c r="AB60" s="156">
        <f t="shared" si="47"/>
        <v>1.0571237086677463</v>
      </c>
      <c r="AC60" s="144">
        <f t="shared" si="48"/>
        <v>1.2190286686281233</v>
      </c>
      <c r="AD60" s="144">
        <f t="shared" si="49"/>
        <v>1.0650150840094703</v>
      </c>
      <c r="AE60" s="144">
        <f t="shared" si="50"/>
        <v>9.9489702354309539E-3</v>
      </c>
      <c r="AF60" s="144">
        <f t="shared" si="50"/>
        <v>7.8913753417240162E-3</v>
      </c>
    </row>
    <row r="61" spans="16:32" x14ac:dyDescent="0.2">
      <c r="P61" s="153"/>
      <c r="V61" s="144">
        <f t="shared" si="45"/>
        <v>8.9105464671076717E-2</v>
      </c>
      <c r="W61" s="144">
        <f t="shared" si="46"/>
        <v>7.1284371736860308E-2</v>
      </c>
      <c r="AA61" s="178">
        <f t="shared" si="44"/>
        <v>1.1796100270947225</v>
      </c>
      <c r="AB61" s="156">
        <f t="shared" si="47"/>
        <v>1.0256057358269415</v>
      </c>
      <c r="AC61" s="144">
        <f t="shared" si="48"/>
        <v>1.1893165047277376</v>
      </c>
      <c r="AD61" s="144">
        <f t="shared" si="49"/>
        <v>1.0332618310858732</v>
      </c>
      <c r="AE61" s="144">
        <f t="shared" si="50"/>
        <v>9.7064776330151314E-3</v>
      </c>
      <c r="AF61" s="144">
        <f t="shared" si="50"/>
        <v>7.6560952589317388E-3</v>
      </c>
    </row>
    <row r="62" spans="16:32" x14ac:dyDescent="0.2">
      <c r="P62" s="153"/>
      <c r="V62" s="144">
        <f t="shared" si="45"/>
        <v>8.9105464671076717E-2</v>
      </c>
      <c r="W62" s="144">
        <f t="shared" si="46"/>
        <v>7.1284371736860308E-2</v>
      </c>
      <c r="AA62" s="178">
        <f t="shared" si="44"/>
        <v>1.1512366829214142</v>
      </c>
      <c r="AB62" s="156">
        <f t="shared" si="47"/>
        <v>0.99720236895754888</v>
      </c>
      <c r="AC62" s="144">
        <f t="shared" si="48"/>
        <v>1.160709689132293</v>
      </c>
      <c r="AD62" s="144">
        <f t="shared" si="49"/>
        <v>1.0046464345106882</v>
      </c>
      <c r="AE62" s="144">
        <f t="shared" si="50"/>
        <v>9.4730062108787649E-3</v>
      </c>
      <c r="AF62" s="144">
        <f t="shared" si="50"/>
        <v>7.4440655531393674E-3</v>
      </c>
    </row>
    <row r="63" spans="16:32" x14ac:dyDescent="0.2">
      <c r="P63" s="153"/>
      <c r="V63" s="144">
        <f t="shared" si="45"/>
        <v>8.9105464671074941E-2</v>
      </c>
      <c r="W63" s="144">
        <f t="shared" si="46"/>
        <v>7.1284371736862084E-2</v>
      </c>
      <c r="AA63" s="178">
        <f t="shared" si="44"/>
        <v>1.181799305616815</v>
      </c>
      <c r="AB63" s="156">
        <f t="shared" si="47"/>
        <v>1.0131031281616145</v>
      </c>
      <c r="AC63" s="144">
        <f t="shared" si="48"/>
        <v>1.1910506334165456</v>
      </c>
      <c r="AD63" s="144">
        <f t="shared" si="49"/>
        <v>1.0203305448062487</v>
      </c>
      <c r="AE63" s="144">
        <f t="shared" si="50"/>
        <v>9.2513277997305909E-3</v>
      </c>
      <c r="AF63" s="144">
        <f t="shared" si="50"/>
        <v>7.2274166446342214E-3</v>
      </c>
    </row>
    <row r="64" spans="16:32" x14ac:dyDescent="0.2">
      <c r="P64" s="153"/>
      <c r="V64" s="144">
        <f t="shared" si="45"/>
        <v>0.10457516339869422</v>
      </c>
      <c r="W64" s="144">
        <f t="shared" si="46"/>
        <v>8.3660130718953951E-2</v>
      </c>
      <c r="AA64" s="178">
        <f t="shared" si="44"/>
        <v>1.2383059231575426</v>
      </c>
      <c r="AB64" s="156">
        <f t="shared" si="47"/>
        <v>1.0626165826697862</v>
      </c>
      <c r="AC64" s="144">
        <f t="shared" si="48"/>
        <v>1.2488694200494819</v>
      </c>
      <c r="AD64" s="144">
        <f t="shared" si="49"/>
        <v>1.0708731217736696</v>
      </c>
      <c r="AE64" s="144">
        <f t="shared" si="50"/>
        <v>1.056349689193925E-2</v>
      </c>
      <c r="AF64" s="144">
        <f t="shared" si="50"/>
        <v>8.2565391038833535E-3</v>
      </c>
    </row>
    <row r="65" spans="16:32" x14ac:dyDescent="0.2">
      <c r="P65" s="153"/>
      <c r="V65" s="144">
        <f t="shared" si="45"/>
        <v>0.10457516339869244</v>
      </c>
      <c r="W65" s="144">
        <f t="shared" si="46"/>
        <v>8.3660130718955728E-2</v>
      </c>
      <c r="AA65" s="156">
        <f t="shared" si="44"/>
        <v>1.2242991492501822</v>
      </c>
      <c r="AB65" s="156">
        <f t="shared" si="47"/>
        <v>1.0787174602296987</v>
      </c>
      <c r="AC65" s="144">
        <f t="shared" si="48"/>
        <v>1.2342558364454668</v>
      </c>
      <c r="AD65" s="144">
        <f t="shared" si="49"/>
        <v>1.0867413929882646</v>
      </c>
      <c r="AE65" s="144">
        <f t="shared" si="50"/>
        <v>9.9566871952845304E-3</v>
      </c>
      <c r="AF65" s="144">
        <f t="shared" si="50"/>
        <v>8.0239327585658327E-3</v>
      </c>
    </row>
    <row r="66" spans="16:32" x14ac:dyDescent="0.2">
      <c r="P66" s="153"/>
      <c r="V66" s="144">
        <f t="shared" si="45"/>
        <v>0.10457516339869244</v>
      </c>
      <c r="W66" s="144">
        <f t="shared" si="46"/>
        <v>8.3660130718955728E-2</v>
      </c>
      <c r="AA66" s="156">
        <f t="shared" si="44"/>
        <v>1.155535875023159</v>
      </c>
      <c r="AB66" s="156">
        <f t="shared" si="47"/>
        <v>1.0510944531300761</v>
      </c>
      <c r="AC66" s="144">
        <f t="shared" si="48"/>
        <v>1.1649333407141067</v>
      </c>
      <c r="AD66" s="144">
        <f t="shared" si="49"/>
        <v>1.0589129148920851</v>
      </c>
      <c r="AE66" s="144">
        <f t="shared" si="50"/>
        <v>9.3974656909476817E-3</v>
      </c>
      <c r="AF66" s="144">
        <f t="shared" si="50"/>
        <v>7.8184617620089547E-3</v>
      </c>
    </row>
    <row r="67" spans="16:32" x14ac:dyDescent="0.2">
      <c r="P67" s="153"/>
      <c r="V67" s="144">
        <f t="shared" si="45"/>
        <v>0.10457516339869244</v>
      </c>
      <c r="W67" s="144">
        <f t="shared" si="46"/>
        <v>8.3660130718955728E-2</v>
      </c>
      <c r="AA67" s="156">
        <f t="shared" si="44"/>
        <v>1.090597277872188</v>
      </c>
      <c r="AB67" s="156">
        <f t="shared" si="47"/>
        <v>1.0246955925227237</v>
      </c>
      <c r="AC67" s="144">
        <f t="shared" si="48"/>
        <v>1.0994666264774309</v>
      </c>
      <c r="AD67" s="144">
        <f t="shared" si="49"/>
        <v>1.0323176889803543</v>
      </c>
      <c r="AE67" s="144">
        <f t="shared" si="50"/>
        <v>8.8693486052429105E-3</v>
      </c>
      <c r="AF67" s="144">
        <f t="shared" si="50"/>
        <v>7.6220964576305672E-3</v>
      </c>
    </row>
    <row r="68" spans="16:32" x14ac:dyDescent="0.2">
      <c r="P68" s="153"/>
      <c r="V68" s="144">
        <f t="shared" si="45"/>
        <v>0.10457516339869244</v>
      </c>
      <c r="W68" s="144">
        <f t="shared" si="46"/>
        <v>8.3660130718955728E-2</v>
      </c>
      <c r="AA68" s="156">
        <f t="shared" si="44"/>
        <v>1.0323538012929789</v>
      </c>
      <c r="AB68" s="156">
        <f t="shared" si="47"/>
        <v>1.0006875474490009</v>
      </c>
      <c r="AC68" s="144">
        <f t="shared" si="48"/>
        <v>1.0407494812872291</v>
      </c>
      <c r="AD68" s="144">
        <f t="shared" si="49"/>
        <v>1.0081310624462971</v>
      </c>
      <c r="AE68" s="144">
        <f t="shared" si="50"/>
        <v>8.3956799942501714E-3</v>
      </c>
      <c r="AF68" s="144">
        <f t="shared" si="50"/>
        <v>7.44351499729623E-3</v>
      </c>
    </row>
    <row r="69" spans="16:32" x14ac:dyDescent="0.2">
      <c r="P69" s="153"/>
      <c r="V69" s="144">
        <f t="shared" si="45"/>
        <v>0.10457516339869422</v>
      </c>
      <c r="W69" s="144">
        <f t="shared" si="46"/>
        <v>8.3660130718953951E-2</v>
      </c>
      <c r="AA69" s="156">
        <f t="shared" si="44"/>
        <v>1.0235470088718606</v>
      </c>
      <c r="AB69" s="156">
        <f t="shared" si="47"/>
        <v>1.016924490767831</v>
      </c>
      <c r="AC69" s="144">
        <f t="shared" si="48"/>
        <v>1.0314999770837632</v>
      </c>
      <c r="AD69" s="144">
        <f t="shared" si="49"/>
        <v>1.0241791687829396</v>
      </c>
      <c r="AE69" s="144">
        <f t="shared" si="50"/>
        <v>7.9529682119026113E-3</v>
      </c>
      <c r="AF69" s="144">
        <f t="shared" si="50"/>
        <v>7.2546780151085954E-3</v>
      </c>
    </row>
    <row r="70" spans="16:32" x14ac:dyDescent="0.2">
      <c r="P70" s="153"/>
      <c r="V70" s="144">
        <f t="shared" si="45"/>
        <v>0.12445308701993163</v>
      </c>
      <c r="W70" s="144">
        <f t="shared" si="46"/>
        <v>9.9562469615946725E-2</v>
      </c>
      <c r="AA70" s="156">
        <f t="shared" si="44"/>
        <v>1.0568551421818795</v>
      </c>
      <c r="AB70" s="156">
        <f t="shared" si="47"/>
        <v>1.0765719623992407</v>
      </c>
      <c r="AC70" s="144">
        <f t="shared" si="48"/>
        <v>1.0658707543992552</v>
      </c>
      <c r="AD70" s="144">
        <f t="shared" si="49"/>
        <v>1.0849995524958147</v>
      </c>
      <c r="AE70" s="144">
        <f t="shared" si="50"/>
        <v>9.0156122173756792E-3</v>
      </c>
      <c r="AF70" s="144">
        <f t="shared" si="50"/>
        <v>8.4275900965740114E-3</v>
      </c>
    </row>
    <row r="71" spans="16:32" x14ac:dyDescent="0.2">
      <c r="P71" s="153"/>
      <c r="V71" s="144">
        <f t="shared" si="45"/>
        <v>0.12445308701993341</v>
      </c>
      <c r="W71" s="144">
        <f t="shared" si="46"/>
        <v>9.9562469615943172E-2</v>
      </c>
      <c r="AA71" s="156">
        <f t="shared" si="44"/>
        <v>1.0518919944248233</v>
      </c>
      <c r="AB71" s="156">
        <f t="shared" si="47"/>
        <v>1.0931433234524519</v>
      </c>
      <c r="AC71" s="144">
        <f t="shared" si="48"/>
        <v>1.0604799632528867</v>
      </c>
      <c r="AD71" s="144">
        <f t="shared" si="49"/>
        <v>1.1013622530712293</v>
      </c>
      <c r="AE71" s="144">
        <f t="shared" si="50"/>
        <v>8.5879688280634525E-3</v>
      </c>
      <c r="AF71" s="144">
        <f t="shared" si="50"/>
        <v>8.2189296187773486E-3</v>
      </c>
    </row>
    <row r="72" spans="16:32" x14ac:dyDescent="0.2">
      <c r="P72" s="153"/>
      <c r="V72" s="144">
        <f t="shared" si="45"/>
        <v>0.12445308701993341</v>
      </c>
      <c r="W72" s="144">
        <f t="shared" si="46"/>
        <v>9.9562469615943172E-2</v>
      </c>
      <c r="AA72" s="156">
        <f t="shared" si="44"/>
        <v>1.0082382857349146</v>
      </c>
      <c r="AB72" s="156">
        <f t="shared" si="47"/>
        <v>1.0690713901971036</v>
      </c>
      <c r="AC72" s="144">
        <f t="shared" si="48"/>
        <v>1.0164698522978737</v>
      </c>
      <c r="AD72" s="144">
        <f t="shared" si="49"/>
        <v>1.0771093320890488</v>
      </c>
      <c r="AE72" s="144">
        <f t="shared" si="50"/>
        <v>8.2315665629590917E-3</v>
      </c>
      <c r="AF72" s="144">
        <f t="shared" si="50"/>
        <v>8.0379418919451773E-3</v>
      </c>
    </row>
    <row r="73" spans="16:32" x14ac:dyDescent="0.2">
      <c r="P73" s="153"/>
      <c r="V73" s="144">
        <f t="shared" si="45"/>
        <v>0.12445308701993341</v>
      </c>
      <c r="W73" s="144">
        <f t="shared" si="46"/>
        <v>9.9562469615943172E-2</v>
      </c>
      <c r="AA73" s="156">
        <f t="shared" si="44"/>
        <v>1.0061581216736748</v>
      </c>
      <c r="AB73" s="156">
        <f t="shared" si="47"/>
        <v>1.0844205103172573</v>
      </c>
      <c r="AC73" s="144">
        <f t="shared" si="48"/>
        <v>1.0140345001397342</v>
      </c>
      <c r="AD73" s="144">
        <f t="shared" si="49"/>
        <v>1.0922637108258353</v>
      </c>
      <c r="AE73" s="144">
        <f t="shared" si="50"/>
        <v>7.876378466059375E-3</v>
      </c>
      <c r="AF73" s="144">
        <f t="shared" si="50"/>
        <v>7.8432005085780077E-3</v>
      </c>
    </row>
    <row r="74" spans="16:32" x14ac:dyDescent="0.2">
      <c r="P74" s="153"/>
      <c r="V74" s="144">
        <f>W36-Y36</f>
        <v>0.15058823529411924</v>
      </c>
      <c r="W74" s="144">
        <f t="shared" si="46"/>
        <v>0.12047058823529255</v>
      </c>
      <c r="AA74" s="156">
        <f t="shared" si="44"/>
        <v>1.0576366985009864</v>
      </c>
      <c r="AB74" s="156">
        <f t="shared" si="47"/>
        <v>1.1597303438985822</v>
      </c>
      <c r="AC74" s="144">
        <f t="shared" si="48"/>
        <v>1.0668086156695586</v>
      </c>
      <c r="AD74" s="144">
        <f t="shared" si="49"/>
        <v>1.1690174737796519</v>
      </c>
      <c r="AE74" s="144">
        <f t="shared" si="50"/>
        <v>9.1719171685722412E-3</v>
      </c>
      <c r="AF74" s="144">
        <f t="shared" si="50"/>
        <v>9.2871298810697223E-3</v>
      </c>
    </row>
    <row r="75" spans="16:32" x14ac:dyDescent="0.2">
      <c r="P75" s="153"/>
      <c r="V75" s="144">
        <f t="shared" si="45"/>
        <v>0.15058823529411569</v>
      </c>
      <c r="W75" s="144">
        <f t="shared" si="46"/>
        <v>0.12047058823529611</v>
      </c>
      <c r="AA75" s="156">
        <f t="shared" si="44"/>
        <v>1.0589785321243124</v>
      </c>
      <c r="AB75" s="156">
        <f t="shared" si="47"/>
        <v>1.1767896743725972</v>
      </c>
      <c r="AC75" s="144">
        <f t="shared" si="48"/>
        <v>1.0677964642159017</v>
      </c>
      <c r="AD75" s="144">
        <f t="shared" si="49"/>
        <v>1.185865902278098</v>
      </c>
      <c r="AE75" s="144">
        <f t="shared" si="50"/>
        <v>8.81793209158932E-3</v>
      </c>
      <c r="AF75" s="144">
        <f t="shared" si="50"/>
        <v>9.0762279055007777E-3</v>
      </c>
    </row>
    <row r="76" spans="16:32" x14ac:dyDescent="0.2">
      <c r="P76" s="153"/>
      <c r="V76" s="144"/>
    </row>
    <row r="77" spans="16:32" x14ac:dyDescent="0.2">
      <c r="P77" s="153"/>
      <c r="V77" s="144"/>
      <c r="AA77" s="141" t="s">
        <v>132</v>
      </c>
    </row>
    <row r="78" spans="16:32" x14ac:dyDescent="0.2">
      <c r="P78" s="153"/>
      <c r="V78" s="144"/>
    </row>
    <row r="79" spans="16:32" x14ac:dyDescent="0.2">
      <c r="P79" s="153"/>
    </row>
    <row r="80" spans="16:32" x14ac:dyDescent="0.2">
      <c r="P80" s="153"/>
    </row>
    <row r="81" spans="16:16" x14ac:dyDescent="0.2">
      <c r="P81" s="153"/>
    </row>
    <row r="82" spans="16:16" x14ac:dyDescent="0.2">
      <c r="P82" s="153"/>
    </row>
    <row r="83" spans="16:16" x14ac:dyDescent="0.2">
      <c r="P83" s="153"/>
    </row>
    <row r="84" spans="16:16" x14ac:dyDescent="0.2">
      <c r="P84" s="153"/>
    </row>
    <row r="85" spans="16:16" x14ac:dyDescent="0.2">
      <c r="P85" s="153"/>
    </row>
    <row r="86" spans="16:16" x14ac:dyDescent="0.2">
      <c r="P86" s="153"/>
    </row>
    <row r="87" spans="16:16" x14ac:dyDescent="0.2">
      <c r="P87" s="153"/>
    </row>
    <row r="88" spans="16:16" x14ac:dyDescent="0.2">
      <c r="P88" s="153"/>
    </row>
    <row r="89" spans="16:16" x14ac:dyDescent="0.2">
      <c r="P89" s="153"/>
    </row>
    <row r="90" spans="16:16" x14ac:dyDescent="0.2">
      <c r="P90" s="153"/>
    </row>
    <row r="91" spans="16:16" x14ac:dyDescent="0.2">
      <c r="P91" s="153"/>
    </row>
    <row r="92" spans="16:16" x14ac:dyDescent="0.2">
      <c r="P92" s="153"/>
    </row>
    <row r="93" spans="16:16" x14ac:dyDescent="0.2">
      <c r="P93" s="153"/>
    </row>
    <row r="94" spans="16:16" x14ac:dyDescent="0.2">
      <c r="P94" s="153"/>
    </row>
    <row r="95" spans="16:16" x14ac:dyDescent="0.2">
      <c r="P95" s="153"/>
    </row>
    <row r="96" spans="16:16" x14ac:dyDescent="0.2">
      <c r="P96" s="153"/>
    </row>
    <row r="97" spans="16:16" x14ac:dyDescent="0.2">
      <c r="P97" s="153"/>
    </row>
    <row r="98" spans="16:16" x14ac:dyDescent="0.2">
      <c r="P98" s="153"/>
    </row>
  </sheetData>
  <mergeCells count="7">
    <mergeCell ref="AN1:AU1"/>
    <mergeCell ref="AN2:AU2"/>
    <mergeCell ref="AN3:AU3"/>
    <mergeCell ref="AN4:AU4"/>
    <mergeCell ref="AP5:AQ5"/>
    <mergeCell ref="AR5:AS5"/>
    <mergeCell ref="AT5:AU5"/>
  </mergeCells>
  <pageMargins left="1" right="0.75" top="1" bottom="1" header="0.5" footer="0.5"/>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88"/>
  <sheetViews>
    <sheetView workbookViewId="0">
      <selection activeCell="Q45" sqref="Q45"/>
    </sheetView>
  </sheetViews>
  <sheetFormatPr defaultRowHeight="12.75" x14ac:dyDescent="0.2"/>
  <cols>
    <col min="1" max="1" width="8.7109375" customWidth="1"/>
    <col min="2" max="2" width="6.7109375" customWidth="1"/>
    <col min="3" max="3" width="7.7109375" customWidth="1"/>
    <col min="4" max="9" width="6.7109375" customWidth="1"/>
    <col min="10" max="11" width="7.7109375" customWidth="1"/>
    <col min="12" max="12" width="10.140625" customWidth="1"/>
    <col min="13" max="13" width="10.140625" style="154" customWidth="1"/>
    <col min="14" max="14" width="8.85546875" style="154" customWidth="1"/>
    <col min="15" max="15" width="8" style="154" customWidth="1"/>
    <col min="16" max="17" width="7.140625" customWidth="1"/>
    <col min="18" max="18" width="7.5703125" customWidth="1"/>
    <col min="19" max="20" width="8.7109375" customWidth="1"/>
    <col min="21" max="21" width="1.7109375" customWidth="1"/>
    <col min="22" max="28" width="8.7109375" customWidth="1"/>
    <col min="29" max="29" width="7.7109375" customWidth="1"/>
    <col min="30" max="31" width="8.7109375" customWidth="1"/>
    <col min="32" max="33" width="6.7109375" customWidth="1"/>
    <col min="34" max="34" width="8.28515625" style="154" customWidth="1"/>
    <col min="35" max="35" width="6.7109375" style="154" customWidth="1"/>
    <col min="36" max="36" width="10.28515625" customWidth="1"/>
    <col min="37" max="37" width="8.7109375" customWidth="1"/>
    <col min="38" max="38" width="8.7109375" style="154" customWidth="1"/>
    <col min="39" max="39" width="8.7109375" customWidth="1"/>
    <col min="40" max="40" width="10.140625" customWidth="1"/>
    <col min="41" max="41" width="1.7109375" customWidth="1"/>
    <col min="42" max="43" width="8.7109375" customWidth="1"/>
    <col min="44" max="45" width="11.7109375" customWidth="1"/>
  </cols>
  <sheetData>
    <row r="1" spans="1:56" ht="20.25" x14ac:dyDescent="0.3">
      <c r="AP1" s="212" t="s">
        <v>53</v>
      </c>
      <c r="AQ1" s="212"/>
      <c r="AR1" s="212"/>
      <c r="AS1" s="212"/>
      <c r="AT1" s="212"/>
      <c r="AU1" s="212"/>
      <c r="AV1" s="212"/>
      <c r="AW1" s="212"/>
    </row>
    <row r="2" spans="1:56" ht="20.25" x14ac:dyDescent="0.3">
      <c r="A2" s="29" t="s">
        <v>45</v>
      </c>
      <c r="V2" s="29" t="s">
        <v>45</v>
      </c>
      <c r="AP2" s="213" t="s">
        <v>97</v>
      </c>
      <c r="AQ2" s="213"/>
      <c r="AR2" s="213"/>
      <c r="AS2" s="213"/>
      <c r="AT2" s="213"/>
      <c r="AU2" s="213"/>
      <c r="AV2" s="213"/>
      <c r="AW2" s="213"/>
    </row>
    <row r="3" spans="1:56" ht="15.75" x14ac:dyDescent="0.25">
      <c r="J3" t="s">
        <v>99</v>
      </c>
      <c r="Q3" t="s">
        <v>98</v>
      </c>
      <c r="T3" s="124" t="s">
        <v>92</v>
      </c>
      <c r="U3" s="124"/>
      <c r="V3" s="189" t="s">
        <v>140</v>
      </c>
      <c r="W3" s="292">
        <v>60</v>
      </c>
      <c r="X3" s="154" t="s">
        <v>142</v>
      </c>
      <c r="AN3" s="124" t="s">
        <v>76</v>
      </c>
      <c r="AP3" s="216" t="s">
        <v>141</v>
      </c>
      <c r="AQ3" s="216"/>
      <c r="AR3" s="216"/>
      <c r="AS3" s="216"/>
      <c r="AT3" s="216"/>
      <c r="AU3" s="216"/>
      <c r="AV3" s="216"/>
      <c r="AW3" s="216"/>
      <c r="BA3" s="141" t="s">
        <v>143</v>
      </c>
    </row>
    <row r="4" spans="1:56" x14ac:dyDescent="0.2">
      <c r="D4" s="140" t="s">
        <v>113</v>
      </c>
      <c r="E4" s="140" t="s">
        <v>113</v>
      </c>
      <c r="F4" s="140" t="s">
        <v>113</v>
      </c>
      <c r="G4" s="140" t="s">
        <v>113</v>
      </c>
      <c r="H4" s="140" t="s">
        <v>113</v>
      </c>
      <c r="I4" s="140" t="s">
        <v>113</v>
      </c>
      <c r="J4" s="140" t="s">
        <v>113</v>
      </c>
      <c r="K4" s="140" t="s">
        <v>113</v>
      </c>
      <c r="L4" s="148" t="s">
        <v>105</v>
      </c>
      <c r="M4" s="148"/>
      <c r="N4" s="148"/>
      <c r="O4" s="148"/>
      <c r="P4" s="140" t="s">
        <v>113</v>
      </c>
      <c r="R4" t="s">
        <v>107</v>
      </c>
      <c r="V4" s="140" t="s">
        <v>113</v>
      </c>
      <c r="W4" s="140" t="s">
        <v>113</v>
      </c>
      <c r="X4" s="140" t="s">
        <v>113</v>
      </c>
      <c r="Y4" s="140" t="s">
        <v>113</v>
      </c>
      <c r="Z4" s="140" t="s">
        <v>113</v>
      </c>
      <c r="AA4" s="140" t="s">
        <v>113</v>
      </c>
      <c r="AB4" s="140" t="s">
        <v>113</v>
      </c>
      <c r="AC4" s="140" t="s">
        <v>113</v>
      </c>
      <c r="AD4" s="140" t="s">
        <v>113</v>
      </c>
      <c r="AE4" s="140" t="s">
        <v>113</v>
      </c>
      <c r="AF4" s="140" t="s">
        <v>113</v>
      </c>
      <c r="AG4" s="140" t="s">
        <v>113</v>
      </c>
      <c r="AH4" s="140"/>
      <c r="AI4" s="140"/>
      <c r="AJ4" s="140" t="s">
        <v>113</v>
      </c>
      <c r="AK4" s="140" t="s">
        <v>113</v>
      </c>
      <c r="AL4" s="140"/>
      <c r="AM4" t="s">
        <v>109</v>
      </c>
      <c r="AR4" s="210" t="s">
        <v>94</v>
      </c>
      <c r="AS4" s="211"/>
      <c r="AT4" s="210" t="s">
        <v>48</v>
      </c>
      <c r="AU4" s="214"/>
      <c r="AV4" s="210" t="s">
        <v>49</v>
      </c>
      <c r="AW4" s="211"/>
      <c r="BA4">
        <v>4500</v>
      </c>
    </row>
    <row r="5" spans="1:56" ht="13.5" thickBot="1" x14ac:dyDescent="0.25">
      <c r="A5" s="13" t="s">
        <v>5</v>
      </c>
      <c r="B5" s="54" t="s">
        <v>10</v>
      </c>
      <c r="C5" s="31" t="s">
        <v>75</v>
      </c>
      <c r="D5" s="67" t="s">
        <v>2</v>
      </c>
      <c r="E5" s="15" t="s">
        <v>3</v>
      </c>
      <c r="F5" s="67" t="s">
        <v>6</v>
      </c>
      <c r="G5" s="16" t="s">
        <v>7</v>
      </c>
      <c r="H5" s="67" t="s">
        <v>35</v>
      </c>
      <c r="I5" s="15" t="s">
        <v>4</v>
      </c>
      <c r="J5" s="67" t="s">
        <v>1</v>
      </c>
      <c r="K5" s="16" t="s">
        <v>0</v>
      </c>
      <c r="L5" s="54" t="s">
        <v>8</v>
      </c>
      <c r="M5" s="54" t="s">
        <v>170</v>
      </c>
      <c r="N5" s="31" t="s">
        <v>171</v>
      </c>
      <c r="O5" s="14" t="s">
        <v>172</v>
      </c>
      <c r="P5" s="54" t="s">
        <v>9</v>
      </c>
      <c r="Q5" s="67" t="s">
        <v>13</v>
      </c>
      <c r="R5" s="16" t="s">
        <v>14</v>
      </c>
      <c r="S5" s="67" t="s">
        <v>19</v>
      </c>
      <c r="T5" s="16" t="s">
        <v>20</v>
      </c>
      <c r="U5" s="121"/>
      <c r="V5" s="67" t="s">
        <v>16</v>
      </c>
      <c r="W5" s="16" t="s">
        <v>17</v>
      </c>
      <c r="X5" s="67" t="s">
        <v>15</v>
      </c>
      <c r="Y5" s="15" t="s">
        <v>18</v>
      </c>
      <c r="Z5" s="67" t="s">
        <v>50</v>
      </c>
      <c r="AA5" s="16" t="s">
        <v>51</v>
      </c>
      <c r="AB5" s="14" t="s">
        <v>5</v>
      </c>
      <c r="AC5" s="54" t="s">
        <v>10</v>
      </c>
      <c r="AD5" s="67" t="s">
        <v>1</v>
      </c>
      <c r="AE5" s="16" t="s">
        <v>0</v>
      </c>
      <c r="AF5" s="67" t="s">
        <v>39</v>
      </c>
      <c r="AG5" s="67" t="s">
        <v>40</v>
      </c>
      <c r="AH5" s="16" t="s">
        <v>176</v>
      </c>
      <c r="AI5" s="15" t="s">
        <v>177</v>
      </c>
      <c r="AJ5" s="67" t="s">
        <v>44</v>
      </c>
      <c r="AK5" s="67" t="s">
        <v>41</v>
      </c>
      <c r="AL5" s="67" t="s">
        <v>156</v>
      </c>
      <c r="AM5" s="281" t="s">
        <v>108</v>
      </c>
      <c r="AN5" s="16" t="s">
        <v>43</v>
      </c>
      <c r="AP5" s="13" t="s">
        <v>46</v>
      </c>
      <c r="AQ5" s="54" t="s">
        <v>47</v>
      </c>
      <c r="AR5" s="58" t="s">
        <v>43</v>
      </c>
      <c r="AS5" s="46" t="s">
        <v>44</v>
      </c>
      <c r="AT5" s="58" t="s">
        <v>1</v>
      </c>
      <c r="AU5" s="53" t="s">
        <v>0</v>
      </c>
      <c r="AV5" s="58" t="s">
        <v>1</v>
      </c>
      <c r="AW5" s="46" t="s">
        <v>0</v>
      </c>
    </row>
    <row r="6" spans="1:56" ht="13.5" thickTop="1" x14ac:dyDescent="0.2">
      <c r="A6" s="2">
        <v>5</v>
      </c>
      <c r="B6" s="221">
        <v>8</v>
      </c>
      <c r="C6" s="32">
        <f>B6/12*0.15</f>
        <v>9.9999999999999992E-2</v>
      </c>
      <c r="D6" s="253">
        <f>-0.1*C6*A6^2</f>
        <v>-0.25</v>
      </c>
      <c r="E6" s="99">
        <f>0.08*C6*A6^2</f>
        <v>0.2</v>
      </c>
      <c r="F6" s="253">
        <f>-0.1*0.05*A6^2</f>
        <v>-0.12500000000000003</v>
      </c>
      <c r="G6" s="108">
        <f>0.08*0.05*A6^2</f>
        <v>0.1</v>
      </c>
      <c r="H6" s="294">
        <v>-2.66</v>
      </c>
      <c r="I6" s="99">
        <v>4.6500000000000004</v>
      </c>
      <c r="J6" s="253">
        <f>1.25*D6+1.5*F6+1.75*H6</f>
        <v>-5.1550000000000002</v>
      </c>
      <c r="K6" s="108">
        <f>1.25*E6+1.5*G6+1.75*I6</f>
        <v>8.5375000000000014</v>
      </c>
      <c r="L6" s="236">
        <v>4</v>
      </c>
      <c r="M6" s="236">
        <v>6.5</v>
      </c>
      <c r="N6" s="297">
        <v>0.2</v>
      </c>
      <c r="O6" s="236">
        <v>0.5</v>
      </c>
      <c r="P6" s="43">
        <f>N6*12/M6</f>
        <v>0.36923076923076931</v>
      </c>
      <c r="Q6" s="195">
        <f>B6-2.5-O6/2</f>
        <v>5.25</v>
      </c>
      <c r="R6" s="102">
        <f>B6-1.5-O6/2-0.5</f>
        <v>5.75</v>
      </c>
      <c r="S6" s="287">
        <f>P6/(12*Q6)</f>
        <v>5.8608058608058617E-3</v>
      </c>
      <c r="T6" s="115">
        <f>P6/(12*R6)</f>
        <v>5.3511705685618744E-3</v>
      </c>
      <c r="U6" s="125"/>
      <c r="V6" s="253">
        <f>0.9*P6*$W$3*(Q6-0.5*S6*($W$3/(0.85*4.5))*Q6)/12</f>
        <v>8.3221023320570851</v>
      </c>
      <c r="W6" s="108">
        <f>0.9*P6*$W$3*(R6-0.5*T6*($W$3/(0.85*4.5))*R6)/12</f>
        <v>9.1528715628263146</v>
      </c>
      <c r="X6" s="253">
        <f>0.9*P6*$W$3*(Q6-0.5*S6*($W$3/(0.85*4))*Q6)/12</f>
        <v>8.2719805081796043</v>
      </c>
      <c r="Y6" s="99">
        <f>0.9*P6*$W$3*(R6-0.5*T6*($W$3/(0.85*4))*R6)/12</f>
        <v>9.1027497389488357</v>
      </c>
      <c r="Z6" s="253">
        <f>0.9*P6*$W$3*(Q6-0.5*S6*($W$3/(0.85*5))*Q6)/12</f>
        <v>8.3621997911590693</v>
      </c>
      <c r="AA6" s="108">
        <f>0.9*P6*$W$3*(R6-0.5*T6*($W$3/(0.85*5))*R6)/12</f>
        <v>9.1929690219282989</v>
      </c>
      <c r="AB6" s="3">
        <f t="shared" ref="AB6:AB46" si="0">A6</f>
        <v>5</v>
      </c>
      <c r="AC6" s="55">
        <f t="shared" ref="AC6:AC46" si="1">B6</f>
        <v>8</v>
      </c>
      <c r="AD6" s="253">
        <f t="shared" ref="AD6:AD46" si="2">J6</f>
        <v>-5.1550000000000002</v>
      </c>
      <c r="AE6" s="108">
        <f t="shared" ref="AE6:AE46" si="3">K6</f>
        <v>8.5375000000000014</v>
      </c>
      <c r="AF6" s="201">
        <v>67</v>
      </c>
      <c r="AG6" s="43">
        <f t="shared" ref="AG6:AG46" si="4">P6*AF6/100</f>
        <v>0.24738461538461542</v>
      </c>
      <c r="AH6" s="24">
        <v>4</v>
      </c>
      <c r="AI6" s="7">
        <v>8</v>
      </c>
      <c r="AJ6" s="301" t="str">
        <f>"#"&amp;AH6&amp;" @ "&amp;AI6</f>
        <v>#4 @ 8</v>
      </c>
      <c r="AK6" s="43">
        <f>0.2*12/AI6</f>
        <v>0.30000000000000004</v>
      </c>
      <c r="AL6" s="43">
        <f>AK6/P6</f>
        <v>0.8125</v>
      </c>
      <c r="AM6" s="282">
        <f>2*AK6/(12*B6)</f>
        <v>6.2500000000000012E-3</v>
      </c>
      <c r="AN6" s="272" t="str">
        <f>"#"&amp;L6&amp;" @ "&amp;M6</f>
        <v>#4 @ 6.5</v>
      </c>
      <c r="AP6" s="2">
        <f t="shared" ref="AP6:AP34" si="5">A6</f>
        <v>5</v>
      </c>
      <c r="AQ6" s="55">
        <f t="shared" ref="AQ6:AQ34" si="6">B6</f>
        <v>8</v>
      </c>
      <c r="AR6" s="169" t="str">
        <f>"#"&amp;L6&amp;" @ "&amp;M6</f>
        <v>#4 @ 6.5</v>
      </c>
      <c r="AS6" s="302" t="str">
        <f>AJ6</f>
        <v>#4 @ 8</v>
      </c>
      <c r="AT6" s="253">
        <f t="shared" ref="AT6:AT34" si="7">AD6</f>
        <v>-5.1550000000000002</v>
      </c>
      <c r="AU6" s="99">
        <f t="shared" ref="AU6:AU34" si="8">AE6</f>
        <v>8.5375000000000014</v>
      </c>
      <c r="AV6" s="253">
        <f>-V6</f>
        <v>-8.3221023320570851</v>
      </c>
      <c r="AW6" s="108">
        <f>W6</f>
        <v>9.1528715628263146</v>
      </c>
      <c r="AY6" s="156"/>
      <c r="AZ6" s="156"/>
      <c r="BA6" s="156">
        <f>-V6/AD6</f>
        <v>1.6143748461798417</v>
      </c>
      <c r="BB6" s="156">
        <f>W6/AE6</f>
        <v>1.0720786603603294</v>
      </c>
      <c r="BC6" s="144">
        <f>BA6-AY6</f>
        <v>1.6143748461798417</v>
      </c>
      <c r="BD6" s="144">
        <f>BB6-AZ6</f>
        <v>1.0720786603603294</v>
      </c>
    </row>
    <row r="7" spans="1:56" x14ac:dyDescent="0.2">
      <c r="A7" s="2">
        <v>5.25</v>
      </c>
      <c r="B7" s="221">
        <v>8</v>
      </c>
      <c r="C7" s="32">
        <f t="shared" ref="C7:C46" si="9">B7/12*0.15</f>
        <v>9.9999999999999992E-2</v>
      </c>
      <c r="D7" s="253">
        <f t="shared" ref="D7:D46" si="10">-0.1*C7*A7^2</f>
        <v>-0.27562500000000001</v>
      </c>
      <c r="E7" s="99">
        <f t="shared" ref="E7:E46" si="11">0.08*C7*A7^2</f>
        <v>0.2205</v>
      </c>
      <c r="F7" s="253">
        <f t="shared" ref="F7:F46" si="12">-0.1*0.05*A7^2</f>
        <v>-0.13781250000000003</v>
      </c>
      <c r="G7" s="108">
        <f t="shared" ref="G7:G46" si="13">0.08*0.05*A7^2</f>
        <v>0.11025</v>
      </c>
      <c r="H7" s="294">
        <v>-2.89</v>
      </c>
      <c r="I7" s="99">
        <v>4.67</v>
      </c>
      <c r="J7" s="253">
        <f t="shared" ref="J7:K36" si="14">1.25*D7+1.5*F7+1.75*H7</f>
        <v>-5.6087500000000006</v>
      </c>
      <c r="K7" s="108">
        <f t="shared" si="14"/>
        <v>8.6135000000000002</v>
      </c>
      <c r="L7" s="236">
        <v>4</v>
      </c>
      <c r="M7" s="236">
        <v>6.5</v>
      </c>
      <c r="N7" s="297">
        <v>0.2</v>
      </c>
      <c r="O7" s="236">
        <v>0.5</v>
      </c>
      <c r="P7" s="43">
        <f t="shared" ref="P7:P46" si="15">N7*12/M7</f>
        <v>0.36923076923076931</v>
      </c>
      <c r="Q7" s="195">
        <f t="shared" ref="Q7:Q46" si="16">B7-2.5-O7/2</f>
        <v>5.25</v>
      </c>
      <c r="R7" s="102">
        <f t="shared" ref="R7:R46" si="17">B7-1.5-O7/2-0.5</f>
        <v>5.75</v>
      </c>
      <c r="S7" s="287">
        <f t="shared" ref="S7:S46" si="18">P7/(12*Q7)</f>
        <v>5.8608058608058617E-3</v>
      </c>
      <c r="T7" s="115">
        <f t="shared" ref="T7:T46" si="19">P7/(12*R7)</f>
        <v>5.3511705685618744E-3</v>
      </c>
      <c r="U7" s="125"/>
      <c r="V7" s="253">
        <f t="shared" ref="V7:V46" si="20">0.9*P7*$W$3*(Q7-0.5*S7*($W$3/(0.85*4.5))*Q7)/12</f>
        <v>8.3221023320570851</v>
      </c>
      <c r="W7" s="108">
        <f t="shared" ref="W7:W46" si="21">0.9*P7*$W$3*(R7-0.5*T7*($W$3/(0.85*4.5))*R7)/12</f>
        <v>9.1528715628263146</v>
      </c>
      <c r="X7" s="253">
        <f t="shared" ref="X7:X46" si="22">0.9*P7*$W$3*(Q7-0.5*S7*($W$3/(0.85*4))*Q7)/12</f>
        <v>8.2719805081796043</v>
      </c>
      <c r="Y7" s="99">
        <f t="shared" ref="Y7:Y46" si="23">0.9*P7*$W$3*(R7-0.5*T7*($W$3/(0.85*4))*R7)/12</f>
        <v>9.1027497389488357</v>
      </c>
      <c r="Z7" s="253">
        <f t="shared" ref="Z7:Z46" si="24">0.9*P7*$W$3*(Q7-0.5*S7*($W$3/(0.85*5))*Q7)/12</f>
        <v>8.3621997911590693</v>
      </c>
      <c r="AA7" s="108">
        <f t="shared" ref="AA7:AA46" si="25">0.9*P7*$W$3*(R7-0.5*T7*($W$3/(0.85*5))*R7)/12</f>
        <v>9.1929690219282989</v>
      </c>
      <c r="AB7" s="3">
        <f t="shared" si="0"/>
        <v>5.25</v>
      </c>
      <c r="AC7" s="55">
        <f t="shared" si="1"/>
        <v>8</v>
      </c>
      <c r="AD7" s="253">
        <f t="shared" si="2"/>
        <v>-5.6087500000000006</v>
      </c>
      <c r="AE7" s="108">
        <f t="shared" si="3"/>
        <v>8.6135000000000002</v>
      </c>
      <c r="AF7" s="201">
        <v>67</v>
      </c>
      <c r="AG7" s="43">
        <f t="shared" si="4"/>
        <v>0.24738461538461542</v>
      </c>
      <c r="AH7" s="24">
        <v>4</v>
      </c>
      <c r="AI7" s="201">
        <v>8</v>
      </c>
      <c r="AJ7" s="218" t="str">
        <f>"#"&amp;AH7&amp;" @ "&amp;AI7</f>
        <v>#4 @ 8</v>
      </c>
      <c r="AK7" s="43">
        <f t="shared" ref="AK7:AK20" si="26">0.2*12/AI7</f>
        <v>0.30000000000000004</v>
      </c>
      <c r="AL7" s="43">
        <f t="shared" ref="AL7:AL46" si="27">AK7/P7</f>
        <v>0.8125</v>
      </c>
      <c r="AM7" s="282">
        <f>2*AK7/(12*B7)</f>
        <v>6.2500000000000012E-3</v>
      </c>
      <c r="AN7" s="272" t="str">
        <f t="shared" ref="AN7:AN46" si="28">"#"&amp;L7&amp;" @ "&amp;M7</f>
        <v>#4 @ 6.5</v>
      </c>
      <c r="AP7" s="2">
        <f t="shared" si="5"/>
        <v>5.25</v>
      </c>
      <c r="AQ7" s="55">
        <f t="shared" si="6"/>
        <v>8</v>
      </c>
      <c r="AR7" s="169" t="str">
        <f t="shared" ref="AR7:AR46" si="29">"#"&amp;L7&amp;" @ "&amp;M7</f>
        <v>#4 @ 6.5</v>
      </c>
      <c r="AS7" s="303" t="str">
        <f t="shared" ref="AS7:AS34" si="30">AJ7</f>
        <v>#4 @ 8</v>
      </c>
      <c r="AT7" s="253">
        <f t="shared" si="7"/>
        <v>-5.6087500000000006</v>
      </c>
      <c r="AU7" s="99">
        <f t="shared" si="8"/>
        <v>8.6135000000000002</v>
      </c>
      <c r="AV7" s="253">
        <f t="shared" ref="AV7:AV46" si="31">-V7</f>
        <v>-8.3221023320570851</v>
      </c>
      <c r="AW7" s="108">
        <f t="shared" ref="AW7:AW46" si="32">W7</f>
        <v>9.1528715628263146</v>
      </c>
      <c r="AY7" s="156"/>
      <c r="AZ7" s="156"/>
      <c r="BA7" s="156">
        <f t="shared" ref="BA7:BA46" si="33">-V7/AD7</f>
        <v>1.4837713094819851</v>
      </c>
      <c r="BB7" s="156">
        <f t="shared" ref="BB7:BB46" si="34">W7/AE7</f>
        <v>1.0626193258055743</v>
      </c>
      <c r="BC7" s="144">
        <f t="shared" ref="BC7:BC46" si="35">BA7-AY7</f>
        <v>1.4837713094819851</v>
      </c>
      <c r="BD7" s="144">
        <f t="shared" ref="BD7:BD46" si="36">BB7-AZ7</f>
        <v>1.0626193258055743</v>
      </c>
    </row>
    <row r="8" spans="1:56" x14ac:dyDescent="0.2">
      <c r="A8" s="2">
        <v>5.5</v>
      </c>
      <c r="B8" s="221">
        <v>8</v>
      </c>
      <c r="C8" s="32">
        <f t="shared" si="9"/>
        <v>9.9999999999999992E-2</v>
      </c>
      <c r="D8" s="253">
        <f t="shared" si="10"/>
        <v>-0.30249999999999999</v>
      </c>
      <c r="E8" s="99">
        <f t="shared" si="11"/>
        <v>0.24199999999999999</v>
      </c>
      <c r="F8" s="253">
        <f t="shared" si="12"/>
        <v>-0.15125000000000002</v>
      </c>
      <c r="G8" s="108">
        <f t="shared" si="13"/>
        <v>0.121</v>
      </c>
      <c r="H8" s="294">
        <v>-3.11</v>
      </c>
      <c r="I8" s="99">
        <v>4.71</v>
      </c>
      <c r="J8" s="253">
        <f t="shared" si="14"/>
        <v>-6.0474999999999994</v>
      </c>
      <c r="K8" s="108">
        <f t="shared" si="14"/>
        <v>8.7264999999999997</v>
      </c>
      <c r="L8" s="236">
        <v>4</v>
      </c>
      <c r="M8" s="236">
        <v>6.5</v>
      </c>
      <c r="N8" s="297">
        <v>0.2</v>
      </c>
      <c r="O8" s="236">
        <v>0.5</v>
      </c>
      <c r="P8" s="43">
        <f t="shared" si="15"/>
        <v>0.36923076923076931</v>
      </c>
      <c r="Q8" s="195">
        <f t="shared" si="16"/>
        <v>5.25</v>
      </c>
      <c r="R8" s="102">
        <f t="shared" si="17"/>
        <v>5.75</v>
      </c>
      <c r="S8" s="287">
        <f t="shared" si="18"/>
        <v>5.8608058608058617E-3</v>
      </c>
      <c r="T8" s="115">
        <f t="shared" si="19"/>
        <v>5.3511705685618744E-3</v>
      </c>
      <c r="U8" s="125"/>
      <c r="V8" s="253">
        <f t="shared" si="20"/>
        <v>8.3221023320570851</v>
      </c>
      <c r="W8" s="108">
        <f t="shared" si="21"/>
        <v>9.1528715628263146</v>
      </c>
      <c r="X8" s="253">
        <f t="shared" si="22"/>
        <v>8.2719805081796043</v>
      </c>
      <c r="Y8" s="99">
        <f t="shared" si="23"/>
        <v>9.1027497389488357</v>
      </c>
      <c r="Z8" s="253">
        <f t="shared" si="24"/>
        <v>8.3621997911590693</v>
      </c>
      <c r="AA8" s="108">
        <f t="shared" si="25"/>
        <v>9.1929690219282989</v>
      </c>
      <c r="AB8" s="3">
        <f t="shared" si="0"/>
        <v>5.5</v>
      </c>
      <c r="AC8" s="55">
        <f t="shared" si="1"/>
        <v>8</v>
      </c>
      <c r="AD8" s="253">
        <f t="shared" si="2"/>
        <v>-6.0474999999999994</v>
      </c>
      <c r="AE8" s="108">
        <f t="shared" si="3"/>
        <v>8.7264999999999997</v>
      </c>
      <c r="AF8" s="201">
        <v>67</v>
      </c>
      <c r="AG8" s="43">
        <f t="shared" si="4"/>
        <v>0.24738461538461542</v>
      </c>
      <c r="AH8" s="24">
        <v>4</v>
      </c>
      <c r="AI8" s="201">
        <v>8</v>
      </c>
      <c r="AJ8" s="218" t="str">
        <f t="shared" ref="AJ8:AJ46" si="37">"#"&amp;AH8&amp;" @ "&amp;AI8</f>
        <v>#4 @ 8</v>
      </c>
      <c r="AK8" s="43">
        <f t="shared" si="26"/>
        <v>0.30000000000000004</v>
      </c>
      <c r="AL8" s="43">
        <f t="shared" si="27"/>
        <v>0.8125</v>
      </c>
      <c r="AM8" s="282">
        <f t="shared" ref="AM8:AM46" si="38">2*AK8/(12*B8)</f>
        <v>6.2500000000000012E-3</v>
      </c>
      <c r="AN8" s="272" t="str">
        <f t="shared" si="28"/>
        <v>#4 @ 6.5</v>
      </c>
      <c r="AP8" s="2">
        <f t="shared" si="5"/>
        <v>5.5</v>
      </c>
      <c r="AQ8" s="55">
        <f t="shared" si="6"/>
        <v>8</v>
      </c>
      <c r="AR8" s="169" t="str">
        <f t="shared" si="29"/>
        <v>#4 @ 6.5</v>
      </c>
      <c r="AS8" s="303" t="str">
        <f t="shared" si="30"/>
        <v>#4 @ 8</v>
      </c>
      <c r="AT8" s="253">
        <f t="shared" si="7"/>
        <v>-6.0474999999999994</v>
      </c>
      <c r="AU8" s="99">
        <f t="shared" si="8"/>
        <v>8.7264999999999997</v>
      </c>
      <c r="AV8" s="253">
        <f t="shared" si="31"/>
        <v>-8.3221023320570851</v>
      </c>
      <c r="AW8" s="108">
        <f t="shared" si="32"/>
        <v>9.1528715628263146</v>
      </c>
      <c r="AY8" s="156"/>
      <c r="AZ8" s="156"/>
      <c r="BA8" s="156">
        <f t="shared" si="33"/>
        <v>1.3761227502368063</v>
      </c>
      <c r="BB8" s="156">
        <f t="shared" si="34"/>
        <v>1.0488594009999788</v>
      </c>
      <c r="BC8" s="144">
        <f t="shared" si="35"/>
        <v>1.3761227502368063</v>
      </c>
      <c r="BD8" s="144">
        <f t="shared" si="36"/>
        <v>1.0488594009999788</v>
      </c>
    </row>
    <row r="9" spans="1:56" x14ac:dyDescent="0.2">
      <c r="A9" s="2">
        <v>5.75</v>
      </c>
      <c r="B9" s="222">
        <v>8</v>
      </c>
      <c r="C9" s="32">
        <f t="shared" si="9"/>
        <v>9.9999999999999992E-2</v>
      </c>
      <c r="D9" s="253">
        <f t="shared" si="10"/>
        <v>-0.330625</v>
      </c>
      <c r="E9" s="99">
        <f t="shared" si="11"/>
        <v>0.26450000000000001</v>
      </c>
      <c r="F9" s="253">
        <f t="shared" si="12"/>
        <v>-0.16531250000000003</v>
      </c>
      <c r="G9" s="108">
        <f t="shared" si="13"/>
        <v>0.13225000000000001</v>
      </c>
      <c r="H9" s="294">
        <v>-3.31</v>
      </c>
      <c r="I9" s="99">
        <v>4.7699999999999996</v>
      </c>
      <c r="J9" s="253">
        <f t="shared" si="14"/>
        <v>-6.4537500000000003</v>
      </c>
      <c r="K9" s="108">
        <f t="shared" si="14"/>
        <v>8.8765000000000001</v>
      </c>
      <c r="L9" s="238">
        <v>4</v>
      </c>
      <c r="M9" s="238">
        <v>6.5</v>
      </c>
      <c r="N9" s="298">
        <v>0.2</v>
      </c>
      <c r="O9" s="238">
        <v>0.5</v>
      </c>
      <c r="P9" s="44">
        <f t="shared" si="15"/>
        <v>0.36923076923076931</v>
      </c>
      <c r="Q9" s="257">
        <f t="shared" si="16"/>
        <v>5.25</v>
      </c>
      <c r="R9" s="104">
        <f t="shared" si="17"/>
        <v>5.75</v>
      </c>
      <c r="S9" s="287">
        <f t="shared" si="18"/>
        <v>5.8608058608058617E-3</v>
      </c>
      <c r="T9" s="115">
        <f t="shared" si="19"/>
        <v>5.3511705685618744E-3</v>
      </c>
      <c r="U9" s="125"/>
      <c r="V9" s="61">
        <f t="shared" si="20"/>
        <v>8.3221023320570851</v>
      </c>
      <c r="W9" s="110">
        <f t="shared" si="21"/>
        <v>9.1528715628263146</v>
      </c>
      <c r="X9" s="61">
        <f t="shared" si="22"/>
        <v>8.2719805081796043</v>
      </c>
      <c r="Y9" s="101">
        <f t="shared" si="23"/>
        <v>9.1027497389488357</v>
      </c>
      <c r="Z9" s="61">
        <f t="shared" si="24"/>
        <v>8.3621997911590693</v>
      </c>
      <c r="AA9" s="110">
        <f t="shared" si="25"/>
        <v>9.1929690219282989</v>
      </c>
      <c r="AB9" s="3">
        <f t="shared" si="0"/>
        <v>5.75</v>
      </c>
      <c r="AC9" s="55">
        <f t="shared" si="1"/>
        <v>8</v>
      </c>
      <c r="AD9" s="253">
        <f t="shared" si="2"/>
        <v>-6.4537500000000003</v>
      </c>
      <c r="AE9" s="108">
        <f t="shared" si="3"/>
        <v>8.8765000000000001</v>
      </c>
      <c r="AF9" s="201">
        <v>67</v>
      </c>
      <c r="AG9" s="43">
        <f t="shared" si="4"/>
        <v>0.24738461538461542</v>
      </c>
      <c r="AH9" s="24">
        <v>4</v>
      </c>
      <c r="AI9" s="245">
        <v>8</v>
      </c>
      <c r="AJ9" s="219" t="str">
        <f t="shared" si="37"/>
        <v>#4 @ 8</v>
      </c>
      <c r="AK9" s="44">
        <f t="shared" si="26"/>
        <v>0.30000000000000004</v>
      </c>
      <c r="AL9" s="44">
        <f t="shared" si="27"/>
        <v>0.8125</v>
      </c>
      <c r="AM9" s="282">
        <f t="shared" si="38"/>
        <v>6.2500000000000012E-3</v>
      </c>
      <c r="AN9" s="219" t="str">
        <f t="shared" si="28"/>
        <v>#4 @ 6.5</v>
      </c>
      <c r="AP9" s="2">
        <f t="shared" si="5"/>
        <v>5.75</v>
      </c>
      <c r="AQ9" s="55">
        <f t="shared" si="6"/>
        <v>8</v>
      </c>
      <c r="AR9" s="175" t="str">
        <f t="shared" si="29"/>
        <v>#4 @ 6.5</v>
      </c>
      <c r="AS9" s="303" t="str">
        <f t="shared" si="30"/>
        <v>#4 @ 8</v>
      </c>
      <c r="AT9" s="253">
        <f t="shared" si="7"/>
        <v>-6.4537500000000003</v>
      </c>
      <c r="AU9" s="99">
        <f t="shared" si="8"/>
        <v>8.8765000000000001</v>
      </c>
      <c r="AV9" s="61">
        <f t="shared" si="31"/>
        <v>-8.3221023320570851</v>
      </c>
      <c r="AW9" s="110">
        <f t="shared" si="32"/>
        <v>9.1528715628263146</v>
      </c>
      <c r="AY9" s="156"/>
      <c r="AZ9" s="156"/>
      <c r="BA9" s="156">
        <f t="shared" si="33"/>
        <v>1.2894987150194979</v>
      </c>
      <c r="BB9" s="156">
        <f t="shared" si="34"/>
        <v>1.0311351954966839</v>
      </c>
      <c r="BC9" s="144">
        <f t="shared" si="35"/>
        <v>1.2894987150194979</v>
      </c>
      <c r="BD9" s="144">
        <f t="shared" si="36"/>
        <v>1.0311351954966839</v>
      </c>
    </row>
    <row r="10" spans="1:56" x14ac:dyDescent="0.2">
      <c r="A10" s="17">
        <v>6</v>
      </c>
      <c r="B10" s="221">
        <v>8</v>
      </c>
      <c r="C10" s="42">
        <f t="shared" si="9"/>
        <v>9.9999999999999992E-2</v>
      </c>
      <c r="D10" s="255">
        <f t="shared" si="10"/>
        <v>-0.36</v>
      </c>
      <c r="E10" s="100">
        <f t="shared" si="11"/>
        <v>0.28800000000000003</v>
      </c>
      <c r="F10" s="255">
        <f t="shared" si="12"/>
        <v>-0.18000000000000005</v>
      </c>
      <c r="G10" s="109">
        <f t="shared" si="13"/>
        <v>0.14400000000000002</v>
      </c>
      <c r="H10" s="295">
        <v>-3.5</v>
      </c>
      <c r="I10" s="100">
        <v>4.83</v>
      </c>
      <c r="J10" s="255">
        <f t="shared" si="14"/>
        <v>-6.8449999999999998</v>
      </c>
      <c r="K10" s="109">
        <f t="shared" si="14"/>
        <v>9.0285000000000011</v>
      </c>
      <c r="L10" s="236">
        <v>4</v>
      </c>
      <c r="M10" s="236">
        <v>6</v>
      </c>
      <c r="N10" s="297">
        <v>0.2</v>
      </c>
      <c r="O10" s="236">
        <v>0.5</v>
      </c>
      <c r="P10" s="43">
        <f t="shared" si="15"/>
        <v>0.40000000000000008</v>
      </c>
      <c r="Q10" s="195">
        <f t="shared" si="16"/>
        <v>5.25</v>
      </c>
      <c r="R10" s="102">
        <f t="shared" si="17"/>
        <v>5.75</v>
      </c>
      <c r="S10" s="288">
        <f t="shared" si="18"/>
        <v>6.3492063492063501E-3</v>
      </c>
      <c r="T10" s="116">
        <f t="shared" si="19"/>
        <v>5.7971014492753633E-3</v>
      </c>
      <c r="U10" s="125"/>
      <c r="V10" s="253">
        <f t="shared" si="20"/>
        <v>8.9794117647058851</v>
      </c>
      <c r="W10" s="108">
        <f t="shared" si="21"/>
        <v>9.8794117647058837</v>
      </c>
      <c r="X10" s="253">
        <f t="shared" si="22"/>
        <v>8.9205882352941206</v>
      </c>
      <c r="Y10" s="99">
        <f t="shared" si="23"/>
        <v>9.8205882352941192</v>
      </c>
      <c r="Z10" s="253">
        <f t="shared" si="24"/>
        <v>9.0264705882352967</v>
      </c>
      <c r="AA10" s="108">
        <f t="shared" si="25"/>
        <v>9.9264705882352953</v>
      </c>
      <c r="AB10" s="18">
        <f t="shared" si="0"/>
        <v>6</v>
      </c>
      <c r="AC10" s="56">
        <f t="shared" si="1"/>
        <v>8</v>
      </c>
      <c r="AD10" s="255">
        <f t="shared" si="2"/>
        <v>-6.8449999999999998</v>
      </c>
      <c r="AE10" s="109">
        <f t="shared" si="3"/>
        <v>9.0285000000000011</v>
      </c>
      <c r="AF10" s="244">
        <v>67</v>
      </c>
      <c r="AG10" s="42">
        <f t="shared" si="4"/>
        <v>0.26800000000000002</v>
      </c>
      <c r="AH10" s="28">
        <v>4</v>
      </c>
      <c r="AI10" s="201">
        <v>8</v>
      </c>
      <c r="AJ10" s="218" t="str">
        <f t="shared" si="37"/>
        <v>#4 @ 8</v>
      </c>
      <c r="AK10" s="43">
        <f t="shared" si="26"/>
        <v>0.30000000000000004</v>
      </c>
      <c r="AL10" s="43">
        <f t="shared" si="27"/>
        <v>0.75</v>
      </c>
      <c r="AM10" s="283">
        <f t="shared" si="38"/>
        <v>6.2500000000000012E-3</v>
      </c>
      <c r="AN10" s="272" t="str">
        <f t="shared" si="28"/>
        <v>#4 @ 6</v>
      </c>
      <c r="AP10" s="17">
        <f t="shared" si="5"/>
        <v>6</v>
      </c>
      <c r="AQ10" s="56">
        <f t="shared" si="6"/>
        <v>8</v>
      </c>
      <c r="AR10" s="169" t="str">
        <f t="shared" si="29"/>
        <v>#4 @ 6</v>
      </c>
      <c r="AS10" s="304" t="str">
        <f t="shared" si="30"/>
        <v>#4 @ 8</v>
      </c>
      <c r="AT10" s="255">
        <f t="shared" si="7"/>
        <v>-6.8449999999999998</v>
      </c>
      <c r="AU10" s="100">
        <f t="shared" si="8"/>
        <v>9.0285000000000011</v>
      </c>
      <c r="AV10" s="253">
        <f t="shared" si="31"/>
        <v>-8.9794117647058851</v>
      </c>
      <c r="AW10" s="108">
        <f t="shared" si="32"/>
        <v>9.8794117647058837</v>
      </c>
      <c r="AY10" s="156"/>
      <c r="AZ10" s="156"/>
      <c r="BA10" s="156">
        <f t="shared" si="33"/>
        <v>1.311820564602759</v>
      </c>
      <c r="BB10" s="156">
        <f t="shared" si="34"/>
        <v>1.0942473018448118</v>
      </c>
      <c r="BC10" s="144">
        <f t="shared" si="35"/>
        <v>1.311820564602759</v>
      </c>
      <c r="BD10" s="144">
        <f t="shared" si="36"/>
        <v>1.0942473018448118</v>
      </c>
    </row>
    <row r="11" spans="1:56" x14ac:dyDescent="0.2">
      <c r="A11" s="2">
        <v>6.25</v>
      </c>
      <c r="B11" s="221">
        <v>8</v>
      </c>
      <c r="C11" s="43">
        <f t="shared" si="9"/>
        <v>9.9999999999999992E-2</v>
      </c>
      <c r="D11" s="253">
        <f t="shared" si="10"/>
        <v>-0.390625</v>
      </c>
      <c r="E11" s="99">
        <f t="shared" si="11"/>
        <v>0.3125</v>
      </c>
      <c r="F11" s="253">
        <f t="shared" si="12"/>
        <v>-0.19531250000000003</v>
      </c>
      <c r="G11" s="108">
        <f t="shared" si="13"/>
        <v>0.15625</v>
      </c>
      <c r="H11" s="294">
        <v>-3.68</v>
      </c>
      <c r="I11" s="99">
        <v>4.91</v>
      </c>
      <c r="J11" s="253">
        <f t="shared" si="14"/>
        <v>-7.2212500000000004</v>
      </c>
      <c r="K11" s="108">
        <f t="shared" si="14"/>
        <v>9.2175000000000011</v>
      </c>
      <c r="L11" s="236">
        <v>4</v>
      </c>
      <c r="M11" s="236">
        <v>6</v>
      </c>
      <c r="N11" s="297">
        <v>0.2</v>
      </c>
      <c r="O11" s="236">
        <v>0.5</v>
      </c>
      <c r="P11" s="43">
        <f t="shared" si="15"/>
        <v>0.40000000000000008</v>
      </c>
      <c r="Q11" s="195">
        <f t="shared" si="16"/>
        <v>5.25</v>
      </c>
      <c r="R11" s="102">
        <f t="shared" si="17"/>
        <v>5.75</v>
      </c>
      <c r="S11" s="287">
        <f t="shared" si="18"/>
        <v>6.3492063492063501E-3</v>
      </c>
      <c r="T11" s="115">
        <f t="shared" si="19"/>
        <v>5.7971014492753633E-3</v>
      </c>
      <c r="U11" s="125"/>
      <c r="V11" s="253">
        <f t="shared" si="20"/>
        <v>8.9794117647058851</v>
      </c>
      <c r="W11" s="108">
        <f t="shared" si="21"/>
        <v>9.8794117647058837</v>
      </c>
      <c r="X11" s="253">
        <f t="shared" si="22"/>
        <v>8.9205882352941206</v>
      </c>
      <c r="Y11" s="99">
        <f t="shared" si="23"/>
        <v>9.8205882352941192</v>
      </c>
      <c r="Z11" s="253">
        <f t="shared" si="24"/>
        <v>9.0264705882352967</v>
      </c>
      <c r="AA11" s="108">
        <f t="shared" si="25"/>
        <v>9.9264705882352953</v>
      </c>
      <c r="AB11" s="3">
        <f t="shared" si="0"/>
        <v>6.25</v>
      </c>
      <c r="AC11" s="55">
        <f t="shared" si="1"/>
        <v>8</v>
      </c>
      <c r="AD11" s="253">
        <f t="shared" si="2"/>
        <v>-7.2212500000000004</v>
      </c>
      <c r="AE11" s="108">
        <f t="shared" si="3"/>
        <v>9.2175000000000011</v>
      </c>
      <c r="AF11" s="201">
        <v>67</v>
      </c>
      <c r="AG11" s="43">
        <f t="shared" si="4"/>
        <v>0.26800000000000002</v>
      </c>
      <c r="AH11" s="24">
        <v>4</v>
      </c>
      <c r="AI11" s="201">
        <v>8</v>
      </c>
      <c r="AJ11" s="218" t="str">
        <f t="shared" si="37"/>
        <v>#4 @ 8</v>
      </c>
      <c r="AK11" s="43">
        <f t="shared" si="26"/>
        <v>0.30000000000000004</v>
      </c>
      <c r="AL11" s="43">
        <f t="shared" si="27"/>
        <v>0.75</v>
      </c>
      <c r="AM11" s="282">
        <f t="shared" si="38"/>
        <v>6.2500000000000012E-3</v>
      </c>
      <c r="AN11" s="272" t="str">
        <f t="shared" si="28"/>
        <v>#4 @ 6</v>
      </c>
      <c r="AP11" s="2">
        <f t="shared" si="5"/>
        <v>6.25</v>
      </c>
      <c r="AQ11" s="55">
        <f t="shared" si="6"/>
        <v>8</v>
      </c>
      <c r="AR11" s="169" t="str">
        <f t="shared" si="29"/>
        <v>#4 @ 6</v>
      </c>
      <c r="AS11" s="303" t="str">
        <f t="shared" si="30"/>
        <v>#4 @ 8</v>
      </c>
      <c r="AT11" s="253">
        <f t="shared" si="7"/>
        <v>-7.2212500000000004</v>
      </c>
      <c r="AU11" s="99">
        <f t="shared" si="8"/>
        <v>9.2175000000000011</v>
      </c>
      <c r="AV11" s="253">
        <f t="shared" si="31"/>
        <v>-8.9794117647058851</v>
      </c>
      <c r="AW11" s="108">
        <f t="shared" si="32"/>
        <v>9.8794117647058837</v>
      </c>
      <c r="AY11" s="156"/>
      <c r="AZ11" s="156"/>
      <c r="BA11" s="156">
        <f t="shared" si="33"/>
        <v>1.2434705576881959</v>
      </c>
      <c r="BB11" s="156">
        <f t="shared" si="34"/>
        <v>1.0718103351999873</v>
      </c>
      <c r="BC11" s="144">
        <f t="shared" si="35"/>
        <v>1.2434705576881959</v>
      </c>
      <c r="BD11" s="144">
        <f t="shared" si="36"/>
        <v>1.0718103351999873</v>
      </c>
    </row>
    <row r="12" spans="1:56" x14ac:dyDescent="0.2">
      <c r="A12" s="2">
        <v>6.5</v>
      </c>
      <c r="B12" s="221">
        <v>8</v>
      </c>
      <c r="C12" s="43">
        <f t="shared" si="9"/>
        <v>9.9999999999999992E-2</v>
      </c>
      <c r="D12" s="253">
        <f t="shared" si="10"/>
        <v>-0.42249999999999999</v>
      </c>
      <c r="E12" s="99">
        <f t="shared" si="11"/>
        <v>0.33800000000000002</v>
      </c>
      <c r="F12" s="253">
        <f t="shared" si="12"/>
        <v>-0.21125000000000005</v>
      </c>
      <c r="G12" s="108">
        <f t="shared" si="13"/>
        <v>0.16900000000000001</v>
      </c>
      <c r="H12" s="294">
        <v>-3.84</v>
      </c>
      <c r="I12" s="99">
        <v>5</v>
      </c>
      <c r="J12" s="253">
        <f t="shared" si="14"/>
        <v>-7.5649999999999995</v>
      </c>
      <c r="K12" s="108">
        <f t="shared" si="14"/>
        <v>9.4260000000000002</v>
      </c>
      <c r="L12" s="236">
        <v>4</v>
      </c>
      <c r="M12" s="236">
        <v>6</v>
      </c>
      <c r="N12" s="297">
        <v>0.2</v>
      </c>
      <c r="O12" s="236">
        <v>0.5</v>
      </c>
      <c r="P12" s="43">
        <f t="shared" si="15"/>
        <v>0.40000000000000008</v>
      </c>
      <c r="Q12" s="195">
        <f t="shared" si="16"/>
        <v>5.25</v>
      </c>
      <c r="R12" s="102">
        <f t="shared" si="17"/>
        <v>5.75</v>
      </c>
      <c r="S12" s="287">
        <f t="shared" si="18"/>
        <v>6.3492063492063501E-3</v>
      </c>
      <c r="T12" s="115">
        <f t="shared" si="19"/>
        <v>5.7971014492753633E-3</v>
      </c>
      <c r="U12" s="125"/>
      <c r="V12" s="253">
        <f t="shared" si="20"/>
        <v>8.9794117647058851</v>
      </c>
      <c r="W12" s="108">
        <f t="shared" si="21"/>
        <v>9.8794117647058837</v>
      </c>
      <c r="X12" s="253">
        <f t="shared" si="22"/>
        <v>8.9205882352941206</v>
      </c>
      <c r="Y12" s="99">
        <f t="shared" si="23"/>
        <v>9.8205882352941192</v>
      </c>
      <c r="Z12" s="253">
        <f t="shared" si="24"/>
        <v>9.0264705882352967</v>
      </c>
      <c r="AA12" s="108">
        <f t="shared" si="25"/>
        <v>9.9264705882352953</v>
      </c>
      <c r="AB12" s="3">
        <f t="shared" si="0"/>
        <v>6.5</v>
      </c>
      <c r="AC12" s="55">
        <f t="shared" si="1"/>
        <v>8</v>
      </c>
      <c r="AD12" s="253">
        <f t="shared" si="2"/>
        <v>-7.5649999999999995</v>
      </c>
      <c r="AE12" s="108">
        <f t="shared" si="3"/>
        <v>9.4260000000000002</v>
      </c>
      <c r="AF12" s="201">
        <v>67</v>
      </c>
      <c r="AG12" s="43">
        <f t="shared" si="4"/>
        <v>0.26800000000000002</v>
      </c>
      <c r="AH12" s="24">
        <v>4</v>
      </c>
      <c r="AI12" s="201">
        <v>8</v>
      </c>
      <c r="AJ12" s="218" t="str">
        <f t="shared" si="37"/>
        <v>#4 @ 8</v>
      </c>
      <c r="AK12" s="43">
        <f t="shared" si="26"/>
        <v>0.30000000000000004</v>
      </c>
      <c r="AL12" s="43">
        <f t="shared" si="27"/>
        <v>0.75</v>
      </c>
      <c r="AM12" s="282">
        <f t="shared" si="38"/>
        <v>6.2500000000000012E-3</v>
      </c>
      <c r="AN12" s="272" t="str">
        <f t="shared" si="28"/>
        <v>#4 @ 6</v>
      </c>
      <c r="AP12" s="2">
        <f t="shared" si="5"/>
        <v>6.5</v>
      </c>
      <c r="AQ12" s="55">
        <f t="shared" si="6"/>
        <v>8</v>
      </c>
      <c r="AR12" s="169" t="str">
        <f t="shared" si="29"/>
        <v>#4 @ 6</v>
      </c>
      <c r="AS12" s="303" t="str">
        <f t="shared" si="30"/>
        <v>#4 @ 8</v>
      </c>
      <c r="AT12" s="253">
        <f t="shared" si="7"/>
        <v>-7.5649999999999995</v>
      </c>
      <c r="AU12" s="99">
        <f t="shared" si="8"/>
        <v>9.4260000000000002</v>
      </c>
      <c r="AV12" s="253">
        <f t="shared" si="31"/>
        <v>-8.9794117647058851</v>
      </c>
      <c r="AW12" s="108">
        <f t="shared" si="32"/>
        <v>9.8794117647058837</v>
      </c>
      <c r="AY12" s="156"/>
      <c r="AZ12" s="156"/>
      <c r="BA12" s="156">
        <f t="shared" si="33"/>
        <v>1.1869678472843206</v>
      </c>
      <c r="BB12" s="156">
        <f t="shared" si="34"/>
        <v>1.0481022453539024</v>
      </c>
      <c r="BC12" s="144">
        <f t="shared" si="35"/>
        <v>1.1869678472843206</v>
      </c>
      <c r="BD12" s="144">
        <f t="shared" si="36"/>
        <v>1.0481022453539024</v>
      </c>
    </row>
    <row r="13" spans="1:56" x14ac:dyDescent="0.2">
      <c r="A13" s="8">
        <v>6.75</v>
      </c>
      <c r="B13" s="222">
        <v>8</v>
      </c>
      <c r="C13" s="44">
        <f t="shared" si="9"/>
        <v>9.9999999999999992E-2</v>
      </c>
      <c r="D13" s="61">
        <f t="shared" si="10"/>
        <v>-0.455625</v>
      </c>
      <c r="E13" s="101">
        <f t="shared" si="11"/>
        <v>0.36449999999999999</v>
      </c>
      <c r="F13" s="61">
        <f t="shared" si="12"/>
        <v>-0.22781250000000006</v>
      </c>
      <c r="G13" s="110">
        <f t="shared" si="13"/>
        <v>0.18225</v>
      </c>
      <c r="H13" s="296">
        <v>-3.99</v>
      </c>
      <c r="I13" s="101">
        <v>5.0999999999999996</v>
      </c>
      <c r="J13" s="61">
        <f t="shared" si="14"/>
        <v>-7.8937499999999998</v>
      </c>
      <c r="K13" s="110">
        <f t="shared" si="14"/>
        <v>9.6539999999999981</v>
      </c>
      <c r="L13" s="238">
        <v>4</v>
      </c>
      <c r="M13" s="238">
        <v>6</v>
      </c>
      <c r="N13" s="298">
        <v>0.2</v>
      </c>
      <c r="O13" s="238">
        <v>0.5</v>
      </c>
      <c r="P13" s="44">
        <f t="shared" si="15"/>
        <v>0.40000000000000008</v>
      </c>
      <c r="Q13" s="257">
        <f t="shared" si="16"/>
        <v>5.25</v>
      </c>
      <c r="R13" s="104">
        <f t="shared" si="17"/>
        <v>5.75</v>
      </c>
      <c r="S13" s="289">
        <f t="shared" si="18"/>
        <v>6.3492063492063501E-3</v>
      </c>
      <c r="T13" s="117">
        <f t="shared" si="19"/>
        <v>5.7971014492753633E-3</v>
      </c>
      <c r="U13" s="125"/>
      <c r="V13" s="61">
        <f t="shared" si="20"/>
        <v>8.9794117647058851</v>
      </c>
      <c r="W13" s="110">
        <f t="shared" si="21"/>
        <v>9.8794117647058837</v>
      </c>
      <c r="X13" s="61">
        <f t="shared" si="22"/>
        <v>8.9205882352941206</v>
      </c>
      <c r="Y13" s="101">
        <f t="shared" si="23"/>
        <v>9.8205882352941192</v>
      </c>
      <c r="Z13" s="61">
        <f t="shared" si="24"/>
        <v>9.0264705882352967</v>
      </c>
      <c r="AA13" s="110">
        <f t="shared" si="25"/>
        <v>9.9264705882352953</v>
      </c>
      <c r="AB13" s="9">
        <f t="shared" si="0"/>
        <v>6.75</v>
      </c>
      <c r="AC13" s="57">
        <f t="shared" si="1"/>
        <v>8</v>
      </c>
      <c r="AD13" s="61">
        <f t="shared" si="2"/>
        <v>-7.8937499999999998</v>
      </c>
      <c r="AE13" s="110">
        <f t="shared" si="3"/>
        <v>9.6539999999999981</v>
      </c>
      <c r="AF13" s="245">
        <v>67</v>
      </c>
      <c r="AG13" s="44">
        <f t="shared" si="4"/>
        <v>0.26800000000000002</v>
      </c>
      <c r="AH13" s="26">
        <v>4</v>
      </c>
      <c r="AI13" s="245">
        <v>8</v>
      </c>
      <c r="AJ13" s="219" t="str">
        <f t="shared" si="37"/>
        <v>#4 @ 8</v>
      </c>
      <c r="AK13" s="44">
        <f t="shared" si="26"/>
        <v>0.30000000000000004</v>
      </c>
      <c r="AL13" s="44">
        <f t="shared" si="27"/>
        <v>0.75</v>
      </c>
      <c r="AM13" s="284">
        <f t="shared" si="38"/>
        <v>6.2500000000000012E-3</v>
      </c>
      <c r="AN13" s="219" t="str">
        <f t="shared" si="28"/>
        <v>#4 @ 6</v>
      </c>
      <c r="AP13" s="8">
        <f t="shared" si="5"/>
        <v>6.75</v>
      </c>
      <c r="AQ13" s="57">
        <f t="shared" si="6"/>
        <v>8</v>
      </c>
      <c r="AR13" s="175" t="str">
        <f t="shared" si="29"/>
        <v>#4 @ 6</v>
      </c>
      <c r="AS13" s="305" t="str">
        <f t="shared" si="30"/>
        <v>#4 @ 8</v>
      </c>
      <c r="AT13" s="61">
        <f t="shared" si="7"/>
        <v>-7.8937499999999998</v>
      </c>
      <c r="AU13" s="101">
        <f t="shared" si="8"/>
        <v>9.6539999999999981</v>
      </c>
      <c r="AV13" s="61">
        <f t="shared" si="31"/>
        <v>-8.9794117647058851</v>
      </c>
      <c r="AW13" s="110">
        <f t="shared" si="32"/>
        <v>9.8794117647058837</v>
      </c>
      <c r="AY13" s="156"/>
      <c r="AZ13" s="156"/>
      <c r="BA13" s="156">
        <f t="shared" si="33"/>
        <v>1.1375343486563274</v>
      </c>
      <c r="BB13" s="156">
        <f t="shared" si="34"/>
        <v>1.0233490537296339</v>
      </c>
      <c r="BC13" s="144">
        <f t="shared" si="35"/>
        <v>1.1375343486563274</v>
      </c>
      <c r="BD13" s="144">
        <f t="shared" si="36"/>
        <v>1.0233490537296339</v>
      </c>
    </row>
    <row r="14" spans="1:56" x14ac:dyDescent="0.2">
      <c r="A14" s="2">
        <v>7</v>
      </c>
      <c r="B14" s="221">
        <v>8</v>
      </c>
      <c r="C14" s="32">
        <f t="shared" si="9"/>
        <v>9.9999999999999992E-2</v>
      </c>
      <c r="D14" s="253">
        <f t="shared" si="10"/>
        <v>-0.49</v>
      </c>
      <c r="E14" s="99">
        <f t="shared" si="11"/>
        <v>0.39200000000000002</v>
      </c>
      <c r="F14" s="253">
        <f t="shared" si="12"/>
        <v>-0.24500000000000005</v>
      </c>
      <c r="G14" s="108">
        <f t="shared" si="13"/>
        <v>0.19600000000000001</v>
      </c>
      <c r="H14" s="294">
        <v>-4.3600000000000003</v>
      </c>
      <c r="I14" s="99">
        <v>5.21</v>
      </c>
      <c r="J14" s="253">
        <f t="shared" si="14"/>
        <v>-8.6100000000000012</v>
      </c>
      <c r="K14" s="108">
        <f t="shared" si="14"/>
        <v>9.9015000000000004</v>
      </c>
      <c r="L14" s="236">
        <v>4</v>
      </c>
      <c r="M14" s="236">
        <v>5.5</v>
      </c>
      <c r="N14" s="297">
        <v>0.2</v>
      </c>
      <c r="O14" s="236">
        <v>0.5</v>
      </c>
      <c r="P14" s="43">
        <f t="shared" si="15"/>
        <v>0.43636363636363645</v>
      </c>
      <c r="Q14" s="195">
        <f t="shared" si="16"/>
        <v>5.25</v>
      </c>
      <c r="R14" s="102">
        <f t="shared" si="17"/>
        <v>5.75</v>
      </c>
      <c r="S14" s="287">
        <f t="shared" si="18"/>
        <v>6.9264069264069281E-3</v>
      </c>
      <c r="T14" s="115">
        <f t="shared" si="19"/>
        <v>6.3241106719367605E-3</v>
      </c>
      <c r="U14" s="125"/>
      <c r="V14" s="253">
        <f t="shared" si="20"/>
        <v>9.749052017501219</v>
      </c>
      <c r="W14" s="108">
        <f t="shared" si="21"/>
        <v>10.7308701993194</v>
      </c>
      <c r="X14" s="253">
        <f t="shared" si="22"/>
        <v>9.6790471560525049</v>
      </c>
      <c r="Y14" s="99">
        <f t="shared" si="23"/>
        <v>10.660865337870687</v>
      </c>
      <c r="Z14" s="253">
        <f t="shared" si="24"/>
        <v>9.8050559066601881</v>
      </c>
      <c r="AA14" s="108">
        <f t="shared" si="25"/>
        <v>10.786874088478369</v>
      </c>
      <c r="AB14" s="3">
        <f t="shared" si="0"/>
        <v>7</v>
      </c>
      <c r="AC14" s="55">
        <f t="shared" si="1"/>
        <v>8</v>
      </c>
      <c r="AD14" s="253">
        <f t="shared" si="2"/>
        <v>-8.6100000000000012</v>
      </c>
      <c r="AE14" s="108">
        <f t="shared" si="3"/>
        <v>9.9015000000000004</v>
      </c>
      <c r="AF14" s="244">
        <v>67</v>
      </c>
      <c r="AG14" s="42">
        <f t="shared" si="4"/>
        <v>0.29236363636363644</v>
      </c>
      <c r="AH14" s="24">
        <v>4</v>
      </c>
      <c r="AI14" s="201">
        <v>8</v>
      </c>
      <c r="AJ14" s="218" t="str">
        <f t="shared" si="37"/>
        <v>#4 @ 8</v>
      </c>
      <c r="AK14" s="43">
        <f t="shared" si="26"/>
        <v>0.30000000000000004</v>
      </c>
      <c r="AL14" s="43">
        <f t="shared" si="27"/>
        <v>0.6875</v>
      </c>
      <c r="AM14" s="282">
        <f t="shared" si="38"/>
        <v>6.2500000000000012E-3</v>
      </c>
      <c r="AN14" s="272" t="str">
        <f t="shared" si="28"/>
        <v>#4 @ 5.5</v>
      </c>
      <c r="AP14" s="2">
        <f t="shared" si="5"/>
        <v>7</v>
      </c>
      <c r="AQ14" s="55">
        <f t="shared" si="6"/>
        <v>8</v>
      </c>
      <c r="AR14" s="169" t="str">
        <f t="shared" si="29"/>
        <v>#4 @ 5.5</v>
      </c>
      <c r="AS14" s="303" t="str">
        <f t="shared" si="30"/>
        <v>#4 @ 8</v>
      </c>
      <c r="AT14" s="253">
        <f t="shared" si="7"/>
        <v>-8.6100000000000012</v>
      </c>
      <c r="AU14" s="99">
        <f t="shared" si="8"/>
        <v>9.9015000000000004</v>
      </c>
      <c r="AV14" s="253">
        <f t="shared" si="31"/>
        <v>-9.749052017501219</v>
      </c>
      <c r="AW14" s="108">
        <f t="shared" si="32"/>
        <v>10.7308701993194</v>
      </c>
      <c r="AY14" s="156"/>
      <c r="AZ14" s="156"/>
      <c r="BA14" s="156">
        <f t="shared" si="33"/>
        <v>1.132294078687714</v>
      </c>
      <c r="BB14" s="156">
        <f t="shared" si="34"/>
        <v>1.0837620763843254</v>
      </c>
      <c r="BC14" s="144">
        <f t="shared" si="35"/>
        <v>1.132294078687714</v>
      </c>
      <c r="BD14" s="144">
        <f t="shared" si="36"/>
        <v>1.0837620763843254</v>
      </c>
    </row>
    <row r="15" spans="1:56" x14ac:dyDescent="0.2">
      <c r="A15" s="2">
        <v>7.25</v>
      </c>
      <c r="B15" s="221">
        <v>8</v>
      </c>
      <c r="C15" s="32">
        <f t="shared" si="9"/>
        <v>9.9999999999999992E-2</v>
      </c>
      <c r="D15" s="253">
        <f t="shared" si="10"/>
        <v>-0.52562500000000001</v>
      </c>
      <c r="E15" s="99">
        <f t="shared" si="11"/>
        <v>0.42049999999999998</v>
      </c>
      <c r="F15" s="253">
        <f t="shared" si="12"/>
        <v>-0.26281250000000006</v>
      </c>
      <c r="G15" s="108">
        <f t="shared" si="13"/>
        <v>0.21024999999999999</v>
      </c>
      <c r="H15" s="294">
        <v>-4.49</v>
      </c>
      <c r="I15" s="99">
        <v>5.32</v>
      </c>
      <c r="J15" s="253">
        <f t="shared" si="14"/>
        <v>-8.9087499999999995</v>
      </c>
      <c r="K15" s="108">
        <f t="shared" si="14"/>
        <v>10.151</v>
      </c>
      <c r="L15" s="236">
        <v>4</v>
      </c>
      <c r="M15" s="236">
        <v>5.5</v>
      </c>
      <c r="N15" s="297">
        <v>0.2</v>
      </c>
      <c r="O15" s="236">
        <v>0.5</v>
      </c>
      <c r="P15" s="43">
        <f t="shared" si="15"/>
        <v>0.43636363636363645</v>
      </c>
      <c r="Q15" s="195">
        <f t="shared" si="16"/>
        <v>5.25</v>
      </c>
      <c r="R15" s="102">
        <f t="shared" si="17"/>
        <v>5.75</v>
      </c>
      <c r="S15" s="287">
        <f t="shared" si="18"/>
        <v>6.9264069264069281E-3</v>
      </c>
      <c r="T15" s="115">
        <f t="shared" si="19"/>
        <v>6.3241106719367605E-3</v>
      </c>
      <c r="U15" s="125"/>
      <c r="V15" s="253">
        <f t="shared" si="20"/>
        <v>9.749052017501219</v>
      </c>
      <c r="W15" s="108">
        <f t="shared" si="21"/>
        <v>10.7308701993194</v>
      </c>
      <c r="X15" s="253">
        <f t="shared" si="22"/>
        <v>9.6790471560525049</v>
      </c>
      <c r="Y15" s="99">
        <f t="shared" si="23"/>
        <v>10.660865337870687</v>
      </c>
      <c r="Z15" s="253">
        <f t="shared" si="24"/>
        <v>9.8050559066601881</v>
      </c>
      <c r="AA15" s="108">
        <f t="shared" si="25"/>
        <v>10.786874088478369</v>
      </c>
      <c r="AB15" s="3">
        <f t="shared" si="0"/>
        <v>7.25</v>
      </c>
      <c r="AC15" s="55">
        <f t="shared" si="1"/>
        <v>8</v>
      </c>
      <c r="AD15" s="253">
        <f t="shared" si="2"/>
        <v>-8.9087499999999995</v>
      </c>
      <c r="AE15" s="108">
        <f t="shared" si="3"/>
        <v>10.151</v>
      </c>
      <c r="AF15" s="201">
        <v>67</v>
      </c>
      <c r="AG15" s="43">
        <f t="shared" si="4"/>
        <v>0.29236363636363644</v>
      </c>
      <c r="AH15" s="24">
        <v>4</v>
      </c>
      <c r="AI15" s="201">
        <v>8</v>
      </c>
      <c r="AJ15" s="218" t="str">
        <f t="shared" si="37"/>
        <v>#4 @ 8</v>
      </c>
      <c r="AK15" s="43">
        <f t="shared" si="26"/>
        <v>0.30000000000000004</v>
      </c>
      <c r="AL15" s="43">
        <f t="shared" si="27"/>
        <v>0.6875</v>
      </c>
      <c r="AM15" s="282">
        <f t="shared" si="38"/>
        <v>6.2500000000000012E-3</v>
      </c>
      <c r="AN15" s="272" t="str">
        <f t="shared" si="28"/>
        <v>#4 @ 5.5</v>
      </c>
      <c r="AP15" s="2">
        <f t="shared" si="5"/>
        <v>7.25</v>
      </c>
      <c r="AQ15" s="55">
        <f t="shared" si="6"/>
        <v>8</v>
      </c>
      <c r="AR15" s="169" t="str">
        <f t="shared" si="29"/>
        <v>#4 @ 5.5</v>
      </c>
      <c r="AS15" s="303" t="str">
        <f t="shared" si="30"/>
        <v>#4 @ 8</v>
      </c>
      <c r="AT15" s="253">
        <f t="shared" si="7"/>
        <v>-8.9087499999999995</v>
      </c>
      <c r="AU15" s="99">
        <f t="shared" si="8"/>
        <v>10.151</v>
      </c>
      <c r="AV15" s="253">
        <f t="shared" si="31"/>
        <v>-9.749052017501219</v>
      </c>
      <c r="AW15" s="108">
        <f t="shared" si="32"/>
        <v>10.7308701993194</v>
      </c>
      <c r="AY15" s="156"/>
      <c r="AZ15" s="156"/>
      <c r="BA15" s="156">
        <f t="shared" si="33"/>
        <v>1.0943232235163429</v>
      </c>
      <c r="BB15" s="156">
        <f t="shared" si="34"/>
        <v>1.0571244408747316</v>
      </c>
      <c r="BC15" s="144">
        <f t="shared" si="35"/>
        <v>1.0943232235163429</v>
      </c>
      <c r="BD15" s="144">
        <f t="shared" si="36"/>
        <v>1.0571244408747316</v>
      </c>
    </row>
    <row r="16" spans="1:56" x14ac:dyDescent="0.2">
      <c r="A16" s="2">
        <v>7.5</v>
      </c>
      <c r="B16" s="221">
        <v>8</v>
      </c>
      <c r="C16" s="32">
        <f t="shared" si="9"/>
        <v>9.9999999999999992E-2</v>
      </c>
      <c r="D16" s="253">
        <f t="shared" si="10"/>
        <v>-0.5625</v>
      </c>
      <c r="E16" s="99">
        <f t="shared" si="11"/>
        <v>0.45</v>
      </c>
      <c r="F16" s="253">
        <f t="shared" si="12"/>
        <v>-0.28125000000000006</v>
      </c>
      <c r="G16" s="108">
        <f t="shared" si="13"/>
        <v>0.22500000000000001</v>
      </c>
      <c r="H16" s="294">
        <v>-4.6100000000000003</v>
      </c>
      <c r="I16" s="99">
        <v>5.44</v>
      </c>
      <c r="J16" s="253">
        <f t="shared" si="14"/>
        <v>-9.1925000000000008</v>
      </c>
      <c r="K16" s="108">
        <f t="shared" si="14"/>
        <v>10.420000000000002</v>
      </c>
      <c r="L16" s="236">
        <v>4</v>
      </c>
      <c r="M16" s="236">
        <v>5.5</v>
      </c>
      <c r="N16" s="297">
        <v>0.2</v>
      </c>
      <c r="O16" s="236">
        <v>0.5</v>
      </c>
      <c r="P16" s="43">
        <f t="shared" si="15"/>
        <v>0.43636363636363645</v>
      </c>
      <c r="Q16" s="195">
        <f t="shared" si="16"/>
        <v>5.25</v>
      </c>
      <c r="R16" s="102">
        <f t="shared" si="17"/>
        <v>5.75</v>
      </c>
      <c r="S16" s="287">
        <f t="shared" si="18"/>
        <v>6.9264069264069281E-3</v>
      </c>
      <c r="T16" s="115">
        <f t="shared" si="19"/>
        <v>6.3241106719367605E-3</v>
      </c>
      <c r="U16" s="125"/>
      <c r="V16" s="253">
        <f t="shared" si="20"/>
        <v>9.749052017501219</v>
      </c>
      <c r="W16" s="108">
        <f t="shared" si="21"/>
        <v>10.7308701993194</v>
      </c>
      <c r="X16" s="253">
        <f t="shared" si="22"/>
        <v>9.6790471560525049</v>
      </c>
      <c r="Y16" s="99">
        <f t="shared" si="23"/>
        <v>10.660865337870687</v>
      </c>
      <c r="Z16" s="253">
        <f t="shared" si="24"/>
        <v>9.8050559066601881</v>
      </c>
      <c r="AA16" s="108">
        <f t="shared" si="25"/>
        <v>10.786874088478369</v>
      </c>
      <c r="AB16" s="3">
        <f t="shared" si="0"/>
        <v>7.5</v>
      </c>
      <c r="AC16" s="55">
        <f t="shared" si="1"/>
        <v>8</v>
      </c>
      <c r="AD16" s="253">
        <f t="shared" si="2"/>
        <v>-9.1925000000000008</v>
      </c>
      <c r="AE16" s="108">
        <f t="shared" si="3"/>
        <v>10.420000000000002</v>
      </c>
      <c r="AF16" s="201">
        <v>67</v>
      </c>
      <c r="AG16" s="43">
        <f t="shared" si="4"/>
        <v>0.29236363636363644</v>
      </c>
      <c r="AH16" s="24">
        <v>4</v>
      </c>
      <c r="AI16" s="201">
        <v>8</v>
      </c>
      <c r="AJ16" s="218" t="str">
        <f t="shared" si="37"/>
        <v>#4 @ 8</v>
      </c>
      <c r="AK16" s="43">
        <f t="shared" si="26"/>
        <v>0.30000000000000004</v>
      </c>
      <c r="AL16" s="43">
        <f t="shared" si="27"/>
        <v>0.6875</v>
      </c>
      <c r="AM16" s="282">
        <f t="shared" si="38"/>
        <v>6.2500000000000012E-3</v>
      </c>
      <c r="AN16" s="272" t="str">
        <f t="shared" si="28"/>
        <v>#4 @ 5.5</v>
      </c>
      <c r="AP16" s="2">
        <f t="shared" si="5"/>
        <v>7.5</v>
      </c>
      <c r="AQ16" s="55">
        <f t="shared" si="6"/>
        <v>8</v>
      </c>
      <c r="AR16" s="169" t="str">
        <f t="shared" si="29"/>
        <v>#4 @ 5.5</v>
      </c>
      <c r="AS16" s="303" t="str">
        <f t="shared" si="30"/>
        <v>#4 @ 8</v>
      </c>
      <c r="AT16" s="253">
        <f t="shared" si="7"/>
        <v>-9.1925000000000008</v>
      </c>
      <c r="AU16" s="99">
        <f t="shared" si="8"/>
        <v>10.420000000000002</v>
      </c>
      <c r="AV16" s="253">
        <f t="shared" si="31"/>
        <v>-9.749052017501219</v>
      </c>
      <c r="AW16" s="108">
        <f t="shared" si="32"/>
        <v>10.7308701993194</v>
      </c>
      <c r="AY16" s="156"/>
      <c r="AZ16" s="156"/>
      <c r="BA16" s="156">
        <f t="shared" si="33"/>
        <v>1.0605441411478072</v>
      </c>
      <c r="BB16" s="156">
        <f t="shared" si="34"/>
        <v>1.02983399225714</v>
      </c>
      <c r="BC16" s="144">
        <f t="shared" si="35"/>
        <v>1.0605441411478072</v>
      </c>
      <c r="BD16" s="144">
        <f t="shared" si="36"/>
        <v>1.02983399225714</v>
      </c>
    </row>
    <row r="17" spans="1:56" x14ac:dyDescent="0.2">
      <c r="A17" s="2">
        <v>7.75</v>
      </c>
      <c r="B17" s="222">
        <v>8</v>
      </c>
      <c r="C17" s="32">
        <f t="shared" si="9"/>
        <v>9.9999999999999992E-2</v>
      </c>
      <c r="D17" s="253">
        <f t="shared" si="10"/>
        <v>-0.60062499999999996</v>
      </c>
      <c r="E17" s="99">
        <f t="shared" si="11"/>
        <v>0.48049999999999998</v>
      </c>
      <c r="F17" s="253">
        <f t="shared" si="12"/>
        <v>-0.30031250000000004</v>
      </c>
      <c r="G17" s="108">
        <f t="shared" si="13"/>
        <v>0.24024999999999999</v>
      </c>
      <c r="H17" s="294">
        <v>-4.71</v>
      </c>
      <c r="I17" s="99">
        <v>5.56</v>
      </c>
      <c r="J17" s="253">
        <f t="shared" si="14"/>
        <v>-9.4437499999999996</v>
      </c>
      <c r="K17" s="108">
        <f t="shared" si="14"/>
        <v>10.690999999999999</v>
      </c>
      <c r="L17" s="238">
        <v>4</v>
      </c>
      <c r="M17" s="238">
        <v>5.5</v>
      </c>
      <c r="N17" s="298">
        <v>0.2</v>
      </c>
      <c r="O17" s="238">
        <v>0.5</v>
      </c>
      <c r="P17" s="44">
        <f t="shared" si="15"/>
        <v>0.43636363636363645</v>
      </c>
      <c r="Q17" s="257">
        <f t="shared" si="16"/>
        <v>5.25</v>
      </c>
      <c r="R17" s="104">
        <f t="shared" si="17"/>
        <v>5.75</v>
      </c>
      <c r="S17" s="287">
        <f t="shared" si="18"/>
        <v>6.9264069264069281E-3</v>
      </c>
      <c r="T17" s="115">
        <f t="shared" si="19"/>
        <v>6.3241106719367605E-3</v>
      </c>
      <c r="U17" s="125"/>
      <c r="V17" s="61">
        <f t="shared" si="20"/>
        <v>9.749052017501219</v>
      </c>
      <c r="W17" s="110">
        <f t="shared" si="21"/>
        <v>10.7308701993194</v>
      </c>
      <c r="X17" s="61">
        <f t="shared" si="22"/>
        <v>9.6790471560525049</v>
      </c>
      <c r="Y17" s="101">
        <f t="shared" si="23"/>
        <v>10.660865337870687</v>
      </c>
      <c r="Z17" s="61">
        <f t="shared" si="24"/>
        <v>9.8050559066601881</v>
      </c>
      <c r="AA17" s="110">
        <f t="shared" si="25"/>
        <v>10.786874088478369</v>
      </c>
      <c r="AB17" s="3">
        <f t="shared" si="0"/>
        <v>7.75</v>
      </c>
      <c r="AC17" s="55">
        <f t="shared" si="1"/>
        <v>8</v>
      </c>
      <c r="AD17" s="253">
        <f t="shared" si="2"/>
        <v>-9.4437499999999996</v>
      </c>
      <c r="AE17" s="108">
        <f t="shared" si="3"/>
        <v>10.690999999999999</v>
      </c>
      <c r="AF17" s="245">
        <v>67</v>
      </c>
      <c r="AG17" s="44">
        <f t="shared" si="4"/>
        <v>0.29236363636363644</v>
      </c>
      <c r="AH17" s="245">
        <v>4</v>
      </c>
      <c r="AI17" s="245">
        <v>8</v>
      </c>
      <c r="AJ17" s="219" t="str">
        <f t="shared" si="37"/>
        <v>#4 @ 8</v>
      </c>
      <c r="AK17" s="44">
        <f t="shared" si="26"/>
        <v>0.30000000000000004</v>
      </c>
      <c r="AL17" s="44">
        <f t="shared" si="27"/>
        <v>0.6875</v>
      </c>
      <c r="AM17" s="282">
        <f t="shared" si="38"/>
        <v>6.2500000000000012E-3</v>
      </c>
      <c r="AN17" s="219" t="str">
        <f>"#"&amp;L17&amp;" @ "&amp;M17</f>
        <v>#4 @ 5.5</v>
      </c>
      <c r="AP17" s="2">
        <f t="shared" si="5"/>
        <v>7.75</v>
      </c>
      <c r="AQ17" s="55">
        <f t="shared" si="6"/>
        <v>8</v>
      </c>
      <c r="AR17" s="175" t="str">
        <f t="shared" si="29"/>
        <v>#4 @ 5.5</v>
      </c>
      <c r="AS17" s="303" t="str">
        <f t="shared" si="30"/>
        <v>#4 @ 8</v>
      </c>
      <c r="AT17" s="253">
        <f t="shared" si="7"/>
        <v>-9.4437499999999996</v>
      </c>
      <c r="AU17" s="204">
        <f t="shared" si="8"/>
        <v>10.690999999999999</v>
      </c>
      <c r="AV17" s="61">
        <f t="shared" si="31"/>
        <v>-9.749052017501219</v>
      </c>
      <c r="AW17" s="110">
        <f t="shared" si="32"/>
        <v>10.7308701993194</v>
      </c>
      <c r="AY17" s="156"/>
      <c r="AZ17" s="179"/>
      <c r="BA17" s="202">
        <f t="shared" si="33"/>
        <v>1.032328473064325</v>
      </c>
      <c r="BB17" s="203">
        <f t="shared" si="34"/>
        <v>1.0037293236665794</v>
      </c>
      <c r="BC17" s="144">
        <f t="shared" si="35"/>
        <v>1.032328473064325</v>
      </c>
      <c r="BD17" s="144">
        <f t="shared" si="36"/>
        <v>1.0037293236665794</v>
      </c>
    </row>
    <row r="18" spans="1:56" x14ac:dyDescent="0.2">
      <c r="A18" s="17">
        <v>8</v>
      </c>
      <c r="B18" s="221">
        <v>8</v>
      </c>
      <c r="C18" s="42">
        <f t="shared" si="9"/>
        <v>9.9999999999999992E-2</v>
      </c>
      <c r="D18" s="255">
        <f t="shared" si="10"/>
        <v>-0.64</v>
      </c>
      <c r="E18" s="100">
        <f t="shared" si="11"/>
        <v>0.51200000000000001</v>
      </c>
      <c r="F18" s="255">
        <f t="shared" si="12"/>
        <v>-0.32000000000000006</v>
      </c>
      <c r="G18" s="109">
        <f t="shared" si="13"/>
        <v>0.25600000000000001</v>
      </c>
      <c r="H18" s="295">
        <v>-4.8099999999999996</v>
      </c>
      <c r="I18" s="100">
        <v>5.69</v>
      </c>
      <c r="J18" s="255">
        <f t="shared" si="14"/>
        <v>-9.697499999999998</v>
      </c>
      <c r="K18" s="109">
        <f t="shared" si="14"/>
        <v>10.9815</v>
      </c>
      <c r="L18" s="236">
        <v>4</v>
      </c>
      <c r="M18" s="236">
        <v>5</v>
      </c>
      <c r="N18" s="297">
        <v>0.2</v>
      </c>
      <c r="O18" s="236">
        <v>0.5</v>
      </c>
      <c r="P18" s="43">
        <f t="shared" si="15"/>
        <v>0.48000000000000009</v>
      </c>
      <c r="Q18" s="195">
        <f t="shared" si="16"/>
        <v>5.25</v>
      </c>
      <c r="R18" s="102">
        <f t="shared" si="17"/>
        <v>5.75</v>
      </c>
      <c r="S18" s="288">
        <f t="shared" si="18"/>
        <v>7.6190476190476208E-3</v>
      </c>
      <c r="T18" s="116">
        <f t="shared" si="19"/>
        <v>6.9565217391304359E-3</v>
      </c>
      <c r="U18" s="125"/>
      <c r="V18" s="253">
        <f t="shared" si="20"/>
        <v>10.662352941176474</v>
      </c>
      <c r="W18" s="108">
        <f t="shared" si="21"/>
        <v>11.742352941176472</v>
      </c>
      <c r="X18" s="253">
        <f t="shared" si="22"/>
        <v>10.57764705882353</v>
      </c>
      <c r="Y18" s="99">
        <f t="shared" si="23"/>
        <v>11.65764705882353</v>
      </c>
      <c r="Z18" s="253">
        <f t="shared" si="24"/>
        <v>10.730117647058826</v>
      </c>
      <c r="AA18" s="108">
        <f t="shared" si="25"/>
        <v>11.810117647058826</v>
      </c>
      <c r="AB18" s="18">
        <f t="shared" si="0"/>
        <v>8</v>
      </c>
      <c r="AC18" s="56">
        <f t="shared" si="1"/>
        <v>8</v>
      </c>
      <c r="AD18" s="255">
        <f t="shared" si="2"/>
        <v>-9.697499999999998</v>
      </c>
      <c r="AE18" s="109">
        <f t="shared" si="3"/>
        <v>10.9815</v>
      </c>
      <c r="AF18" s="201">
        <v>67</v>
      </c>
      <c r="AG18" s="43">
        <f t="shared" si="4"/>
        <v>0.32160000000000005</v>
      </c>
      <c r="AH18" s="24">
        <v>4</v>
      </c>
      <c r="AI18" s="201">
        <v>7</v>
      </c>
      <c r="AJ18" s="218" t="str">
        <f t="shared" si="37"/>
        <v>#4 @ 7</v>
      </c>
      <c r="AK18" s="43">
        <f t="shared" si="26"/>
        <v>0.34285714285714292</v>
      </c>
      <c r="AL18" s="43">
        <f t="shared" si="27"/>
        <v>0.7142857142857143</v>
      </c>
      <c r="AM18" s="42">
        <f t="shared" si="38"/>
        <v>7.1428571428571444E-3</v>
      </c>
      <c r="AN18" s="272" t="str">
        <f t="shared" si="28"/>
        <v>#4 @ 5</v>
      </c>
      <c r="AP18" s="17">
        <f t="shared" si="5"/>
        <v>8</v>
      </c>
      <c r="AQ18" s="56">
        <f t="shared" si="6"/>
        <v>8</v>
      </c>
      <c r="AR18" s="169" t="str">
        <f t="shared" si="29"/>
        <v>#4 @ 5</v>
      </c>
      <c r="AS18" s="304" t="str">
        <f t="shared" si="30"/>
        <v>#4 @ 7</v>
      </c>
      <c r="AT18" s="255">
        <f t="shared" si="7"/>
        <v>-9.697499999999998</v>
      </c>
      <c r="AU18" s="100">
        <f t="shared" si="8"/>
        <v>10.9815</v>
      </c>
      <c r="AV18" s="253">
        <f t="shared" si="31"/>
        <v>-10.662352941176474</v>
      </c>
      <c r="AW18" s="108">
        <f t="shared" si="32"/>
        <v>11.742352941176472</v>
      </c>
      <c r="AY18" s="156"/>
      <c r="AZ18" s="156"/>
      <c r="BA18" s="156">
        <f t="shared" si="33"/>
        <v>1.0994950184250041</v>
      </c>
      <c r="BB18" s="156">
        <f t="shared" si="34"/>
        <v>1.0692849739267378</v>
      </c>
      <c r="BC18" s="144">
        <f t="shared" si="35"/>
        <v>1.0994950184250041</v>
      </c>
      <c r="BD18" s="144">
        <f t="shared" si="36"/>
        <v>1.0692849739267378</v>
      </c>
    </row>
    <row r="19" spans="1:56" x14ac:dyDescent="0.2">
      <c r="A19" s="2">
        <v>8.25</v>
      </c>
      <c r="B19" s="221">
        <v>8</v>
      </c>
      <c r="C19" s="43">
        <f t="shared" si="9"/>
        <v>9.9999999999999992E-2</v>
      </c>
      <c r="D19" s="253">
        <f t="shared" si="10"/>
        <v>-0.68062500000000004</v>
      </c>
      <c r="E19" s="99">
        <f t="shared" si="11"/>
        <v>0.54449999999999998</v>
      </c>
      <c r="F19" s="253">
        <f t="shared" si="12"/>
        <v>-0.34031250000000007</v>
      </c>
      <c r="G19" s="108">
        <f t="shared" si="13"/>
        <v>0.27224999999999999</v>
      </c>
      <c r="H19" s="294">
        <v>-4.9000000000000004</v>
      </c>
      <c r="I19" s="99">
        <v>5.83</v>
      </c>
      <c r="J19" s="253">
        <f t="shared" si="14"/>
        <v>-9.9362500000000011</v>
      </c>
      <c r="K19" s="108">
        <f t="shared" si="14"/>
        <v>11.291500000000001</v>
      </c>
      <c r="L19" s="236">
        <v>4</v>
      </c>
      <c r="M19" s="236">
        <v>5</v>
      </c>
      <c r="N19" s="297">
        <v>0.2</v>
      </c>
      <c r="O19" s="236">
        <v>0.5</v>
      </c>
      <c r="P19" s="43">
        <f t="shared" si="15"/>
        <v>0.48000000000000009</v>
      </c>
      <c r="Q19" s="195">
        <f t="shared" si="16"/>
        <v>5.25</v>
      </c>
      <c r="R19" s="102">
        <f t="shared" si="17"/>
        <v>5.75</v>
      </c>
      <c r="S19" s="287">
        <f t="shared" si="18"/>
        <v>7.6190476190476208E-3</v>
      </c>
      <c r="T19" s="115">
        <f t="shared" si="19"/>
        <v>6.9565217391304359E-3</v>
      </c>
      <c r="U19" s="125"/>
      <c r="V19" s="253">
        <f t="shared" si="20"/>
        <v>10.662352941176474</v>
      </c>
      <c r="W19" s="108">
        <f t="shared" si="21"/>
        <v>11.742352941176472</v>
      </c>
      <c r="X19" s="253">
        <f t="shared" si="22"/>
        <v>10.57764705882353</v>
      </c>
      <c r="Y19" s="99">
        <f t="shared" si="23"/>
        <v>11.65764705882353</v>
      </c>
      <c r="Z19" s="253">
        <f t="shared" si="24"/>
        <v>10.730117647058826</v>
      </c>
      <c r="AA19" s="108">
        <f t="shared" si="25"/>
        <v>11.810117647058826</v>
      </c>
      <c r="AB19" s="3">
        <f t="shared" si="0"/>
        <v>8.25</v>
      </c>
      <c r="AC19" s="55">
        <f t="shared" si="1"/>
        <v>8</v>
      </c>
      <c r="AD19" s="253">
        <f t="shared" si="2"/>
        <v>-9.9362500000000011</v>
      </c>
      <c r="AE19" s="108">
        <f t="shared" si="3"/>
        <v>11.291500000000001</v>
      </c>
      <c r="AF19" s="201">
        <v>67</v>
      </c>
      <c r="AG19" s="43">
        <f t="shared" si="4"/>
        <v>0.32160000000000005</v>
      </c>
      <c r="AH19" s="24">
        <v>4</v>
      </c>
      <c r="AI19" s="201">
        <v>7</v>
      </c>
      <c r="AJ19" s="218" t="str">
        <f t="shared" si="37"/>
        <v>#4 @ 7</v>
      </c>
      <c r="AK19" s="43">
        <f t="shared" si="26"/>
        <v>0.34285714285714292</v>
      </c>
      <c r="AL19" s="43">
        <f t="shared" si="27"/>
        <v>0.7142857142857143</v>
      </c>
      <c r="AM19" s="43">
        <f t="shared" si="38"/>
        <v>7.1428571428571444E-3</v>
      </c>
      <c r="AN19" s="272" t="str">
        <f t="shared" si="28"/>
        <v>#4 @ 5</v>
      </c>
      <c r="AP19" s="2">
        <f t="shared" si="5"/>
        <v>8.25</v>
      </c>
      <c r="AQ19" s="55">
        <f t="shared" si="6"/>
        <v>8</v>
      </c>
      <c r="AR19" s="169" t="str">
        <f t="shared" si="29"/>
        <v>#4 @ 5</v>
      </c>
      <c r="AS19" s="303" t="str">
        <f t="shared" si="30"/>
        <v>#4 @ 7</v>
      </c>
      <c r="AT19" s="253">
        <f t="shared" si="7"/>
        <v>-9.9362500000000011</v>
      </c>
      <c r="AU19" s="99">
        <f t="shared" si="8"/>
        <v>11.291500000000001</v>
      </c>
      <c r="AV19" s="253">
        <f t="shared" si="31"/>
        <v>-10.662352941176474</v>
      </c>
      <c r="AW19" s="108">
        <f t="shared" si="32"/>
        <v>11.742352941176472</v>
      </c>
      <c r="AY19" s="156"/>
      <c r="AZ19" s="156"/>
      <c r="BA19" s="156">
        <f t="shared" si="33"/>
        <v>1.073076154603243</v>
      </c>
      <c r="BB19" s="156">
        <f t="shared" si="34"/>
        <v>1.0399285251008699</v>
      </c>
      <c r="BC19" s="144">
        <f t="shared" si="35"/>
        <v>1.073076154603243</v>
      </c>
      <c r="BD19" s="144">
        <f t="shared" si="36"/>
        <v>1.0399285251008699</v>
      </c>
    </row>
    <row r="20" spans="1:56" x14ac:dyDescent="0.2">
      <c r="A20" s="2">
        <v>8.5</v>
      </c>
      <c r="B20" s="221">
        <v>8</v>
      </c>
      <c r="C20" s="43">
        <f t="shared" si="9"/>
        <v>9.9999999999999992E-2</v>
      </c>
      <c r="D20" s="253">
        <f t="shared" si="10"/>
        <v>-0.72250000000000003</v>
      </c>
      <c r="E20" s="99">
        <f t="shared" si="11"/>
        <v>0.57799999999999996</v>
      </c>
      <c r="F20" s="253">
        <f t="shared" si="12"/>
        <v>-0.36125000000000007</v>
      </c>
      <c r="G20" s="108">
        <f t="shared" si="13"/>
        <v>0.28899999999999998</v>
      </c>
      <c r="H20" s="294">
        <v>-4.9800000000000004</v>
      </c>
      <c r="I20" s="99">
        <v>5.99</v>
      </c>
      <c r="J20" s="253">
        <f t="shared" si="14"/>
        <v>-10.16</v>
      </c>
      <c r="K20" s="108">
        <f t="shared" si="14"/>
        <v>11.638500000000001</v>
      </c>
      <c r="L20" s="236">
        <v>4</v>
      </c>
      <c r="M20" s="236">
        <v>5</v>
      </c>
      <c r="N20" s="297">
        <v>0.2</v>
      </c>
      <c r="O20" s="236">
        <v>0.5</v>
      </c>
      <c r="P20" s="43">
        <f t="shared" si="15"/>
        <v>0.48000000000000009</v>
      </c>
      <c r="Q20" s="195">
        <f t="shared" si="16"/>
        <v>5.25</v>
      </c>
      <c r="R20" s="102">
        <f t="shared" si="17"/>
        <v>5.75</v>
      </c>
      <c r="S20" s="287">
        <f t="shared" si="18"/>
        <v>7.6190476190476208E-3</v>
      </c>
      <c r="T20" s="115">
        <f t="shared" si="19"/>
        <v>6.9565217391304359E-3</v>
      </c>
      <c r="U20" s="125"/>
      <c r="V20" s="253">
        <f t="shared" si="20"/>
        <v>10.662352941176474</v>
      </c>
      <c r="W20" s="108">
        <f t="shared" si="21"/>
        <v>11.742352941176472</v>
      </c>
      <c r="X20" s="253">
        <f t="shared" si="22"/>
        <v>10.57764705882353</v>
      </c>
      <c r="Y20" s="99">
        <f t="shared" si="23"/>
        <v>11.65764705882353</v>
      </c>
      <c r="Z20" s="253">
        <f t="shared" si="24"/>
        <v>10.730117647058826</v>
      </c>
      <c r="AA20" s="108">
        <f t="shared" si="25"/>
        <v>11.810117647058826</v>
      </c>
      <c r="AB20" s="3">
        <f t="shared" si="0"/>
        <v>8.5</v>
      </c>
      <c r="AC20" s="55">
        <f t="shared" si="1"/>
        <v>8</v>
      </c>
      <c r="AD20" s="253">
        <f t="shared" si="2"/>
        <v>-10.16</v>
      </c>
      <c r="AE20" s="108">
        <f t="shared" si="3"/>
        <v>11.638500000000001</v>
      </c>
      <c r="AF20" s="201">
        <v>67</v>
      </c>
      <c r="AG20" s="43">
        <f t="shared" si="4"/>
        <v>0.32160000000000005</v>
      </c>
      <c r="AH20" s="24">
        <v>4</v>
      </c>
      <c r="AI20" s="201">
        <v>7</v>
      </c>
      <c r="AJ20" s="218" t="str">
        <f t="shared" si="37"/>
        <v>#4 @ 7</v>
      </c>
      <c r="AK20" s="43">
        <f t="shared" si="26"/>
        <v>0.34285714285714292</v>
      </c>
      <c r="AL20" s="43">
        <f t="shared" si="27"/>
        <v>0.7142857142857143</v>
      </c>
      <c r="AM20" s="43">
        <f t="shared" si="38"/>
        <v>7.1428571428571444E-3</v>
      </c>
      <c r="AN20" s="272" t="str">
        <f t="shared" si="28"/>
        <v>#4 @ 5</v>
      </c>
      <c r="AP20" s="2">
        <f t="shared" si="5"/>
        <v>8.5</v>
      </c>
      <c r="AQ20" s="55">
        <f t="shared" si="6"/>
        <v>8</v>
      </c>
      <c r="AR20" s="169" t="str">
        <f t="shared" si="29"/>
        <v>#4 @ 5</v>
      </c>
      <c r="AS20" s="303" t="str">
        <f t="shared" si="30"/>
        <v>#4 @ 7</v>
      </c>
      <c r="AT20" s="253">
        <f t="shared" si="7"/>
        <v>-10.16</v>
      </c>
      <c r="AU20" s="99">
        <f t="shared" si="8"/>
        <v>11.638500000000001</v>
      </c>
      <c r="AV20" s="253">
        <f t="shared" si="31"/>
        <v>-10.662352941176474</v>
      </c>
      <c r="AW20" s="108">
        <f t="shared" si="32"/>
        <v>11.742352941176472</v>
      </c>
      <c r="AY20" s="156"/>
      <c r="AZ20" s="155"/>
      <c r="BA20" s="156">
        <f t="shared" si="33"/>
        <v>1.0494441871236686</v>
      </c>
      <c r="BB20" s="156">
        <f t="shared" si="34"/>
        <v>1.0089232238842181</v>
      </c>
      <c r="BC20" s="144">
        <f t="shared" si="35"/>
        <v>1.0494441871236686</v>
      </c>
      <c r="BD20" s="144">
        <f t="shared" si="36"/>
        <v>1.0089232238842181</v>
      </c>
    </row>
    <row r="21" spans="1:56" x14ac:dyDescent="0.2">
      <c r="A21" s="8">
        <v>8.75</v>
      </c>
      <c r="B21" s="222">
        <v>8</v>
      </c>
      <c r="C21" s="44">
        <f t="shared" si="9"/>
        <v>9.9999999999999992E-2</v>
      </c>
      <c r="D21" s="61">
        <f t="shared" si="10"/>
        <v>-0.765625</v>
      </c>
      <c r="E21" s="101">
        <f t="shared" si="11"/>
        <v>0.61250000000000004</v>
      </c>
      <c r="F21" s="61">
        <f t="shared" si="12"/>
        <v>-0.38281250000000006</v>
      </c>
      <c r="G21" s="110">
        <f t="shared" si="13"/>
        <v>0.30625000000000002</v>
      </c>
      <c r="H21" s="296">
        <v>-5.0599999999999996</v>
      </c>
      <c r="I21" s="101">
        <v>6.14</v>
      </c>
      <c r="J21" s="61">
        <f t="shared" si="14"/>
        <v>-10.386249999999999</v>
      </c>
      <c r="K21" s="110">
        <f t="shared" si="14"/>
        <v>11.969999999999999</v>
      </c>
      <c r="L21" s="238">
        <v>5</v>
      </c>
      <c r="M21" s="238">
        <v>6.5</v>
      </c>
      <c r="N21" s="298">
        <v>0.31</v>
      </c>
      <c r="O21" s="238">
        <v>0.625</v>
      </c>
      <c r="P21" s="44">
        <f t="shared" si="15"/>
        <v>0.5723076923076923</v>
      </c>
      <c r="Q21" s="257">
        <f t="shared" si="16"/>
        <v>5.1875</v>
      </c>
      <c r="R21" s="104">
        <f t="shared" si="17"/>
        <v>5.6875</v>
      </c>
      <c r="S21" s="289">
        <f t="shared" si="18"/>
        <v>9.1936978683966625E-3</v>
      </c>
      <c r="T21" s="117">
        <f t="shared" si="19"/>
        <v>8.3854606931530011E-3</v>
      </c>
      <c r="U21" s="125"/>
      <c r="V21" s="61">
        <f t="shared" si="20"/>
        <v>12.396466237382528</v>
      </c>
      <c r="W21" s="110">
        <f t="shared" si="21"/>
        <v>13.684158545074835</v>
      </c>
      <c r="X21" s="61">
        <f t="shared" si="22"/>
        <v>12.276048555516882</v>
      </c>
      <c r="Y21" s="101">
        <f t="shared" si="23"/>
        <v>13.563740863209189</v>
      </c>
      <c r="Z21" s="61">
        <f t="shared" si="24"/>
        <v>12.492800382875044</v>
      </c>
      <c r="AA21" s="110">
        <f t="shared" si="25"/>
        <v>13.780492690567351</v>
      </c>
      <c r="AB21" s="9">
        <f t="shared" si="0"/>
        <v>8.75</v>
      </c>
      <c r="AC21" s="57">
        <f t="shared" si="1"/>
        <v>8</v>
      </c>
      <c r="AD21" s="61">
        <f t="shared" si="2"/>
        <v>-10.386249999999999</v>
      </c>
      <c r="AE21" s="110">
        <f t="shared" si="3"/>
        <v>11.969999999999999</v>
      </c>
      <c r="AF21" s="245">
        <v>67</v>
      </c>
      <c r="AG21" s="44">
        <f t="shared" si="4"/>
        <v>0.38344615384615383</v>
      </c>
      <c r="AH21" s="26">
        <v>5</v>
      </c>
      <c r="AI21" s="245">
        <v>8</v>
      </c>
      <c r="AJ21" s="219" t="str">
        <f t="shared" si="37"/>
        <v>#5 @ 8</v>
      </c>
      <c r="AK21" s="44">
        <f>0.31*12/AI21</f>
        <v>0.46499999999999997</v>
      </c>
      <c r="AL21" s="44">
        <f t="shared" si="27"/>
        <v>0.8125</v>
      </c>
      <c r="AM21" s="44">
        <f t="shared" si="38"/>
        <v>9.6874999999999999E-3</v>
      </c>
      <c r="AN21" s="219" t="str">
        <f t="shared" si="28"/>
        <v>#5 @ 6.5</v>
      </c>
      <c r="AP21" s="8">
        <f t="shared" si="5"/>
        <v>8.75</v>
      </c>
      <c r="AQ21" s="57">
        <f t="shared" si="6"/>
        <v>8</v>
      </c>
      <c r="AR21" s="175" t="str">
        <f t="shared" si="29"/>
        <v>#5 @ 6.5</v>
      </c>
      <c r="AS21" s="305" t="str">
        <f t="shared" si="30"/>
        <v>#5 @ 8</v>
      </c>
      <c r="AT21" s="61">
        <f t="shared" si="7"/>
        <v>-10.386249999999999</v>
      </c>
      <c r="AU21" s="101">
        <f t="shared" si="8"/>
        <v>11.969999999999999</v>
      </c>
      <c r="AV21" s="61">
        <f t="shared" si="31"/>
        <v>-12.396466237382528</v>
      </c>
      <c r="AW21" s="110">
        <f t="shared" si="32"/>
        <v>13.684158545074835</v>
      </c>
      <c r="AY21" s="156"/>
      <c r="AZ21" s="156"/>
      <c r="BA21" s="156">
        <f t="shared" si="33"/>
        <v>1.1935459128542574</v>
      </c>
      <c r="BB21" s="156">
        <f t="shared" si="34"/>
        <v>1.1432045568149405</v>
      </c>
      <c r="BC21" s="144">
        <f t="shared" si="35"/>
        <v>1.1935459128542574</v>
      </c>
      <c r="BD21" s="144">
        <f t="shared" si="36"/>
        <v>1.1432045568149405</v>
      </c>
    </row>
    <row r="22" spans="1:56" x14ac:dyDescent="0.2">
      <c r="A22" s="2">
        <v>9</v>
      </c>
      <c r="B22" s="221">
        <v>8.25</v>
      </c>
      <c r="C22" s="32">
        <f t="shared" si="9"/>
        <v>0.10312499999999999</v>
      </c>
      <c r="D22" s="253">
        <f t="shared" si="10"/>
        <v>-0.83531250000000001</v>
      </c>
      <c r="E22" s="99">
        <f t="shared" si="11"/>
        <v>0.66825000000000001</v>
      </c>
      <c r="F22" s="253">
        <f t="shared" si="12"/>
        <v>-0.40500000000000008</v>
      </c>
      <c r="G22" s="108">
        <f t="shared" si="13"/>
        <v>0.32400000000000001</v>
      </c>
      <c r="H22" s="294">
        <v>-5.13</v>
      </c>
      <c r="I22" s="99">
        <v>6.29</v>
      </c>
      <c r="J22" s="253">
        <f t="shared" si="14"/>
        <v>-10.629140625</v>
      </c>
      <c r="K22" s="108">
        <f t="shared" si="14"/>
        <v>12.3288125</v>
      </c>
      <c r="L22" s="236">
        <v>5</v>
      </c>
      <c r="M22" s="236">
        <v>6.5</v>
      </c>
      <c r="N22" s="297">
        <v>0.31</v>
      </c>
      <c r="O22" s="236">
        <v>0.625</v>
      </c>
      <c r="P22" s="43">
        <f t="shared" si="15"/>
        <v>0.5723076923076923</v>
      </c>
      <c r="Q22" s="195">
        <f t="shared" si="16"/>
        <v>5.4375</v>
      </c>
      <c r="R22" s="102">
        <f t="shared" si="17"/>
        <v>5.9375</v>
      </c>
      <c r="S22" s="287">
        <f t="shared" si="18"/>
        <v>8.7709991158267022E-3</v>
      </c>
      <c r="T22" s="115">
        <f t="shared" si="19"/>
        <v>8.0323886639676115E-3</v>
      </c>
      <c r="U22" s="125"/>
      <c r="V22" s="253">
        <f t="shared" si="20"/>
        <v>13.040312391228682</v>
      </c>
      <c r="W22" s="108">
        <f t="shared" si="21"/>
        <v>14.328004698920987</v>
      </c>
      <c r="X22" s="253">
        <f t="shared" si="22"/>
        <v>12.919894709363035</v>
      </c>
      <c r="Y22" s="99">
        <f t="shared" si="23"/>
        <v>14.207587017055344</v>
      </c>
      <c r="Z22" s="253">
        <f t="shared" si="24"/>
        <v>13.1366465367212</v>
      </c>
      <c r="AA22" s="108">
        <f t="shared" si="25"/>
        <v>14.424338844413507</v>
      </c>
      <c r="AB22" s="3">
        <f t="shared" si="0"/>
        <v>9</v>
      </c>
      <c r="AC22" s="55">
        <f t="shared" si="1"/>
        <v>8.25</v>
      </c>
      <c r="AD22" s="253">
        <f t="shared" si="2"/>
        <v>-10.629140625</v>
      </c>
      <c r="AE22" s="108">
        <f t="shared" si="3"/>
        <v>12.3288125</v>
      </c>
      <c r="AF22" s="201">
        <v>67</v>
      </c>
      <c r="AG22" s="43">
        <f t="shared" si="4"/>
        <v>0.38344615384615383</v>
      </c>
      <c r="AH22" s="24">
        <v>5</v>
      </c>
      <c r="AI22" s="201">
        <v>8</v>
      </c>
      <c r="AJ22" s="218" t="str">
        <f t="shared" si="37"/>
        <v>#5 @ 8</v>
      </c>
      <c r="AK22" s="43">
        <f t="shared" ref="AK22:AK46" si="39">0.31*12/AI22</f>
        <v>0.46499999999999997</v>
      </c>
      <c r="AL22" s="43">
        <f t="shared" si="27"/>
        <v>0.8125</v>
      </c>
      <c r="AM22" s="43">
        <f t="shared" si="38"/>
        <v>9.3939393939393937E-3</v>
      </c>
      <c r="AN22" s="272" t="str">
        <f t="shared" si="28"/>
        <v>#5 @ 6.5</v>
      </c>
      <c r="AP22" s="2">
        <f t="shared" si="5"/>
        <v>9</v>
      </c>
      <c r="AQ22" s="55">
        <f t="shared" si="6"/>
        <v>8.25</v>
      </c>
      <c r="AR22" s="169" t="str">
        <f t="shared" si="29"/>
        <v>#5 @ 6.5</v>
      </c>
      <c r="AS22" s="303" t="str">
        <f t="shared" si="30"/>
        <v>#5 @ 8</v>
      </c>
      <c r="AT22" s="253">
        <f t="shared" si="7"/>
        <v>-10.629140625</v>
      </c>
      <c r="AU22" s="99">
        <f t="shared" si="8"/>
        <v>12.3288125</v>
      </c>
      <c r="AV22" s="253">
        <f t="shared" si="31"/>
        <v>-13.040312391228682</v>
      </c>
      <c r="AW22" s="108">
        <f t="shared" si="32"/>
        <v>14.328004698920987</v>
      </c>
      <c r="AY22" s="156"/>
      <c r="AZ22" s="156"/>
      <c r="BA22" s="156">
        <f t="shared" si="33"/>
        <v>1.226845410301332</v>
      </c>
      <c r="BB22" s="156">
        <f t="shared" si="34"/>
        <v>1.1621561037545982</v>
      </c>
      <c r="BC22" s="144">
        <f t="shared" si="35"/>
        <v>1.226845410301332</v>
      </c>
      <c r="BD22" s="144">
        <f t="shared" si="36"/>
        <v>1.1621561037545982</v>
      </c>
    </row>
    <row r="23" spans="1:56" x14ac:dyDescent="0.2">
      <c r="A23" s="2">
        <v>9.25</v>
      </c>
      <c r="B23" s="221">
        <v>8.25</v>
      </c>
      <c r="C23" s="32">
        <f t="shared" si="9"/>
        <v>0.10312499999999999</v>
      </c>
      <c r="D23" s="253">
        <f t="shared" si="10"/>
        <v>-0.88236328125000008</v>
      </c>
      <c r="E23" s="99">
        <f t="shared" si="11"/>
        <v>0.70589062499999999</v>
      </c>
      <c r="F23" s="253">
        <f t="shared" si="12"/>
        <v>-0.4278125000000001</v>
      </c>
      <c r="G23" s="108">
        <f t="shared" si="13"/>
        <v>0.34225</v>
      </c>
      <c r="H23" s="294">
        <v>-5.19</v>
      </c>
      <c r="I23" s="99">
        <v>6.44</v>
      </c>
      <c r="J23" s="253">
        <f t="shared" si="14"/>
        <v>-10.827172851562501</v>
      </c>
      <c r="K23" s="108">
        <f t="shared" si="14"/>
        <v>12.66573828125</v>
      </c>
      <c r="L23" s="236">
        <v>5</v>
      </c>
      <c r="M23" s="236">
        <v>6.5</v>
      </c>
      <c r="N23" s="297">
        <v>0.31</v>
      </c>
      <c r="O23" s="236">
        <v>0.625</v>
      </c>
      <c r="P23" s="43">
        <f t="shared" si="15"/>
        <v>0.5723076923076923</v>
      </c>
      <c r="Q23" s="195">
        <f t="shared" si="16"/>
        <v>5.4375</v>
      </c>
      <c r="R23" s="102">
        <f t="shared" si="17"/>
        <v>5.9375</v>
      </c>
      <c r="S23" s="287">
        <f t="shared" si="18"/>
        <v>8.7709991158267022E-3</v>
      </c>
      <c r="T23" s="115">
        <f t="shared" si="19"/>
        <v>8.0323886639676115E-3</v>
      </c>
      <c r="U23" s="125"/>
      <c r="V23" s="253">
        <f t="shared" si="20"/>
        <v>13.040312391228682</v>
      </c>
      <c r="W23" s="108">
        <f t="shared" si="21"/>
        <v>14.328004698920987</v>
      </c>
      <c r="X23" s="253">
        <f t="shared" si="22"/>
        <v>12.919894709363035</v>
      </c>
      <c r="Y23" s="99">
        <f t="shared" si="23"/>
        <v>14.207587017055344</v>
      </c>
      <c r="Z23" s="253">
        <f t="shared" si="24"/>
        <v>13.1366465367212</v>
      </c>
      <c r="AA23" s="108">
        <f t="shared" si="25"/>
        <v>14.424338844413507</v>
      </c>
      <c r="AB23" s="3">
        <f t="shared" si="0"/>
        <v>9.25</v>
      </c>
      <c r="AC23" s="55">
        <f t="shared" si="1"/>
        <v>8.25</v>
      </c>
      <c r="AD23" s="253">
        <f t="shared" si="2"/>
        <v>-10.827172851562501</v>
      </c>
      <c r="AE23" s="108">
        <f t="shared" si="3"/>
        <v>12.66573828125</v>
      </c>
      <c r="AF23" s="201">
        <v>67</v>
      </c>
      <c r="AG23" s="43">
        <f t="shared" si="4"/>
        <v>0.38344615384615383</v>
      </c>
      <c r="AH23" s="24">
        <v>5</v>
      </c>
      <c r="AI23" s="201">
        <v>8</v>
      </c>
      <c r="AJ23" s="218" t="str">
        <f t="shared" si="37"/>
        <v>#5 @ 8</v>
      </c>
      <c r="AK23" s="43">
        <f t="shared" si="39"/>
        <v>0.46499999999999997</v>
      </c>
      <c r="AL23" s="43">
        <f t="shared" si="27"/>
        <v>0.8125</v>
      </c>
      <c r="AM23" s="43">
        <f t="shared" si="38"/>
        <v>9.3939393939393937E-3</v>
      </c>
      <c r="AN23" s="272" t="str">
        <f t="shared" si="28"/>
        <v>#5 @ 6.5</v>
      </c>
      <c r="AP23" s="2">
        <f t="shared" si="5"/>
        <v>9.25</v>
      </c>
      <c r="AQ23" s="55">
        <f t="shared" si="6"/>
        <v>8.25</v>
      </c>
      <c r="AR23" s="169" t="str">
        <f t="shared" si="29"/>
        <v>#5 @ 6.5</v>
      </c>
      <c r="AS23" s="303" t="str">
        <f t="shared" si="30"/>
        <v>#5 @ 8</v>
      </c>
      <c r="AT23" s="253">
        <f t="shared" si="7"/>
        <v>-10.827172851562501</v>
      </c>
      <c r="AU23" s="99">
        <f t="shared" si="8"/>
        <v>12.66573828125</v>
      </c>
      <c r="AV23" s="253">
        <f t="shared" si="31"/>
        <v>-13.040312391228682</v>
      </c>
      <c r="AW23" s="108">
        <f t="shared" si="32"/>
        <v>14.328004698920987</v>
      </c>
      <c r="AY23" s="156"/>
      <c r="AZ23" s="156"/>
      <c r="BA23" s="156">
        <f t="shared" si="33"/>
        <v>1.2044060411713844</v>
      </c>
      <c r="BB23" s="156">
        <f t="shared" si="34"/>
        <v>1.1312411784263503</v>
      </c>
      <c r="BC23" s="144">
        <f t="shared" si="35"/>
        <v>1.2044060411713844</v>
      </c>
      <c r="BD23" s="144">
        <f t="shared" si="36"/>
        <v>1.1312411784263503</v>
      </c>
    </row>
    <row r="24" spans="1:56" x14ac:dyDescent="0.2">
      <c r="A24" s="2">
        <v>9.5</v>
      </c>
      <c r="B24" s="221">
        <v>8.5</v>
      </c>
      <c r="C24" s="32">
        <f t="shared" si="9"/>
        <v>0.10625</v>
      </c>
      <c r="D24" s="253">
        <f t="shared" si="10"/>
        <v>-0.95890625000000007</v>
      </c>
      <c r="E24" s="99">
        <f t="shared" si="11"/>
        <v>0.76712500000000006</v>
      </c>
      <c r="F24" s="253">
        <f t="shared" si="12"/>
        <v>-0.4512500000000001</v>
      </c>
      <c r="G24" s="108">
        <f t="shared" si="13"/>
        <v>0.36099999999999999</v>
      </c>
      <c r="H24" s="294">
        <v>-5.46</v>
      </c>
      <c r="I24" s="99">
        <v>6.59</v>
      </c>
      <c r="J24" s="253">
        <f t="shared" si="14"/>
        <v>-11.4305078125</v>
      </c>
      <c r="K24" s="108">
        <f t="shared" si="14"/>
        <v>13.03290625</v>
      </c>
      <c r="L24" s="236">
        <v>5</v>
      </c>
      <c r="M24" s="236">
        <v>6.5</v>
      </c>
      <c r="N24" s="297">
        <v>0.31</v>
      </c>
      <c r="O24" s="236">
        <v>0.625</v>
      </c>
      <c r="P24" s="43">
        <f t="shared" si="15"/>
        <v>0.5723076923076923</v>
      </c>
      <c r="Q24" s="195">
        <f t="shared" si="16"/>
        <v>5.6875</v>
      </c>
      <c r="R24" s="102">
        <f t="shared" si="17"/>
        <v>6.1875</v>
      </c>
      <c r="S24" s="287">
        <f t="shared" si="18"/>
        <v>8.3854606931530011E-3</v>
      </c>
      <c r="T24" s="115">
        <f t="shared" si="19"/>
        <v>7.7078477078477078E-3</v>
      </c>
      <c r="U24" s="125"/>
      <c r="V24" s="253">
        <f t="shared" si="20"/>
        <v>13.684158545074835</v>
      </c>
      <c r="W24" s="108">
        <f t="shared" si="21"/>
        <v>14.971850852767142</v>
      </c>
      <c r="X24" s="253">
        <f t="shared" si="22"/>
        <v>13.563740863209189</v>
      </c>
      <c r="Y24" s="99">
        <f t="shared" si="23"/>
        <v>14.851433170901496</v>
      </c>
      <c r="Z24" s="253">
        <f t="shared" si="24"/>
        <v>13.780492690567351</v>
      </c>
      <c r="AA24" s="108">
        <f t="shared" si="25"/>
        <v>15.06818499825966</v>
      </c>
      <c r="AB24" s="3">
        <f t="shared" si="0"/>
        <v>9.5</v>
      </c>
      <c r="AC24" s="55">
        <f t="shared" si="1"/>
        <v>8.5</v>
      </c>
      <c r="AD24" s="253">
        <f t="shared" si="2"/>
        <v>-11.4305078125</v>
      </c>
      <c r="AE24" s="108">
        <f t="shared" si="3"/>
        <v>13.03290625</v>
      </c>
      <c r="AF24" s="201">
        <v>67</v>
      </c>
      <c r="AG24" s="43">
        <f t="shared" si="4"/>
        <v>0.38344615384615383</v>
      </c>
      <c r="AH24" s="24">
        <v>5</v>
      </c>
      <c r="AI24" s="201">
        <v>8</v>
      </c>
      <c r="AJ24" s="218" t="str">
        <f t="shared" si="37"/>
        <v>#5 @ 8</v>
      </c>
      <c r="AK24" s="43">
        <f t="shared" si="39"/>
        <v>0.46499999999999997</v>
      </c>
      <c r="AL24" s="43">
        <f t="shared" si="27"/>
        <v>0.8125</v>
      </c>
      <c r="AM24" s="43">
        <f t="shared" si="38"/>
        <v>9.1176470588235289E-3</v>
      </c>
      <c r="AN24" s="272" t="str">
        <f t="shared" si="28"/>
        <v>#5 @ 6.5</v>
      </c>
      <c r="AP24" s="2">
        <f t="shared" si="5"/>
        <v>9.5</v>
      </c>
      <c r="AQ24" s="55">
        <f t="shared" si="6"/>
        <v>8.5</v>
      </c>
      <c r="AR24" s="169" t="str">
        <f t="shared" si="29"/>
        <v>#5 @ 6.5</v>
      </c>
      <c r="AS24" s="303" t="str">
        <f t="shared" si="30"/>
        <v>#5 @ 8</v>
      </c>
      <c r="AT24" s="253">
        <f t="shared" si="7"/>
        <v>-11.4305078125</v>
      </c>
      <c r="AU24" s="99">
        <f t="shared" si="8"/>
        <v>13.03290625</v>
      </c>
      <c r="AV24" s="253">
        <f t="shared" si="31"/>
        <v>-13.684158545074835</v>
      </c>
      <c r="AW24" s="108">
        <f t="shared" si="32"/>
        <v>14.971850852767142</v>
      </c>
      <c r="AY24" s="156"/>
      <c r="AZ24" s="156"/>
      <c r="BA24" s="156">
        <f t="shared" si="33"/>
        <v>1.197161033397862</v>
      </c>
      <c r="BB24" s="156">
        <f t="shared" si="34"/>
        <v>1.1487730031639829</v>
      </c>
      <c r="BC24" s="144">
        <f t="shared" si="35"/>
        <v>1.197161033397862</v>
      </c>
      <c r="BD24" s="144">
        <f t="shared" si="36"/>
        <v>1.1487730031639829</v>
      </c>
    </row>
    <row r="25" spans="1:56" x14ac:dyDescent="0.2">
      <c r="A25" s="2">
        <v>9.75</v>
      </c>
      <c r="B25" s="222">
        <v>8.5</v>
      </c>
      <c r="C25" s="32">
        <f t="shared" si="9"/>
        <v>0.10625</v>
      </c>
      <c r="D25" s="253">
        <f t="shared" si="10"/>
        <v>-1.0100390625</v>
      </c>
      <c r="E25" s="99">
        <f t="shared" si="11"/>
        <v>0.80803125000000009</v>
      </c>
      <c r="F25" s="253">
        <f t="shared" si="12"/>
        <v>-0.47531250000000008</v>
      </c>
      <c r="G25" s="108">
        <f t="shared" si="13"/>
        <v>0.38025000000000003</v>
      </c>
      <c r="H25" s="294">
        <v>-5.8</v>
      </c>
      <c r="I25" s="99">
        <v>6.74</v>
      </c>
      <c r="J25" s="253">
        <f t="shared" si="14"/>
        <v>-12.125517578125001</v>
      </c>
      <c r="K25" s="108">
        <f t="shared" si="14"/>
        <v>13.375414062500001</v>
      </c>
      <c r="L25" s="238">
        <v>5</v>
      </c>
      <c r="M25" s="238">
        <v>6.5</v>
      </c>
      <c r="N25" s="298">
        <v>0.31</v>
      </c>
      <c r="O25" s="238">
        <v>0.625</v>
      </c>
      <c r="P25" s="44">
        <f t="shared" si="15"/>
        <v>0.5723076923076923</v>
      </c>
      <c r="Q25" s="257">
        <f t="shared" si="16"/>
        <v>5.6875</v>
      </c>
      <c r="R25" s="104">
        <f t="shared" si="17"/>
        <v>6.1875</v>
      </c>
      <c r="S25" s="287">
        <f t="shared" si="18"/>
        <v>8.3854606931530011E-3</v>
      </c>
      <c r="T25" s="115">
        <f t="shared" si="19"/>
        <v>7.7078477078477078E-3</v>
      </c>
      <c r="U25" s="125"/>
      <c r="V25" s="61">
        <f t="shared" si="20"/>
        <v>13.684158545074835</v>
      </c>
      <c r="W25" s="110">
        <f t="shared" si="21"/>
        <v>14.971850852767142</v>
      </c>
      <c r="X25" s="61">
        <f t="shared" si="22"/>
        <v>13.563740863209189</v>
      </c>
      <c r="Y25" s="101">
        <f t="shared" si="23"/>
        <v>14.851433170901496</v>
      </c>
      <c r="Z25" s="61">
        <f t="shared" si="24"/>
        <v>13.780492690567351</v>
      </c>
      <c r="AA25" s="110">
        <f t="shared" si="25"/>
        <v>15.06818499825966</v>
      </c>
      <c r="AB25" s="3">
        <f t="shared" si="0"/>
        <v>9.75</v>
      </c>
      <c r="AC25" s="55">
        <f t="shared" si="1"/>
        <v>8.5</v>
      </c>
      <c r="AD25" s="253">
        <f t="shared" si="2"/>
        <v>-12.125517578125001</v>
      </c>
      <c r="AE25" s="108">
        <f t="shared" si="3"/>
        <v>13.375414062500001</v>
      </c>
      <c r="AF25" s="201">
        <v>67</v>
      </c>
      <c r="AG25" s="43">
        <f t="shared" si="4"/>
        <v>0.38344615384615383</v>
      </c>
      <c r="AH25" s="245">
        <v>5</v>
      </c>
      <c r="AI25" s="245">
        <v>8</v>
      </c>
      <c r="AJ25" s="219" t="str">
        <f t="shared" si="37"/>
        <v>#5 @ 8</v>
      </c>
      <c r="AK25" s="44">
        <f t="shared" si="39"/>
        <v>0.46499999999999997</v>
      </c>
      <c r="AL25" s="44">
        <f t="shared" si="27"/>
        <v>0.8125</v>
      </c>
      <c r="AM25" s="43">
        <f t="shared" si="38"/>
        <v>9.1176470588235289E-3</v>
      </c>
      <c r="AN25" s="219" t="str">
        <f t="shared" si="28"/>
        <v>#5 @ 6.5</v>
      </c>
      <c r="AP25" s="2">
        <f t="shared" si="5"/>
        <v>9.75</v>
      </c>
      <c r="AQ25" s="55">
        <f t="shared" si="6"/>
        <v>8.5</v>
      </c>
      <c r="AR25" s="175" t="str">
        <f t="shared" si="29"/>
        <v>#5 @ 6.5</v>
      </c>
      <c r="AS25" s="303" t="str">
        <f t="shared" si="30"/>
        <v>#5 @ 8</v>
      </c>
      <c r="AT25" s="253">
        <f t="shared" si="7"/>
        <v>-12.125517578125001</v>
      </c>
      <c r="AU25" s="99">
        <f t="shared" si="8"/>
        <v>13.375414062500001</v>
      </c>
      <c r="AV25" s="61">
        <f t="shared" si="31"/>
        <v>-13.684158545074835</v>
      </c>
      <c r="AW25" s="110">
        <f t="shared" si="32"/>
        <v>14.971850852767142</v>
      </c>
      <c r="AY25" s="156"/>
      <c r="AZ25" s="156"/>
      <c r="BA25" s="156">
        <f t="shared" si="33"/>
        <v>1.1285422215511605</v>
      </c>
      <c r="BB25" s="156">
        <f t="shared" si="34"/>
        <v>1.1193560650016057</v>
      </c>
      <c r="BC25" s="144">
        <f t="shared" si="35"/>
        <v>1.1285422215511605</v>
      </c>
      <c r="BD25" s="144">
        <f t="shared" si="36"/>
        <v>1.1193560650016057</v>
      </c>
    </row>
    <row r="26" spans="1:56" x14ac:dyDescent="0.2">
      <c r="A26" s="17">
        <v>10</v>
      </c>
      <c r="B26" s="221">
        <v>8.75</v>
      </c>
      <c r="C26" s="42">
        <f t="shared" si="9"/>
        <v>0.10937499999999999</v>
      </c>
      <c r="D26" s="255">
        <f t="shared" si="10"/>
        <v>-1.09375</v>
      </c>
      <c r="E26" s="100">
        <f t="shared" si="11"/>
        <v>0.87499999999999989</v>
      </c>
      <c r="F26" s="255">
        <f t="shared" si="12"/>
        <v>-0.50000000000000011</v>
      </c>
      <c r="G26" s="109">
        <f t="shared" si="13"/>
        <v>0.4</v>
      </c>
      <c r="H26" s="295">
        <v>-6.13</v>
      </c>
      <c r="I26" s="100">
        <v>6.89</v>
      </c>
      <c r="J26" s="255">
        <f t="shared" si="14"/>
        <v>-12.844687499999999</v>
      </c>
      <c r="K26" s="109">
        <f t="shared" si="14"/>
        <v>13.751249999999999</v>
      </c>
      <c r="L26" s="236">
        <v>5</v>
      </c>
      <c r="M26" s="236">
        <v>6.5</v>
      </c>
      <c r="N26" s="297">
        <v>0.31</v>
      </c>
      <c r="O26" s="236">
        <v>0.625</v>
      </c>
      <c r="P26" s="43">
        <f t="shared" si="15"/>
        <v>0.5723076923076923</v>
      </c>
      <c r="Q26" s="195">
        <f t="shared" si="16"/>
        <v>5.9375</v>
      </c>
      <c r="R26" s="102">
        <f t="shared" si="17"/>
        <v>6.4375</v>
      </c>
      <c r="S26" s="288">
        <f t="shared" si="18"/>
        <v>8.0323886639676115E-3</v>
      </c>
      <c r="T26" s="116">
        <f t="shared" si="19"/>
        <v>7.4085138162808062E-3</v>
      </c>
      <c r="U26" s="125"/>
      <c r="V26" s="253">
        <f t="shared" si="20"/>
        <v>14.328004698920987</v>
      </c>
      <c r="W26" s="108">
        <f t="shared" si="21"/>
        <v>15.615697006613296</v>
      </c>
      <c r="X26" s="253">
        <f t="shared" si="22"/>
        <v>14.207587017055344</v>
      </c>
      <c r="Y26" s="99">
        <f t="shared" si="23"/>
        <v>15.495279324747651</v>
      </c>
      <c r="Z26" s="253">
        <f t="shared" si="24"/>
        <v>14.424338844413507</v>
      </c>
      <c r="AA26" s="108">
        <f t="shared" si="25"/>
        <v>15.712031152105816</v>
      </c>
      <c r="AB26" s="18">
        <f t="shared" si="0"/>
        <v>10</v>
      </c>
      <c r="AC26" s="56">
        <f t="shared" si="1"/>
        <v>8.75</v>
      </c>
      <c r="AD26" s="255">
        <f t="shared" si="2"/>
        <v>-12.844687499999999</v>
      </c>
      <c r="AE26" s="109">
        <f t="shared" si="3"/>
        <v>13.751249999999999</v>
      </c>
      <c r="AF26" s="244">
        <v>67</v>
      </c>
      <c r="AG26" s="42">
        <f t="shared" si="4"/>
        <v>0.38344615384615383</v>
      </c>
      <c r="AH26" s="24">
        <v>5</v>
      </c>
      <c r="AI26" s="201">
        <v>8</v>
      </c>
      <c r="AJ26" s="218" t="str">
        <f t="shared" si="37"/>
        <v>#5 @ 8</v>
      </c>
      <c r="AK26" s="43">
        <f t="shared" si="39"/>
        <v>0.46499999999999997</v>
      </c>
      <c r="AL26" s="43">
        <f t="shared" si="27"/>
        <v>0.8125</v>
      </c>
      <c r="AM26" s="42">
        <f t="shared" si="38"/>
        <v>8.8571428571428568E-3</v>
      </c>
      <c r="AN26" s="272" t="str">
        <f t="shared" si="28"/>
        <v>#5 @ 6.5</v>
      </c>
      <c r="AP26" s="17">
        <f t="shared" si="5"/>
        <v>10</v>
      </c>
      <c r="AQ26" s="56">
        <f t="shared" si="6"/>
        <v>8.75</v>
      </c>
      <c r="AR26" s="169" t="str">
        <f t="shared" si="29"/>
        <v>#5 @ 6.5</v>
      </c>
      <c r="AS26" s="304" t="str">
        <f t="shared" si="30"/>
        <v>#5 @ 8</v>
      </c>
      <c r="AT26" s="255">
        <f t="shared" si="7"/>
        <v>-12.844687499999999</v>
      </c>
      <c r="AU26" s="100">
        <f t="shared" si="8"/>
        <v>13.751249999999999</v>
      </c>
      <c r="AV26" s="253">
        <f t="shared" si="31"/>
        <v>-14.328004698920987</v>
      </c>
      <c r="AW26" s="108">
        <f t="shared" si="32"/>
        <v>15.615697006613296</v>
      </c>
      <c r="AY26" s="156"/>
      <c r="AZ26" s="156"/>
      <c r="BA26" s="156">
        <f t="shared" si="33"/>
        <v>1.1154809876784459</v>
      </c>
      <c r="BB26" s="156">
        <f t="shared" si="34"/>
        <v>1.1355838201336821</v>
      </c>
      <c r="BC26" s="144">
        <f t="shared" si="35"/>
        <v>1.1154809876784459</v>
      </c>
      <c r="BD26" s="144">
        <f t="shared" si="36"/>
        <v>1.1355838201336821</v>
      </c>
    </row>
    <row r="27" spans="1:56" x14ac:dyDescent="0.2">
      <c r="A27" s="2">
        <v>10.25</v>
      </c>
      <c r="B27" s="221">
        <v>8.75</v>
      </c>
      <c r="C27" s="43">
        <f t="shared" si="9"/>
        <v>0.10937499999999999</v>
      </c>
      <c r="D27" s="253">
        <f t="shared" si="10"/>
        <v>-1.1491210937499998</v>
      </c>
      <c r="E27" s="99">
        <f t="shared" si="11"/>
        <v>0.9192968749999999</v>
      </c>
      <c r="F27" s="253">
        <f t="shared" si="12"/>
        <v>-0.52531250000000007</v>
      </c>
      <c r="G27" s="108">
        <f t="shared" si="13"/>
        <v>0.42025000000000001</v>
      </c>
      <c r="H27" s="294">
        <v>-6.45</v>
      </c>
      <c r="I27" s="99">
        <v>7.03</v>
      </c>
      <c r="J27" s="253">
        <f t="shared" si="14"/>
        <v>-13.511870117187499</v>
      </c>
      <c r="K27" s="108">
        <f t="shared" si="14"/>
        <v>14.08199609375</v>
      </c>
      <c r="L27" s="236">
        <v>5</v>
      </c>
      <c r="M27" s="236">
        <v>6</v>
      </c>
      <c r="N27" s="297">
        <v>0.31</v>
      </c>
      <c r="O27" s="236">
        <v>0.625</v>
      </c>
      <c r="P27" s="43">
        <f t="shared" si="15"/>
        <v>0.62</v>
      </c>
      <c r="Q27" s="195">
        <f t="shared" si="16"/>
        <v>5.9375</v>
      </c>
      <c r="R27" s="102">
        <f t="shared" si="17"/>
        <v>6.4375</v>
      </c>
      <c r="S27" s="287">
        <f t="shared" si="18"/>
        <v>8.7017543859649119E-3</v>
      </c>
      <c r="T27" s="115">
        <f t="shared" si="19"/>
        <v>8.0258899676375409E-3</v>
      </c>
      <c r="U27" s="125"/>
      <c r="V27" s="253">
        <f t="shared" si="20"/>
        <v>15.435036764705883</v>
      </c>
      <c r="W27" s="108">
        <f t="shared" si="21"/>
        <v>16.830036764705884</v>
      </c>
      <c r="X27" s="253">
        <f t="shared" si="22"/>
        <v>15.293713235294119</v>
      </c>
      <c r="Y27" s="99">
        <f t="shared" si="23"/>
        <v>16.68871323529412</v>
      </c>
      <c r="Z27" s="253">
        <f t="shared" si="24"/>
        <v>15.548095588235297</v>
      </c>
      <c r="AA27" s="108">
        <f t="shared" si="25"/>
        <v>16.943095588235295</v>
      </c>
      <c r="AB27" s="3">
        <f t="shared" si="0"/>
        <v>10.25</v>
      </c>
      <c r="AC27" s="55">
        <f t="shared" si="1"/>
        <v>8.75</v>
      </c>
      <c r="AD27" s="253">
        <f t="shared" si="2"/>
        <v>-13.511870117187499</v>
      </c>
      <c r="AE27" s="108">
        <f t="shared" si="3"/>
        <v>14.08199609375</v>
      </c>
      <c r="AF27" s="201">
        <v>67</v>
      </c>
      <c r="AG27" s="43">
        <f t="shared" si="4"/>
        <v>0.41539999999999999</v>
      </c>
      <c r="AH27" s="24">
        <v>5</v>
      </c>
      <c r="AI27" s="201">
        <v>8</v>
      </c>
      <c r="AJ27" s="218" t="str">
        <f t="shared" si="37"/>
        <v>#5 @ 8</v>
      </c>
      <c r="AK27" s="43">
        <f t="shared" si="39"/>
        <v>0.46499999999999997</v>
      </c>
      <c r="AL27" s="43">
        <f t="shared" si="27"/>
        <v>0.75</v>
      </c>
      <c r="AM27" s="43">
        <f t="shared" si="38"/>
        <v>8.8571428571428568E-3</v>
      </c>
      <c r="AN27" s="272" t="str">
        <f t="shared" si="28"/>
        <v>#5 @ 6</v>
      </c>
      <c r="AP27" s="2">
        <f t="shared" si="5"/>
        <v>10.25</v>
      </c>
      <c r="AQ27" s="55">
        <f t="shared" si="6"/>
        <v>8.75</v>
      </c>
      <c r="AR27" s="169" t="str">
        <f t="shared" si="29"/>
        <v>#5 @ 6</v>
      </c>
      <c r="AS27" s="303" t="str">
        <f t="shared" si="30"/>
        <v>#5 @ 8</v>
      </c>
      <c r="AT27" s="253">
        <f t="shared" si="7"/>
        <v>-13.511870117187499</v>
      </c>
      <c r="AU27" s="99">
        <f t="shared" si="8"/>
        <v>14.08199609375</v>
      </c>
      <c r="AV27" s="253">
        <f t="shared" si="31"/>
        <v>-15.435036764705883</v>
      </c>
      <c r="AW27" s="108">
        <f t="shared" si="32"/>
        <v>16.830036764705884</v>
      </c>
      <c r="AY27" s="156"/>
      <c r="AZ27" s="156"/>
      <c r="BA27" s="156">
        <f t="shared" si="33"/>
        <v>1.1423316410562634</v>
      </c>
      <c r="BB27" s="156">
        <f t="shared" si="34"/>
        <v>1.1951456776909308</v>
      </c>
      <c r="BC27" s="144">
        <f t="shared" si="35"/>
        <v>1.1423316410562634</v>
      </c>
      <c r="BD27" s="144">
        <f t="shared" si="36"/>
        <v>1.1951456776909308</v>
      </c>
    </row>
    <row r="28" spans="1:56" x14ac:dyDescent="0.2">
      <c r="A28" s="2">
        <v>10.5</v>
      </c>
      <c r="B28" s="221">
        <v>8.75</v>
      </c>
      <c r="C28" s="43">
        <f t="shared" si="9"/>
        <v>0.10937499999999999</v>
      </c>
      <c r="D28" s="253">
        <f t="shared" si="10"/>
        <v>-1.205859375</v>
      </c>
      <c r="E28" s="99">
        <f t="shared" si="11"/>
        <v>0.96468749999999992</v>
      </c>
      <c r="F28" s="253">
        <f t="shared" si="12"/>
        <v>-0.55125000000000013</v>
      </c>
      <c r="G28" s="108">
        <f t="shared" si="13"/>
        <v>0.441</v>
      </c>
      <c r="H28" s="294">
        <v>-6.77</v>
      </c>
      <c r="I28" s="99">
        <v>7.17</v>
      </c>
      <c r="J28" s="253">
        <f t="shared" si="14"/>
        <v>-14.181699218750001</v>
      </c>
      <c r="K28" s="108">
        <f t="shared" si="14"/>
        <v>14.414859374999999</v>
      </c>
      <c r="L28" s="236">
        <v>5</v>
      </c>
      <c r="M28" s="236">
        <v>6</v>
      </c>
      <c r="N28" s="297">
        <v>0.31</v>
      </c>
      <c r="O28" s="236">
        <v>0.625</v>
      </c>
      <c r="P28" s="43">
        <f t="shared" si="15"/>
        <v>0.62</v>
      </c>
      <c r="Q28" s="195">
        <f t="shared" si="16"/>
        <v>5.9375</v>
      </c>
      <c r="R28" s="102">
        <f t="shared" si="17"/>
        <v>6.4375</v>
      </c>
      <c r="S28" s="287">
        <f t="shared" si="18"/>
        <v>8.7017543859649119E-3</v>
      </c>
      <c r="T28" s="115">
        <f t="shared" si="19"/>
        <v>8.0258899676375409E-3</v>
      </c>
      <c r="U28" s="125"/>
      <c r="V28" s="253">
        <f t="shared" si="20"/>
        <v>15.435036764705883</v>
      </c>
      <c r="W28" s="108">
        <f t="shared" si="21"/>
        <v>16.830036764705884</v>
      </c>
      <c r="X28" s="253">
        <f t="shared" si="22"/>
        <v>15.293713235294119</v>
      </c>
      <c r="Y28" s="99">
        <f t="shared" si="23"/>
        <v>16.68871323529412</v>
      </c>
      <c r="Z28" s="253">
        <f t="shared" si="24"/>
        <v>15.548095588235297</v>
      </c>
      <c r="AA28" s="108">
        <f t="shared" si="25"/>
        <v>16.943095588235295</v>
      </c>
      <c r="AB28" s="3">
        <f t="shared" si="0"/>
        <v>10.5</v>
      </c>
      <c r="AC28" s="55">
        <f t="shared" si="1"/>
        <v>8.75</v>
      </c>
      <c r="AD28" s="253">
        <f t="shared" si="2"/>
        <v>-14.181699218750001</v>
      </c>
      <c r="AE28" s="108">
        <f t="shared" si="3"/>
        <v>14.414859374999999</v>
      </c>
      <c r="AF28" s="201">
        <v>67</v>
      </c>
      <c r="AG28" s="43">
        <f t="shared" si="4"/>
        <v>0.41539999999999999</v>
      </c>
      <c r="AH28" s="24">
        <v>5</v>
      </c>
      <c r="AI28" s="201">
        <v>8</v>
      </c>
      <c r="AJ28" s="218" t="str">
        <f t="shared" si="37"/>
        <v>#5 @ 8</v>
      </c>
      <c r="AK28" s="43">
        <f t="shared" si="39"/>
        <v>0.46499999999999997</v>
      </c>
      <c r="AL28" s="43">
        <f t="shared" si="27"/>
        <v>0.75</v>
      </c>
      <c r="AM28" s="43">
        <f t="shared" si="38"/>
        <v>8.8571428571428568E-3</v>
      </c>
      <c r="AN28" s="272" t="str">
        <f t="shared" si="28"/>
        <v>#5 @ 6</v>
      </c>
      <c r="AP28" s="2">
        <f t="shared" si="5"/>
        <v>10.5</v>
      </c>
      <c r="AQ28" s="55">
        <f t="shared" si="6"/>
        <v>8.75</v>
      </c>
      <c r="AR28" s="169" t="str">
        <f t="shared" si="29"/>
        <v>#5 @ 6</v>
      </c>
      <c r="AS28" s="303" t="str">
        <f t="shared" si="30"/>
        <v>#5 @ 8</v>
      </c>
      <c r="AT28" s="253">
        <f t="shared" si="7"/>
        <v>-14.181699218750001</v>
      </c>
      <c r="AU28" s="99">
        <f t="shared" si="8"/>
        <v>14.414859374999999</v>
      </c>
      <c r="AV28" s="253">
        <f t="shared" si="31"/>
        <v>-15.435036764705883</v>
      </c>
      <c r="AW28" s="108">
        <f t="shared" si="32"/>
        <v>16.830036764705884</v>
      </c>
      <c r="AY28" s="156"/>
      <c r="AZ28" s="156"/>
      <c r="BA28" s="156">
        <f t="shared" si="33"/>
        <v>1.0883771067643861</v>
      </c>
      <c r="BB28" s="156">
        <f t="shared" si="34"/>
        <v>1.1675477593555008</v>
      </c>
      <c r="BC28" s="144">
        <f t="shared" si="35"/>
        <v>1.0883771067643861</v>
      </c>
      <c r="BD28" s="144">
        <f t="shared" si="36"/>
        <v>1.1675477593555008</v>
      </c>
    </row>
    <row r="29" spans="1:56" x14ac:dyDescent="0.2">
      <c r="A29" s="8">
        <v>10.75</v>
      </c>
      <c r="B29" s="222">
        <v>9</v>
      </c>
      <c r="C29" s="44">
        <f t="shared" si="9"/>
        <v>0.11249999999999999</v>
      </c>
      <c r="D29" s="61">
        <f t="shared" si="10"/>
        <v>-1.300078125</v>
      </c>
      <c r="E29" s="101">
        <f t="shared" si="11"/>
        <v>1.0400624999999999</v>
      </c>
      <c r="F29" s="61">
        <f t="shared" si="12"/>
        <v>-0.57781250000000006</v>
      </c>
      <c r="G29" s="110">
        <f t="shared" si="13"/>
        <v>0.46224999999999999</v>
      </c>
      <c r="H29" s="296">
        <v>-7.08</v>
      </c>
      <c r="I29" s="101">
        <v>7.32</v>
      </c>
      <c r="J29" s="61">
        <f t="shared" si="14"/>
        <v>-14.88181640625</v>
      </c>
      <c r="K29" s="110">
        <f t="shared" si="14"/>
        <v>14.803453125000001</v>
      </c>
      <c r="L29" s="238">
        <v>5</v>
      </c>
      <c r="M29" s="238">
        <v>6</v>
      </c>
      <c r="N29" s="298">
        <v>0.31</v>
      </c>
      <c r="O29" s="238">
        <v>0.625</v>
      </c>
      <c r="P29" s="44">
        <f t="shared" si="15"/>
        <v>0.62</v>
      </c>
      <c r="Q29" s="257">
        <f t="shared" si="16"/>
        <v>6.1875</v>
      </c>
      <c r="R29" s="104">
        <f t="shared" si="17"/>
        <v>6.6875</v>
      </c>
      <c r="S29" s="289">
        <f t="shared" si="18"/>
        <v>8.3501683501683507E-3</v>
      </c>
      <c r="T29" s="117">
        <f t="shared" si="19"/>
        <v>7.7258566978193142E-3</v>
      </c>
      <c r="U29" s="125"/>
      <c r="V29" s="61">
        <f t="shared" si="20"/>
        <v>16.132536764705883</v>
      </c>
      <c r="W29" s="110">
        <f t="shared" si="21"/>
        <v>17.527536764705882</v>
      </c>
      <c r="X29" s="61">
        <f t="shared" si="22"/>
        <v>15.991213235294119</v>
      </c>
      <c r="Y29" s="101">
        <f t="shared" si="23"/>
        <v>17.386213235294118</v>
      </c>
      <c r="Z29" s="61">
        <f t="shared" si="24"/>
        <v>16.245595588235293</v>
      </c>
      <c r="AA29" s="110">
        <f t="shared" si="25"/>
        <v>17.640595588235296</v>
      </c>
      <c r="AB29" s="9">
        <f t="shared" si="0"/>
        <v>10.75</v>
      </c>
      <c r="AC29" s="60">
        <f t="shared" si="1"/>
        <v>9</v>
      </c>
      <c r="AD29" s="61">
        <f t="shared" si="2"/>
        <v>-14.88181640625</v>
      </c>
      <c r="AE29" s="110">
        <f t="shared" si="3"/>
        <v>14.803453125000001</v>
      </c>
      <c r="AF29" s="245">
        <v>67</v>
      </c>
      <c r="AG29" s="44">
        <f t="shared" si="4"/>
        <v>0.41539999999999999</v>
      </c>
      <c r="AH29" s="245">
        <v>5</v>
      </c>
      <c r="AI29" s="245">
        <v>8</v>
      </c>
      <c r="AJ29" s="219" t="str">
        <f t="shared" si="37"/>
        <v>#5 @ 8</v>
      </c>
      <c r="AK29" s="44">
        <f t="shared" si="39"/>
        <v>0.46499999999999997</v>
      </c>
      <c r="AL29" s="44">
        <f t="shared" si="27"/>
        <v>0.75</v>
      </c>
      <c r="AM29" s="44">
        <f t="shared" si="38"/>
        <v>8.611111111111111E-3</v>
      </c>
      <c r="AN29" s="219" t="str">
        <f t="shared" si="28"/>
        <v>#5 @ 6</v>
      </c>
      <c r="AP29" s="8">
        <f t="shared" si="5"/>
        <v>10.75</v>
      </c>
      <c r="AQ29" s="60">
        <f t="shared" si="6"/>
        <v>9</v>
      </c>
      <c r="AR29" s="175" t="str">
        <f t="shared" si="29"/>
        <v>#5 @ 6</v>
      </c>
      <c r="AS29" s="305" t="str">
        <f t="shared" si="30"/>
        <v>#5 @ 8</v>
      </c>
      <c r="AT29" s="296">
        <f t="shared" si="7"/>
        <v>-14.88181640625</v>
      </c>
      <c r="AU29" s="101">
        <f t="shared" si="8"/>
        <v>14.803453125000001</v>
      </c>
      <c r="AV29" s="61">
        <f t="shared" si="31"/>
        <v>-16.132536764705883</v>
      </c>
      <c r="AW29" s="110">
        <f t="shared" si="32"/>
        <v>17.527536764705882</v>
      </c>
      <c r="AY29" s="203"/>
      <c r="AZ29" s="156"/>
      <c r="BA29" s="156">
        <f t="shared" si="33"/>
        <v>1.0840435283108727</v>
      </c>
      <c r="BB29" s="156">
        <f t="shared" si="34"/>
        <v>1.1840167707293552</v>
      </c>
      <c r="BC29" s="144">
        <f t="shared" si="35"/>
        <v>1.0840435283108727</v>
      </c>
      <c r="BD29" s="144">
        <f t="shared" si="36"/>
        <v>1.1840167707293552</v>
      </c>
    </row>
    <row r="30" spans="1:56" x14ac:dyDescent="0.2">
      <c r="A30" s="2">
        <v>11</v>
      </c>
      <c r="B30" s="221">
        <v>9</v>
      </c>
      <c r="C30" s="32">
        <f t="shared" si="9"/>
        <v>0.11249999999999999</v>
      </c>
      <c r="D30" s="253">
        <f t="shared" si="10"/>
        <v>-1.3612499999999998</v>
      </c>
      <c r="E30" s="99">
        <f t="shared" si="11"/>
        <v>1.089</v>
      </c>
      <c r="F30" s="253">
        <f t="shared" si="12"/>
        <v>-0.60500000000000009</v>
      </c>
      <c r="G30" s="108">
        <f t="shared" si="13"/>
        <v>0.48399999999999999</v>
      </c>
      <c r="H30" s="294">
        <v>-7.38</v>
      </c>
      <c r="I30" s="99">
        <v>7.46</v>
      </c>
      <c r="J30" s="253">
        <f t="shared" si="14"/>
        <v>-15.524062499999999</v>
      </c>
      <c r="K30" s="108">
        <f t="shared" si="14"/>
        <v>15.142250000000001</v>
      </c>
      <c r="L30" s="236">
        <v>5</v>
      </c>
      <c r="M30" s="236">
        <v>6</v>
      </c>
      <c r="N30" s="297">
        <v>0.31</v>
      </c>
      <c r="O30" s="236">
        <v>0.625</v>
      </c>
      <c r="P30" s="43">
        <f t="shared" si="15"/>
        <v>0.62</v>
      </c>
      <c r="Q30" s="195">
        <f t="shared" si="16"/>
        <v>6.1875</v>
      </c>
      <c r="R30" s="102">
        <f t="shared" si="17"/>
        <v>6.6875</v>
      </c>
      <c r="S30" s="287">
        <f t="shared" si="18"/>
        <v>8.3501683501683507E-3</v>
      </c>
      <c r="T30" s="115">
        <f t="shared" si="19"/>
        <v>7.7258566978193142E-3</v>
      </c>
      <c r="U30" s="125"/>
      <c r="V30" s="253">
        <f t="shared" si="20"/>
        <v>16.132536764705883</v>
      </c>
      <c r="W30" s="108">
        <f t="shared" si="21"/>
        <v>17.527536764705882</v>
      </c>
      <c r="X30" s="253">
        <f t="shared" si="22"/>
        <v>15.991213235294119</v>
      </c>
      <c r="Y30" s="99">
        <f t="shared" si="23"/>
        <v>17.386213235294118</v>
      </c>
      <c r="Z30" s="253">
        <f t="shared" si="24"/>
        <v>16.245595588235293</v>
      </c>
      <c r="AA30" s="108">
        <f t="shared" si="25"/>
        <v>17.640595588235296</v>
      </c>
      <c r="AB30" s="3">
        <f t="shared" si="0"/>
        <v>11</v>
      </c>
      <c r="AC30" s="246">
        <f t="shared" si="1"/>
        <v>9</v>
      </c>
      <c r="AD30" s="253">
        <f t="shared" si="2"/>
        <v>-15.524062499999999</v>
      </c>
      <c r="AE30" s="108">
        <f t="shared" si="3"/>
        <v>15.142250000000001</v>
      </c>
      <c r="AF30" s="244">
        <v>67</v>
      </c>
      <c r="AG30" s="43">
        <f t="shared" si="4"/>
        <v>0.41539999999999999</v>
      </c>
      <c r="AH30" s="24">
        <v>5</v>
      </c>
      <c r="AI30" s="201">
        <v>8</v>
      </c>
      <c r="AJ30" s="218" t="str">
        <f t="shared" si="37"/>
        <v>#5 @ 8</v>
      </c>
      <c r="AK30" s="43">
        <f t="shared" si="39"/>
        <v>0.46499999999999997</v>
      </c>
      <c r="AL30" s="43">
        <f t="shared" si="27"/>
        <v>0.75</v>
      </c>
      <c r="AM30" s="43">
        <f t="shared" si="38"/>
        <v>8.611111111111111E-3</v>
      </c>
      <c r="AN30" s="272" t="str">
        <f t="shared" si="28"/>
        <v>#5 @ 6</v>
      </c>
      <c r="AP30" s="2">
        <f t="shared" si="5"/>
        <v>11</v>
      </c>
      <c r="AQ30" s="246">
        <f t="shared" si="6"/>
        <v>9</v>
      </c>
      <c r="AR30" s="169" t="str">
        <f t="shared" si="29"/>
        <v>#5 @ 6</v>
      </c>
      <c r="AS30" s="304" t="str">
        <f t="shared" si="30"/>
        <v>#5 @ 8</v>
      </c>
      <c r="AT30" s="255">
        <f t="shared" si="7"/>
        <v>-15.524062499999999</v>
      </c>
      <c r="AU30" s="100">
        <f t="shared" si="8"/>
        <v>15.142250000000001</v>
      </c>
      <c r="AV30" s="253">
        <f t="shared" si="31"/>
        <v>-16.132536764705883</v>
      </c>
      <c r="AW30" s="108">
        <f t="shared" si="32"/>
        <v>17.527536764705882</v>
      </c>
      <c r="AY30" s="156"/>
      <c r="AZ30" s="156"/>
      <c r="BA30" s="156">
        <f t="shared" si="33"/>
        <v>1.039195556234451</v>
      </c>
      <c r="BB30" s="156">
        <f t="shared" si="34"/>
        <v>1.1575252531628972</v>
      </c>
      <c r="BC30" s="144">
        <f t="shared" si="35"/>
        <v>1.039195556234451</v>
      </c>
      <c r="BD30" s="144">
        <f t="shared" si="36"/>
        <v>1.1575252531628972</v>
      </c>
    </row>
    <row r="31" spans="1:56" x14ac:dyDescent="0.2">
      <c r="A31" s="2">
        <v>11.25</v>
      </c>
      <c r="B31" s="221">
        <v>9</v>
      </c>
      <c r="C31" s="32">
        <f t="shared" si="9"/>
        <v>0.11249999999999999</v>
      </c>
      <c r="D31" s="253">
        <f t="shared" si="10"/>
        <v>-1.423828125</v>
      </c>
      <c r="E31" s="99">
        <f t="shared" si="11"/>
        <v>1.1390624999999999</v>
      </c>
      <c r="F31" s="253">
        <f t="shared" si="12"/>
        <v>-0.63281250000000011</v>
      </c>
      <c r="G31" s="108">
        <f t="shared" si="13"/>
        <v>0.50624999999999998</v>
      </c>
      <c r="H31" s="294">
        <v>-7.67</v>
      </c>
      <c r="I31" s="99">
        <v>7.6</v>
      </c>
      <c r="J31" s="253">
        <f t="shared" si="14"/>
        <v>-16.151503906249999</v>
      </c>
      <c r="K31" s="108">
        <f t="shared" si="14"/>
        <v>15.483203124999999</v>
      </c>
      <c r="L31" s="236">
        <v>5</v>
      </c>
      <c r="M31" s="236">
        <v>5.5</v>
      </c>
      <c r="N31" s="297">
        <v>0.31</v>
      </c>
      <c r="O31" s="236">
        <v>0.625</v>
      </c>
      <c r="P31" s="43">
        <f t="shared" si="15"/>
        <v>0.67636363636363628</v>
      </c>
      <c r="Q31" s="195">
        <f t="shared" si="16"/>
        <v>6.1875</v>
      </c>
      <c r="R31" s="102">
        <f t="shared" si="17"/>
        <v>6.6875</v>
      </c>
      <c r="S31" s="287">
        <f t="shared" si="18"/>
        <v>9.1092745638200173E-3</v>
      </c>
      <c r="T31" s="115">
        <f t="shared" si="19"/>
        <v>8.4282073067119788E-3</v>
      </c>
      <c r="U31" s="125"/>
      <c r="V31" s="253">
        <f t="shared" si="20"/>
        <v>17.487006562955759</v>
      </c>
      <c r="W31" s="108">
        <f t="shared" si="21"/>
        <v>19.008824744773943</v>
      </c>
      <c r="X31" s="253">
        <f t="shared" si="22"/>
        <v>17.318819883325229</v>
      </c>
      <c r="Y31" s="99">
        <f t="shared" si="23"/>
        <v>18.840638065143413</v>
      </c>
      <c r="Z31" s="253">
        <f t="shared" si="24"/>
        <v>17.621555906660188</v>
      </c>
      <c r="AA31" s="108">
        <f t="shared" si="25"/>
        <v>19.143374088478367</v>
      </c>
      <c r="AB31" s="3">
        <f t="shared" si="0"/>
        <v>11.25</v>
      </c>
      <c r="AC31" s="246">
        <f t="shared" si="1"/>
        <v>9</v>
      </c>
      <c r="AD31" s="253">
        <f t="shared" si="2"/>
        <v>-16.151503906249999</v>
      </c>
      <c r="AE31" s="108">
        <f t="shared" si="3"/>
        <v>15.483203124999999</v>
      </c>
      <c r="AF31" s="201">
        <v>67</v>
      </c>
      <c r="AG31" s="43">
        <f t="shared" si="4"/>
        <v>0.45316363636363632</v>
      </c>
      <c r="AH31" s="24">
        <v>5</v>
      </c>
      <c r="AI31" s="201">
        <v>8</v>
      </c>
      <c r="AJ31" s="218" t="str">
        <f t="shared" si="37"/>
        <v>#5 @ 8</v>
      </c>
      <c r="AK31" s="43">
        <f t="shared" si="39"/>
        <v>0.46499999999999997</v>
      </c>
      <c r="AL31" s="43">
        <f t="shared" si="27"/>
        <v>0.6875</v>
      </c>
      <c r="AM31" s="43">
        <f t="shared" si="38"/>
        <v>8.611111111111111E-3</v>
      </c>
      <c r="AN31" s="272" t="str">
        <f t="shared" si="28"/>
        <v>#5 @ 5.5</v>
      </c>
      <c r="AP31" s="2">
        <f t="shared" si="5"/>
        <v>11.25</v>
      </c>
      <c r="AQ31" s="246">
        <f t="shared" si="6"/>
        <v>9</v>
      </c>
      <c r="AR31" s="169" t="str">
        <f t="shared" si="29"/>
        <v>#5 @ 5.5</v>
      </c>
      <c r="AS31" s="303" t="str">
        <f t="shared" si="30"/>
        <v>#5 @ 8</v>
      </c>
      <c r="AT31" s="253">
        <f t="shared" si="7"/>
        <v>-16.151503906249999</v>
      </c>
      <c r="AU31" s="99">
        <f t="shared" si="8"/>
        <v>15.483203124999999</v>
      </c>
      <c r="AV31" s="253">
        <f t="shared" si="31"/>
        <v>-17.487006562955759</v>
      </c>
      <c r="AW31" s="108">
        <f t="shared" si="32"/>
        <v>19.008824744773943</v>
      </c>
      <c r="AY31" s="202"/>
      <c r="AZ31" s="156"/>
      <c r="BA31" s="179">
        <f t="shared" si="33"/>
        <v>1.0826859631435914</v>
      </c>
      <c r="BB31" s="156">
        <f t="shared" si="34"/>
        <v>1.2277062175901632</v>
      </c>
      <c r="BC31" s="144">
        <f t="shared" si="35"/>
        <v>1.0826859631435914</v>
      </c>
      <c r="BD31" s="144">
        <f t="shared" si="36"/>
        <v>1.2277062175901632</v>
      </c>
    </row>
    <row r="32" spans="1:56" x14ac:dyDescent="0.2">
      <c r="A32" s="2">
        <v>11.5</v>
      </c>
      <c r="B32" s="221">
        <v>9.25</v>
      </c>
      <c r="C32" s="32">
        <f t="shared" si="9"/>
        <v>0.11562500000000001</v>
      </c>
      <c r="D32" s="253">
        <f t="shared" si="10"/>
        <v>-1.5291406250000001</v>
      </c>
      <c r="E32" s="99">
        <f t="shared" si="11"/>
        <v>1.2233125000000002</v>
      </c>
      <c r="F32" s="253">
        <f t="shared" si="12"/>
        <v>-0.66125000000000012</v>
      </c>
      <c r="G32" s="108">
        <f t="shared" si="13"/>
        <v>0.52900000000000003</v>
      </c>
      <c r="H32" s="294">
        <v>-7.96</v>
      </c>
      <c r="I32" s="99">
        <v>7.74</v>
      </c>
      <c r="J32" s="253">
        <f t="shared" si="14"/>
        <v>-16.833300781249999</v>
      </c>
      <c r="K32" s="108">
        <f t="shared" si="14"/>
        <v>15.867640625</v>
      </c>
      <c r="L32" s="236">
        <v>5</v>
      </c>
      <c r="M32" s="236">
        <v>5.5</v>
      </c>
      <c r="N32" s="297">
        <v>0.31</v>
      </c>
      <c r="O32" s="236">
        <v>0.625</v>
      </c>
      <c r="P32" s="43">
        <f t="shared" si="15"/>
        <v>0.67636363636363628</v>
      </c>
      <c r="Q32" s="195">
        <f t="shared" si="16"/>
        <v>6.4375</v>
      </c>
      <c r="R32" s="102">
        <f t="shared" si="17"/>
        <v>6.9375</v>
      </c>
      <c r="S32" s="287">
        <f t="shared" si="18"/>
        <v>8.7555163283318613E-3</v>
      </c>
      <c r="T32" s="115">
        <f t="shared" si="19"/>
        <v>8.1244881244881238E-3</v>
      </c>
      <c r="U32" s="125"/>
      <c r="V32" s="253">
        <f t="shared" si="20"/>
        <v>18.247915653864851</v>
      </c>
      <c r="W32" s="108">
        <f t="shared" si="21"/>
        <v>19.769733835683031</v>
      </c>
      <c r="X32" s="253">
        <f t="shared" si="22"/>
        <v>18.079728974234325</v>
      </c>
      <c r="Y32" s="99">
        <f t="shared" si="23"/>
        <v>19.601547156052504</v>
      </c>
      <c r="Z32" s="253">
        <f t="shared" si="24"/>
        <v>18.382464997569276</v>
      </c>
      <c r="AA32" s="108">
        <f t="shared" si="25"/>
        <v>19.904283179387459</v>
      </c>
      <c r="AB32" s="3">
        <f t="shared" si="0"/>
        <v>11.5</v>
      </c>
      <c r="AC32" s="246">
        <f t="shared" si="1"/>
        <v>9.25</v>
      </c>
      <c r="AD32" s="253">
        <f t="shared" si="2"/>
        <v>-16.833300781249999</v>
      </c>
      <c r="AE32" s="108">
        <f t="shared" si="3"/>
        <v>15.867640625</v>
      </c>
      <c r="AF32" s="201">
        <v>67</v>
      </c>
      <c r="AG32" s="43">
        <f t="shared" si="4"/>
        <v>0.45316363636363632</v>
      </c>
      <c r="AH32" s="24">
        <v>5</v>
      </c>
      <c r="AI32" s="201">
        <v>8</v>
      </c>
      <c r="AJ32" s="218" t="str">
        <f t="shared" si="37"/>
        <v>#5 @ 8</v>
      </c>
      <c r="AK32" s="43">
        <f t="shared" si="39"/>
        <v>0.46499999999999997</v>
      </c>
      <c r="AL32" s="43">
        <f t="shared" si="27"/>
        <v>0.6875</v>
      </c>
      <c r="AM32" s="43">
        <f t="shared" si="38"/>
        <v>8.3783783783783778E-3</v>
      </c>
      <c r="AN32" s="272" t="str">
        <f t="shared" si="28"/>
        <v>#5 @ 5.5</v>
      </c>
      <c r="AP32" s="2">
        <f t="shared" si="5"/>
        <v>11.5</v>
      </c>
      <c r="AQ32" s="246">
        <f t="shared" si="6"/>
        <v>9.25</v>
      </c>
      <c r="AR32" s="169" t="str">
        <f t="shared" si="29"/>
        <v>#5 @ 5.5</v>
      </c>
      <c r="AS32" s="303" t="str">
        <f t="shared" si="30"/>
        <v>#5 @ 8</v>
      </c>
      <c r="AT32" s="253">
        <f t="shared" si="7"/>
        <v>-16.833300781249999</v>
      </c>
      <c r="AU32" s="99">
        <f t="shared" si="8"/>
        <v>15.867640625</v>
      </c>
      <c r="AV32" s="253">
        <f t="shared" si="31"/>
        <v>-18.247915653864851</v>
      </c>
      <c r="AW32" s="108">
        <f t="shared" si="32"/>
        <v>19.769733835683031</v>
      </c>
      <c r="AY32" s="156"/>
      <c r="AZ32" s="156"/>
      <c r="BA32" s="156">
        <f t="shared" si="33"/>
        <v>1.0840366895950995</v>
      </c>
      <c r="BB32" s="156">
        <f t="shared" si="34"/>
        <v>1.2459151491328302</v>
      </c>
      <c r="BC32" s="144">
        <f t="shared" si="35"/>
        <v>1.0840366895950995</v>
      </c>
      <c r="BD32" s="144">
        <f t="shared" si="36"/>
        <v>1.2459151491328302</v>
      </c>
    </row>
    <row r="33" spans="1:56" x14ac:dyDescent="0.2">
      <c r="A33" s="2">
        <v>11.75</v>
      </c>
      <c r="B33" s="222">
        <v>9.25</v>
      </c>
      <c r="C33" s="32">
        <f t="shared" si="9"/>
        <v>0.11562500000000001</v>
      </c>
      <c r="D33" s="253">
        <f t="shared" si="10"/>
        <v>-1.5963476562500003</v>
      </c>
      <c r="E33" s="99">
        <f t="shared" si="11"/>
        <v>1.2770781250000003</v>
      </c>
      <c r="F33" s="253">
        <f t="shared" si="12"/>
        <v>-0.69031250000000011</v>
      </c>
      <c r="G33" s="108">
        <f t="shared" si="13"/>
        <v>0.55225000000000002</v>
      </c>
      <c r="H33" s="294">
        <v>-8.24</v>
      </c>
      <c r="I33" s="99">
        <v>7.88</v>
      </c>
      <c r="J33" s="253">
        <f t="shared" si="14"/>
        <v>-17.450903320312499</v>
      </c>
      <c r="K33" s="108">
        <f t="shared" si="14"/>
        <v>16.21472265625</v>
      </c>
      <c r="L33" s="238">
        <v>5</v>
      </c>
      <c r="M33" s="238">
        <v>5.5</v>
      </c>
      <c r="N33" s="298">
        <v>0.31</v>
      </c>
      <c r="O33" s="238">
        <v>0.625</v>
      </c>
      <c r="P33" s="44">
        <f t="shared" si="15"/>
        <v>0.67636363636363628</v>
      </c>
      <c r="Q33" s="257">
        <f t="shared" si="16"/>
        <v>6.4375</v>
      </c>
      <c r="R33" s="104">
        <f t="shared" si="17"/>
        <v>6.9375</v>
      </c>
      <c r="S33" s="287">
        <f t="shared" si="18"/>
        <v>8.7555163283318613E-3</v>
      </c>
      <c r="T33" s="115">
        <f t="shared" si="19"/>
        <v>8.1244881244881238E-3</v>
      </c>
      <c r="U33" s="125"/>
      <c r="V33" s="61">
        <f t="shared" si="20"/>
        <v>18.247915653864851</v>
      </c>
      <c r="W33" s="110">
        <f t="shared" si="21"/>
        <v>19.769733835683031</v>
      </c>
      <c r="X33" s="61">
        <f t="shared" si="22"/>
        <v>18.079728974234325</v>
      </c>
      <c r="Y33" s="101">
        <f t="shared" si="23"/>
        <v>19.601547156052504</v>
      </c>
      <c r="Z33" s="61">
        <f t="shared" si="24"/>
        <v>18.382464997569276</v>
      </c>
      <c r="AA33" s="110">
        <f t="shared" si="25"/>
        <v>19.904283179387459</v>
      </c>
      <c r="AB33" s="3">
        <f t="shared" si="0"/>
        <v>11.75</v>
      </c>
      <c r="AC33" s="246">
        <f t="shared" si="1"/>
        <v>9.25</v>
      </c>
      <c r="AD33" s="253">
        <f t="shared" si="2"/>
        <v>-17.450903320312499</v>
      </c>
      <c r="AE33" s="108">
        <f t="shared" si="3"/>
        <v>16.21472265625</v>
      </c>
      <c r="AF33" s="245">
        <v>67</v>
      </c>
      <c r="AG33" s="43">
        <f t="shared" si="4"/>
        <v>0.45316363636363632</v>
      </c>
      <c r="AH33" s="245">
        <v>5</v>
      </c>
      <c r="AI33" s="245">
        <v>8</v>
      </c>
      <c r="AJ33" s="219" t="str">
        <f t="shared" si="37"/>
        <v>#5 @ 8</v>
      </c>
      <c r="AK33" s="44">
        <f t="shared" si="39"/>
        <v>0.46499999999999997</v>
      </c>
      <c r="AL33" s="44">
        <f t="shared" si="27"/>
        <v>0.6875</v>
      </c>
      <c r="AM33" s="43">
        <f t="shared" si="38"/>
        <v>8.3783783783783778E-3</v>
      </c>
      <c r="AN33" s="219" t="str">
        <f t="shared" si="28"/>
        <v>#5 @ 5.5</v>
      </c>
      <c r="AP33" s="2">
        <f t="shared" si="5"/>
        <v>11.75</v>
      </c>
      <c r="AQ33" s="246">
        <f t="shared" si="6"/>
        <v>9.25</v>
      </c>
      <c r="AR33" s="175" t="str">
        <f t="shared" si="29"/>
        <v>#5 @ 5.5</v>
      </c>
      <c r="AS33" s="303" t="str">
        <f t="shared" si="30"/>
        <v>#5 @ 8</v>
      </c>
      <c r="AT33" s="253">
        <f t="shared" si="7"/>
        <v>-17.450903320312499</v>
      </c>
      <c r="AU33" s="99">
        <f t="shared" si="8"/>
        <v>16.21472265625</v>
      </c>
      <c r="AV33" s="61">
        <f t="shared" si="31"/>
        <v>-18.247915653864851</v>
      </c>
      <c r="AW33" s="110">
        <f t="shared" si="32"/>
        <v>19.769733835683031</v>
      </c>
      <c r="AY33" s="156"/>
      <c r="AZ33" s="156"/>
      <c r="BA33" s="156">
        <f t="shared" si="33"/>
        <v>1.045671694978944</v>
      </c>
      <c r="BB33" s="156">
        <f t="shared" si="34"/>
        <v>1.2192458825722032</v>
      </c>
      <c r="BC33" s="144">
        <f t="shared" si="35"/>
        <v>1.045671694978944</v>
      </c>
      <c r="BD33" s="144">
        <f t="shared" si="36"/>
        <v>1.2192458825722032</v>
      </c>
    </row>
    <row r="34" spans="1:56" x14ac:dyDescent="0.2">
      <c r="A34" s="17">
        <v>12</v>
      </c>
      <c r="B34" s="221">
        <v>9.5</v>
      </c>
      <c r="C34" s="42">
        <f t="shared" si="9"/>
        <v>0.11874999999999999</v>
      </c>
      <c r="D34" s="255">
        <f t="shared" si="10"/>
        <v>-1.71</v>
      </c>
      <c r="E34" s="100">
        <f t="shared" si="11"/>
        <v>1.3679999999999999</v>
      </c>
      <c r="F34" s="255">
        <f t="shared" si="12"/>
        <v>-0.7200000000000002</v>
      </c>
      <c r="G34" s="109">
        <f t="shared" si="13"/>
        <v>0.57600000000000007</v>
      </c>
      <c r="H34" s="295">
        <v>-8.51</v>
      </c>
      <c r="I34" s="100">
        <v>8.01</v>
      </c>
      <c r="J34" s="255">
        <f t="shared" si="14"/>
        <v>-18.11</v>
      </c>
      <c r="K34" s="109">
        <f t="shared" si="14"/>
        <v>16.5915</v>
      </c>
      <c r="L34" s="236">
        <v>5</v>
      </c>
      <c r="M34" s="236">
        <v>5.5</v>
      </c>
      <c r="N34" s="297">
        <v>0.31</v>
      </c>
      <c r="O34" s="236">
        <v>0.625</v>
      </c>
      <c r="P34" s="43">
        <f t="shared" si="15"/>
        <v>0.67636363636363628</v>
      </c>
      <c r="Q34" s="195">
        <f t="shared" si="16"/>
        <v>6.6875</v>
      </c>
      <c r="R34" s="102">
        <f t="shared" si="17"/>
        <v>7.1875</v>
      </c>
      <c r="S34" s="288">
        <f t="shared" si="18"/>
        <v>8.4282073067119788E-3</v>
      </c>
      <c r="T34" s="116">
        <f t="shared" si="19"/>
        <v>7.84189723320158E-3</v>
      </c>
      <c r="U34" s="125"/>
      <c r="V34" s="253">
        <f t="shared" si="20"/>
        <v>19.008824744773943</v>
      </c>
      <c r="W34" s="108">
        <f t="shared" si="21"/>
        <v>20.530642926592122</v>
      </c>
      <c r="X34" s="253">
        <f t="shared" si="22"/>
        <v>18.840638065143413</v>
      </c>
      <c r="Y34" s="99">
        <f t="shared" si="23"/>
        <v>20.362456246961596</v>
      </c>
      <c r="Z34" s="253">
        <f t="shared" si="24"/>
        <v>19.143374088478367</v>
      </c>
      <c r="AA34" s="108">
        <f t="shared" si="25"/>
        <v>20.665192270296547</v>
      </c>
      <c r="AB34" s="18">
        <f t="shared" si="0"/>
        <v>12</v>
      </c>
      <c r="AC34" s="56">
        <f t="shared" si="1"/>
        <v>9.5</v>
      </c>
      <c r="AD34" s="255">
        <f t="shared" si="2"/>
        <v>-18.11</v>
      </c>
      <c r="AE34" s="109">
        <f t="shared" si="3"/>
        <v>16.5915</v>
      </c>
      <c r="AF34" s="300">
        <v>67</v>
      </c>
      <c r="AG34" s="42">
        <f t="shared" si="4"/>
        <v>0.45316363636363632</v>
      </c>
      <c r="AH34" s="24">
        <v>5</v>
      </c>
      <c r="AI34" s="201">
        <v>8</v>
      </c>
      <c r="AJ34" s="218" t="str">
        <f t="shared" si="37"/>
        <v>#5 @ 8</v>
      </c>
      <c r="AK34" s="43">
        <f t="shared" si="39"/>
        <v>0.46499999999999997</v>
      </c>
      <c r="AL34" s="43">
        <f t="shared" si="27"/>
        <v>0.6875</v>
      </c>
      <c r="AM34" s="42">
        <f t="shared" si="38"/>
        <v>8.1578947368421053E-3</v>
      </c>
      <c r="AN34" s="272" t="str">
        <f t="shared" si="28"/>
        <v>#5 @ 5.5</v>
      </c>
      <c r="AP34" s="17">
        <f t="shared" si="5"/>
        <v>12</v>
      </c>
      <c r="AQ34" s="56">
        <f t="shared" si="6"/>
        <v>9.5</v>
      </c>
      <c r="AR34" s="169" t="str">
        <f t="shared" si="29"/>
        <v>#5 @ 5.5</v>
      </c>
      <c r="AS34" s="170" t="str">
        <f t="shared" si="30"/>
        <v>#5 @ 8</v>
      </c>
      <c r="AT34" s="255">
        <f t="shared" si="7"/>
        <v>-18.11</v>
      </c>
      <c r="AU34" s="109">
        <f t="shared" si="8"/>
        <v>16.5915</v>
      </c>
      <c r="AV34" s="253">
        <f t="shared" si="31"/>
        <v>-19.008824744773943</v>
      </c>
      <c r="AW34" s="108">
        <f t="shared" si="32"/>
        <v>20.530642926592122</v>
      </c>
      <c r="AY34" s="156"/>
      <c r="AZ34" s="156"/>
      <c r="BA34" s="156">
        <f t="shared" si="33"/>
        <v>1.0496314050123656</v>
      </c>
      <c r="BB34" s="156">
        <f t="shared" si="34"/>
        <v>1.2374193368045157</v>
      </c>
      <c r="BC34" s="144">
        <f t="shared" si="35"/>
        <v>1.0496314050123656</v>
      </c>
      <c r="BD34" s="144">
        <f t="shared" si="36"/>
        <v>1.2374193368045157</v>
      </c>
    </row>
    <row r="35" spans="1:56" x14ac:dyDescent="0.2">
      <c r="A35" s="2">
        <v>12.25</v>
      </c>
      <c r="B35" s="221">
        <v>9.5</v>
      </c>
      <c r="C35" s="43">
        <f t="shared" si="9"/>
        <v>0.11874999999999999</v>
      </c>
      <c r="D35" s="253">
        <f t="shared" si="10"/>
        <v>-1.7819921875</v>
      </c>
      <c r="E35" s="99">
        <f t="shared" si="11"/>
        <v>1.42559375</v>
      </c>
      <c r="F35" s="253">
        <f t="shared" si="12"/>
        <v>-0.75031250000000016</v>
      </c>
      <c r="G35" s="108">
        <f t="shared" si="13"/>
        <v>0.60025000000000006</v>
      </c>
      <c r="H35" s="294">
        <v>-8.7799999999999994</v>
      </c>
      <c r="I35" s="99">
        <v>8.15</v>
      </c>
      <c r="J35" s="253">
        <f t="shared" si="14"/>
        <v>-18.717958984374999</v>
      </c>
      <c r="K35" s="108">
        <f t="shared" si="14"/>
        <v>16.944867187500002</v>
      </c>
      <c r="L35" s="236">
        <v>5</v>
      </c>
      <c r="M35" s="236">
        <v>5.5</v>
      </c>
      <c r="N35" s="297">
        <v>0.31</v>
      </c>
      <c r="O35" s="236">
        <v>0.625</v>
      </c>
      <c r="P35" s="43">
        <f t="shared" si="15"/>
        <v>0.67636363636363628</v>
      </c>
      <c r="Q35" s="195">
        <f t="shared" si="16"/>
        <v>6.6875</v>
      </c>
      <c r="R35" s="102">
        <f t="shared" si="17"/>
        <v>7.1875</v>
      </c>
      <c r="S35" s="287">
        <f t="shared" si="18"/>
        <v>8.4282073067119788E-3</v>
      </c>
      <c r="T35" s="115">
        <f t="shared" si="19"/>
        <v>7.84189723320158E-3</v>
      </c>
      <c r="U35" s="125"/>
      <c r="V35" s="253">
        <f t="shared" si="20"/>
        <v>19.008824744773943</v>
      </c>
      <c r="W35" s="108">
        <f t="shared" si="21"/>
        <v>20.530642926592122</v>
      </c>
      <c r="X35" s="253">
        <f t="shared" si="22"/>
        <v>18.840638065143413</v>
      </c>
      <c r="Y35" s="99">
        <f t="shared" si="23"/>
        <v>20.362456246961596</v>
      </c>
      <c r="Z35" s="253">
        <f t="shared" si="24"/>
        <v>19.143374088478367</v>
      </c>
      <c r="AA35" s="108">
        <f t="shared" si="25"/>
        <v>20.665192270296547</v>
      </c>
      <c r="AB35" s="3">
        <f t="shared" si="0"/>
        <v>12.25</v>
      </c>
      <c r="AC35" s="55">
        <f t="shared" si="1"/>
        <v>9.5</v>
      </c>
      <c r="AD35" s="253">
        <f t="shared" si="2"/>
        <v>-18.717958984374999</v>
      </c>
      <c r="AE35" s="108">
        <f t="shared" si="3"/>
        <v>16.944867187500002</v>
      </c>
      <c r="AF35" s="279">
        <v>67</v>
      </c>
      <c r="AG35" s="43">
        <f t="shared" si="4"/>
        <v>0.45316363636363632</v>
      </c>
      <c r="AH35" s="24">
        <v>5</v>
      </c>
      <c r="AI35" s="201">
        <v>8</v>
      </c>
      <c r="AJ35" s="218" t="str">
        <f t="shared" si="37"/>
        <v>#5 @ 8</v>
      </c>
      <c r="AK35" s="43">
        <f t="shared" si="39"/>
        <v>0.46499999999999997</v>
      </c>
      <c r="AL35" s="43">
        <f t="shared" si="27"/>
        <v>0.6875</v>
      </c>
      <c r="AM35" s="43">
        <f t="shared" si="38"/>
        <v>8.1578947368421053E-3</v>
      </c>
      <c r="AN35" s="272" t="str">
        <f t="shared" si="28"/>
        <v>#5 @ 5.5</v>
      </c>
      <c r="AP35" s="2">
        <f t="shared" ref="AP35:AP46" si="40">A35</f>
        <v>12.25</v>
      </c>
      <c r="AQ35" s="55">
        <f t="shared" ref="AQ35:AQ46" si="41">B35</f>
        <v>9.5</v>
      </c>
      <c r="AR35" s="169" t="str">
        <f t="shared" si="29"/>
        <v>#5 @ 5.5</v>
      </c>
      <c r="AS35" s="171" t="str">
        <f t="shared" ref="AS35:AS46" si="42">AJ35</f>
        <v>#5 @ 8</v>
      </c>
      <c r="AT35" s="253">
        <f t="shared" ref="AT35:AT46" si="43">AD35</f>
        <v>-18.717958984374999</v>
      </c>
      <c r="AU35" s="108">
        <f t="shared" ref="AU35:AU46" si="44">AE35</f>
        <v>16.944867187500002</v>
      </c>
      <c r="AV35" s="253">
        <f t="shared" si="31"/>
        <v>-19.008824744773943</v>
      </c>
      <c r="AW35" s="108">
        <f t="shared" si="32"/>
        <v>20.530642926592122</v>
      </c>
      <c r="AY35" s="156"/>
      <c r="AZ35" s="156"/>
      <c r="BA35" s="156">
        <f t="shared" si="33"/>
        <v>1.0155393951146996</v>
      </c>
      <c r="BB35" s="156">
        <f t="shared" si="34"/>
        <v>1.2116142722993604</v>
      </c>
      <c r="BC35" s="144">
        <f t="shared" si="35"/>
        <v>1.0155393951146996</v>
      </c>
      <c r="BD35" s="144">
        <f t="shared" si="36"/>
        <v>1.2116142722993604</v>
      </c>
    </row>
    <row r="36" spans="1:56" x14ac:dyDescent="0.2">
      <c r="A36" s="2">
        <v>12.5</v>
      </c>
      <c r="B36" s="221">
        <v>9.75</v>
      </c>
      <c r="C36" s="43">
        <f t="shared" si="9"/>
        <v>0.121875</v>
      </c>
      <c r="D36" s="253">
        <f t="shared" si="10"/>
        <v>-1.904296875</v>
      </c>
      <c r="E36" s="99">
        <f t="shared" si="11"/>
        <v>1.5234375</v>
      </c>
      <c r="F36" s="253">
        <f t="shared" si="12"/>
        <v>-0.78125000000000011</v>
      </c>
      <c r="G36" s="108">
        <f t="shared" si="13"/>
        <v>0.625</v>
      </c>
      <c r="H36" s="294">
        <v>-9.0399999999999991</v>
      </c>
      <c r="I36" s="99">
        <v>8.2799999999999994</v>
      </c>
      <c r="J36" s="253">
        <f t="shared" si="14"/>
        <v>-19.37224609375</v>
      </c>
      <c r="K36" s="108">
        <f t="shared" si="14"/>
        <v>17.331796874999998</v>
      </c>
      <c r="L36" s="236">
        <v>5</v>
      </c>
      <c r="M36" s="236">
        <v>5.5</v>
      </c>
      <c r="N36" s="297">
        <v>0.31</v>
      </c>
      <c r="O36" s="236">
        <v>0.625</v>
      </c>
      <c r="P36" s="43">
        <f t="shared" si="15"/>
        <v>0.67636363636363628</v>
      </c>
      <c r="Q36" s="195">
        <f t="shared" si="16"/>
        <v>6.9375</v>
      </c>
      <c r="R36" s="102">
        <f t="shared" si="17"/>
        <v>7.4375</v>
      </c>
      <c r="S36" s="287">
        <f t="shared" si="18"/>
        <v>8.1244881244881238E-3</v>
      </c>
      <c r="T36" s="115">
        <f t="shared" si="19"/>
        <v>7.5783040488922836E-3</v>
      </c>
      <c r="U36" s="125"/>
      <c r="V36" s="253">
        <f t="shared" si="20"/>
        <v>19.769733835683031</v>
      </c>
      <c r="W36" s="108">
        <f t="shared" si="21"/>
        <v>21.291552017501214</v>
      </c>
      <c r="X36" s="253">
        <f t="shared" si="22"/>
        <v>19.601547156052504</v>
      </c>
      <c r="Y36" s="99">
        <f t="shared" si="23"/>
        <v>21.123365337870684</v>
      </c>
      <c r="Z36" s="253">
        <f t="shared" si="24"/>
        <v>19.904283179387459</v>
      </c>
      <c r="AA36" s="108">
        <f t="shared" si="25"/>
        <v>21.426101361205639</v>
      </c>
      <c r="AB36" s="3">
        <f t="shared" si="0"/>
        <v>12.5</v>
      </c>
      <c r="AC36" s="55">
        <f t="shared" si="1"/>
        <v>9.75</v>
      </c>
      <c r="AD36" s="253">
        <f t="shared" si="2"/>
        <v>-19.37224609375</v>
      </c>
      <c r="AE36" s="108">
        <f t="shared" si="3"/>
        <v>17.331796874999998</v>
      </c>
      <c r="AF36" s="279">
        <v>67</v>
      </c>
      <c r="AG36" s="43">
        <f t="shared" si="4"/>
        <v>0.45316363636363632</v>
      </c>
      <c r="AH36" s="24">
        <v>5</v>
      </c>
      <c r="AI36" s="201">
        <v>8</v>
      </c>
      <c r="AJ36" s="218" t="str">
        <f t="shared" si="37"/>
        <v>#5 @ 8</v>
      </c>
      <c r="AK36" s="43">
        <f t="shared" si="39"/>
        <v>0.46499999999999997</v>
      </c>
      <c r="AL36" s="43">
        <f t="shared" si="27"/>
        <v>0.6875</v>
      </c>
      <c r="AM36" s="43">
        <f t="shared" si="38"/>
        <v>7.9487179487179489E-3</v>
      </c>
      <c r="AN36" s="272" t="str">
        <f t="shared" si="28"/>
        <v>#5 @ 5.5</v>
      </c>
      <c r="AP36" s="2">
        <f t="shared" si="40"/>
        <v>12.5</v>
      </c>
      <c r="AQ36" s="55">
        <f t="shared" si="41"/>
        <v>9.75</v>
      </c>
      <c r="AR36" s="169" t="str">
        <f t="shared" si="29"/>
        <v>#5 @ 5.5</v>
      </c>
      <c r="AS36" s="171" t="str">
        <f t="shared" si="42"/>
        <v>#5 @ 8</v>
      </c>
      <c r="AT36" s="253">
        <f t="shared" si="43"/>
        <v>-19.37224609375</v>
      </c>
      <c r="AU36" s="108">
        <f t="shared" si="44"/>
        <v>17.331796874999998</v>
      </c>
      <c r="AV36" s="253">
        <f t="shared" si="31"/>
        <v>-19.769733835683031</v>
      </c>
      <c r="AW36" s="108">
        <f t="shared" si="32"/>
        <v>21.291552017501214</v>
      </c>
      <c r="AY36" s="156"/>
      <c r="AZ36" s="156"/>
      <c r="BA36" s="156">
        <f t="shared" si="33"/>
        <v>1.0205184127854576</v>
      </c>
      <c r="BB36" s="156">
        <f t="shared" si="34"/>
        <v>1.228467663858495</v>
      </c>
      <c r="BC36" s="144">
        <f t="shared" si="35"/>
        <v>1.0205184127854576</v>
      </c>
      <c r="BD36" s="144">
        <f t="shared" si="36"/>
        <v>1.228467663858495</v>
      </c>
    </row>
    <row r="37" spans="1:56" x14ac:dyDescent="0.2">
      <c r="A37" s="8">
        <v>12.75</v>
      </c>
      <c r="B37" s="222">
        <v>9.75</v>
      </c>
      <c r="C37" s="44">
        <f t="shared" si="9"/>
        <v>0.121875</v>
      </c>
      <c r="D37" s="61">
        <f t="shared" si="10"/>
        <v>-1.98123046875</v>
      </c>
      <c r="E37" s="101">
        <f t="shared" si="11"/>
        <v>1.5849843749999999</v>
      </c>
      <c r="F37" s="61">
        <f t="shared" si="12"/>
        <v>-0.81281250000000016</v>
      </c>
      <c r="G37" s="110">
        <f t="shared" si="13"/>
        <v>0.65024999999999999</v>
      </c>
      <c r="H37" s="296">
        <v>-9.3000000000000007</v>
      </c>
      <c r="I37" s="101">
        <v>8.41</v>
      </c>
      <c r="J37" s="61">
        <f t="shared" ref="J37:K46" si="45">1.25*D37+1.5*F37+1.75*H37</f>
        <v>-19.9707568359375</v>
      </c>
      <c r="K37" s="110">
        <f t="shared" si="45"/>
        <v>17.67410546875</v>
      </c>
      <c r="L37" s="238">
        <v>5</v>
      </c>
      <c r="M37" s="238">
        <v>5</v>
      </c>
      <c r="N37" s="298">
        <v>0.31</v>
      </c>
      <c r="O37" s="238">
        <v>0.625</v>
      </c>
      <c r="P37" s="44">
        <f t="shared" si="15"/>
        <v>0.74399999999999999</v>
      </c>
      <c r="Q37" s="257">
        <f t="shared" si="16"/>
        <v>6.9375</v>
      </c>
      <c r="R37" s="104">
        <f t="shared" si="17"/>
        <v>7.4375</v>
      </c>
      <c r="S37" s="289">
        <f t="shared" si="18"/>
        <v>8.9369369369369372E-3</v>
      </c>
      <c r="T37" s="117">
        <f t="shared" si="19"/>
        <v>8.3361344537815126E-3</v>
      </c>
      <c r="U37" s="125"/>
      <c r="V37" s="61">
        <f t="shared" si="20"/>
        <v>21.598702941176469</v>
      </c>
      <c r="W37" s="110">
        <f t="shared" si="21"/>
        <v>23.272702941176473</v>
      </c>
      <c r="X37" s="61">
        <f t="shared" si="22"/>
        <v>21.395197058823531</v>
      </c>
      <c r="Y37" s="101">
        <f t="shared" si="23"/>
        <v>23.06919705882353</v>
      </c>
      <c r="Z37" s="61">
        <f t="shared" si="24"/>
        <v>21.761507647058824</v>
      </c>
      <c r="AA37" s="110">
        <f t="shared" si="25"/>
        <v>23.435507647058827</v>
      </c>
      <c r="AB37" s="9">
        <f t="shared" si="0"/>
        <v>12.75</v>
      </c>
      <c r="AC37" s="57">
        <f t="shared" si="1"/>
        <v>9.75</v>
      </c>
      <c r="AD37" s="61">
        <f t="shared" si="2"/>
        <v>-19.9707568359375</v>
      </c>
      <c r="AE37" s="110">
        <f t="shared" si="3"/>
        <v>17.67410546875</v>
      </c>
      <c r="AF37" s="280">
        <v>67</v>
      </c>
      <c r="AG37" s="44">
        <f t="shared" si="4"/>
        <v>0.49847999999999998</v>
      </c>
      <c r="AH37" s="245">
        <v>5</v>
      </c>
      <c r="AI37" s="26">
        <v>7</v>
      </c>
      <c r="AJ37" s="219" t="str">
        <f t="shared" si="37"/>
        <v>#5 @ 7</v>
      </c>
      <c r="AK37" s="44">
        <f t="shared" si="39"/>
        <v>0.53142857142857136</v>
      </c>
      <c r="AL37" s="234">
        <f t="shared" si="27"/>
        <v>0.71428571428571419</v>
      </c>
      <c r="AM37" s="44">
        <f t="shared" si="38"/>
        <v>9.0842490842490825E-3</v>
      </c>
      <c r="AN37" s="219" t="str">
        <f t="shared" si="28"/>
        <v>#5 @ 5</v>
      </c>
      <c r="AP37" s="8">
        <f t="shared" si="40"/>
        <v>12.75</v>
      </c>
      <c r="AQ37" s="57">
        <f t="shared" si="41"/>
        <v>9.75</v>
      </c>
      <c r="AR37" s="175" t="str">
        <f t="shared" si="29"/>
        <v>#5 @ 5</v>
      </c>
      <c r="AS37" s="172" t="str">
        <f t="shared" si="42"/>
        <v>#5 @ 7</v>
      </c>
      <c r="AT37" s="61">
        <f t="shared" si="43"/>
        <v>-19.9707568359375</v>
      </c>
      <c r="AU37" s="110">
        <f t="shared" si="44"/>
        <v>17.67410546875</v>
      </c>
      <c r="AV37" s="61">
        <f t="shared" si="31"/>
        <v>-21.598702941176469</v>
      </c>
      <c r="AW37" s="110">
        <f t="shared" si="32"/>
        <v>23.272702941176473</v>
      </c>
      <c r="AY37" s="156"/>
      <c r="AZ37" s="156"/>
      <c r="BA37" s="156">
        <f t="shared" si="33"/>
        <v>1.0815164952742036</v>
      </c>
      <c r="BB37" s="156">
        <f t="shared" si="34"/>
        <v>1.3167683638827143</v>
      </c>
      <c r="BC37" s="144">
        <f t="shared" si="35"/>
        <v>1.0815164952742036</v>
      </c>
      <c r="BD37" s="144">
        <f t="shared" si="36"/>
        <v>1.3167683638827143</v>
      </c>
    </row>
    <row r="38" spans="1:56" x14ac:dyDescent="0.2">
      <c r="A38" s="2">
        <v>13</v>
      </c>
      <c r="B38" s="221">
        <v>10</v>
      </c>
      <c r="C38" s="32">
        <f t="shared" si="9"/>
        <v>0.125</v>
      </c>
      <c r="D38" s="253">
        <f t="shared" si="10"/>
        <v>-2.1125000000000003</v>
      </c>
      <c r="E38" s="99">
        <f t="shared" si="11"/>
        <v>1.69</v>
      </c>
      <c r="F38" s="253">
        <f t="shared" si="12"/>
        <v>-0.8450000000000002</v>
      </c>
      <c r="G38" s="108">
        <f t="shared" si="13"/>
        <v>0.67600000000000005</v>
      </c>
      <c r="H38" s="294">
        <v>-9.5500000000000007</v>
      </c>
      <c r="I38" s="99">
        <v>8.5399999999999991</v>
      </c>
      <c r="J38" s="253">
        <f t="shared" si="45"/>
        <v>-20.620625000000004</v>
      </c>
      <c r="K38" s="108">
        <f t="shared" si="45"/>
        <v>18.0715</v>
      </c>
      <c r="L38" s="236">
        <v>5</v>
      </c>
      <c r="M38" s="236">
        <v>5</v>
      </c>
      <c r="N38" s="297">
        <v>0.31</v>
      </c>
      <c r="O38" s="236">
        <v>0.625</v>
      </c>
      <c r="P38" s="43">
        <f t="shared" si="15"/>
        <v>0.74399999999999999</v>
      </c>
      <c r="Q38" s="195">
        <f t="shared" si="16"/>
        <v>7.1875</v>
      </c>
      <c r="R38" s="102">
        <f t="shared" si="17"/>
        <v>7.6875</v>
      </c>
      <c r="S38" s="287">
        <f t="shared" si="18"/>
        <v>8.6260869565217384E-3</v>
      </c>
      <c r="T38" s="115">
        <f t="shared" si="19"/>
        <v>8.0650406504065037E-3</v>
      </c>
      <c r="U38" s="125"/>
      <c r="V38" s="253">
        <f t="shared" si="20"/>
        <v>22.435702941176473</v>
      </c>
      <c r="W38" s="108">
        <f t="shared" si="21"/>
        <v>24.109702941176469</v>
      </c>
      <c r="X38" s="253">
        <f t="shared" si="22"/>
        <v>22.23219705882353</v>
      </c>
      <c r="Y38" s="99">
        <f t="shared" si="23"/>
        <v>23.906197058823533</v>
      </c>
      <c r="Z38" s="253">
        <f t="shared" si="24"/>
        <v>22.598507647058824</v>
      </c>
      <c r="AA38" s="108">
        <f t="shared" si="25"/>
        <v>24.272507647058827</v>
      </c>
      <c r="AB38" s="3">
        <f t="shared" si="0"/>
        <v>13</v>
      </c>
      <c r="AC38" s="55">
        <f t="shared" si="1"/>
        <v>10</v>
      </c>
      <c r="AD38" s="253">
        <f t="shared" si="2"/>
        <v>-20.620625000000004</v>
      </c>
      <c r="AE38" s="108">
        <f t="shared" si="3"/>
        <v>18.0715</v>
      </c>
      <c r="AF38" s="300">
        <v>67</v>
      </c>
      <c r="AG38" s="43">
        <f t="shared" si="4"/>
        <v>0.49847999999999998</v>
      </c>
      <c r="AH38" s="24">
        <v>5</v>
      </c>
      <c r="AI38" s="24">
        <v>7</v>
      </c>
      <c r="AJ38" s="218" t="str">
        <f t="shared" si="37"/>
        <v>#5 @ 7</v>
      </c>
      <c r="AK38" s="43">
        <f t="shared" si="39"/>
        <v>0.53142857142857136</v>
      </c>
      <c r="AL38" s="191">
        <f t="shared" si="27"/>
        <v>0.71428571428571419</v>
      </c>
      <c r="AM38" s="43">
        <f t="shared" si="38"/>
        <v>8.8571428571428568E-3</v>
      </c>
      <c r="AN38" s="272" t="str">
        <f t="shared" si="28"/>
        <v>#5 @ 5</v>
      </c>
      <c r="AP38" s="17">
        <f t="shared" si="40"/>
        <v>13</v>
      </c>
      <c r="AQ38" s="56">
        <f t="shared" si="41"/>
        <v>10</v>
      </c>
      <c r="AR38" s="169" t="str">
        <f t="shared" si="29"/>
        <v>#5 @ 5</v>
      </c>
      <c r="AS38" s="171" t="str">
        <f t="shared" si="42"/>
        <v>#5 @ 7</v>
      </c>
      <c r="AT38" s="253">
        <f t="shared" si="43"/>
        <v>-20.620625000000004</v>
      </c>
      <c r="AU38" s="108">
        <f t="shared" si="44"/>
        <v>18.0715</v>
      </c>
      <c r="AV38" s="253">
        <f t="shared" si="31"/>
        <v>-22.435702941176473</v>
      </c>
      <c r="AW38" s="108">
        <f t="shared" si="32"/>
        <v>24.109702941176469</v>
      </c>
      <c r="AY38" s="156"/>
      <c r="AZ38" s="156"/>
      <c r="BA38" s="156">
        <f t="shared" si="33"/>
        <v>1.0880224503950036</v>
      </c>
      <c r="BB38" s="156">
        <f t="shared" si="34"/>
        <v>1.3341284863556688</v>
      </c>
      <c r="BC38" s="144">
        <f t="shared" si="35"/>
        <v>1.0880224503950036</v>
      </c>
      <c r="BD38" s="144">
        <f t="shared" si="36"/>
        <v>1.3341284863556688</v>
      </c>
    </row>
    <row r="39" spans="1:56" x14ac:dyDescent="0.2">
      <c r="A39" s="2">
        <v>13.25</v>
      </c>
      <c r="B39" s="221">
        <v>10</v>
      </c>
      <c r="C39" s="32">
        <f t="shared" si="9"/>
        <v>0.125</v>
      </c>
      <c r="D39" s="253">
        <f t="shared" si="10"/>
        <v>-2.1945312500000003</v>
      </c>
      <c r="E39" s="99">
        <f t="shared" si="11"/>
        <v>1.755625</v>
      </c>
      <c r="F39" s="253">
        <f t="shared" si="12"/>
        <v>-0.87781250000000022</v>
      </c>
      <c r="G39" s="108">
        <f t="shared" si="13"/>
        <v>0.70225000000000004</v>
      </c>
      <c r="H39" s="294">
        <v>-9.8000000000000007</v>
      </c>
      <c r="I39" s="99">
        <v>8.66</v>
      </c>
      <c r="J39" s="253">
        <f t="shared" si="45"/>
        <v>-21.209882812500002</v>
      </c>
      <c r="K39" s="108">
        <f t="shared" si="45"/>
        <v>18.402906250000001</v>
      </c>
      <c r="L39" s="236">
        <v>5</v>
      </c>
      <c r="M39" s="236">
        <v>5</v>
      </c>
      <c r="N39" s="297">
        <v>0.31</v>
      </c>
      <c r="O39" s="236">
        <v>0.625</v>
      </c>
      <c r="P39" s="43">
        <f t="shared" si="15"/>
        <v>0.74399999999999999</v>
      </c>
      <c r="Q39" s="195">
        <f t="shared" si="16"/>
        <v>7.1875</v>
      </c>
      <c r="R39" s="102">
        <f t="shared" si="17"/>
        <v>7.6875</v>
      </c>
      <c r="S39" s="287">
        <f t="shared" si="18"/>
        <v>8.6260869565217384E-3</v>
      </c>
      <c r="T39" s="115">
        <f t="shared" si="19"/>
        <v>8.0650406504065037E-3</v>
      </c>
      <c r="U39" s="125"/>
      <c r="V39" s="253">
        <f t="shared" si="20"/>
        <v>22.435702941176473</v>
      </c>
      <c r="W39" s="108">
        <f t="shared" si="21"/>
        <v>24.109702941176469</v>
      </c>
      <c r="X39" s="253">
        <f t="shared" si="22"/>
        <v>22.23219705882353</v>
      </c>
      <c r="Y39" s="99">
        <f t="shared" si="23"/>
        <v>23.906197058823533</v>
      </c>
      <c r="Z39" s="253">
        <f t="shared" si="24"/>
        <v>22.598507647058824</v>
      </c>
      <c r="AA39" s="108">
        <f t="shared" si="25"/>
        <v>24.272507647058827</v>
      </c>
      <c r="AB39" s="3">
        <f t="shared" si="0"/>
        <v>13.25</v>
      </c>
      <c r="AC39" s="55">
        <f t="shared" si="1"/>
        <v>10</v>
      </c>
      <c r="AD39" s="253">
        <f t="shared" si="2"/>
        <v>-21.209882812500002</v>
      </c>
      <c r="AE39" s="108">
        <f t="shared" si="3"/>
        <v>18.402906250000001</v>
      </c>
      <c r="AF39" s="279">
        <v>67</v>
      </c>
      <c r="AG39" s="43">
        <f t="shared" si="4"/>
        <v>0.49847999999999998</v>
      </c>
      <c r="AH39" s="24">
        <v>5</v>
      </c>
      <c r="AI39" s="24">
        <v>7</v>
      </c>
      <c r="AJ39" s="218" t="str">
        <f t="shared" si="37"/>
        <v>#5 @ 7</v>
      </c>
      <c r="AK39" s="43">
        <f t="shared" si="39"/>
        <v>0.53142857142857136</v>
      </c>
      <c r="AL39" s="191">
        <f t="shared" si="27"/>
        <v>0.71428571428571419</v>
      </c>
      <c r="AM39" s="43">
        <f t="shared" si="38"/>
        <v>8.8571428571428568E-3</v>
      </c>
      <c r="AN39" s="272" t="str">
        <f t="shared" si="28"/>
        <v>#5 @ 5</v>
      </c>
      <c r="AP39" s="2">
        <f t="shared" si="40"/>
        <v>13.25</v>
      </c>
      <c r="AQ39" s="55">
        <f t="shared" si="41"/>
        <v>10</v>
      </c>
      <c r="AR39" s="169" t="str">
        <f t="shared" si="29"/>
        <v>#5 @ 5</v>
      </c>
      <c r="AS39" s="171" t="str">
        <f t="shared" si="42"/>
        <v>#5 @ 7</v>
      </c>
      <c r="AT39" s="253">
        <f t="shared" si="43"/>
        <v>-21.209882812500002</v>
      </c>
      <c r="AU39" s="108">
        <f t="shared" si="44"/>
        <v>18.402906250000001</v>
      </c>
      <c r="AV39" s="253">
        <f t="shared" si="31"/>
        <v>-22.435702941176473</v>
      </c>
      <c r="AW39" s="108">
        <f t="shared" si="32"/>
        <v>24.109702941176469</v>
      </c>
      <c r="AY39" s="156"/>
      <c r="AZ39" s="156"/>
      <c r="BA39" s="156">
        <f t="shared" si="33"/>
        <v>1.0577947619754899</v>
      </c>
      <c r="BB39" s="156">
        <f t="shared" si="34"/>
        <v>1.3101030138202474</v>
      </c>
      <c r="BC39" s="144">
        <f t="shared" si="35"/>
        <v>1.0577947619754899</v>
      </c>
      <c r="BD39" s="144">
        <f t="shared" si="36"/>
        <v>1.3101030138202474</v>
      </c>
    </row>
    <row r="40" spans="1:56" x14ac:dyDescent="0.2">
      <c r="A40" s="2">
        <v>13.5</v>
      </c>
      <c r="B40" s="221">
        <v>10.25</v>
      </c>
      <c r="C40" s="32">
        <f t="shared" si="9"/>
        <v>0.12812499999999999</v>
      </c>
      <c r="D40" s="253">
        <f t="shared" si="10"/>
        <v>-2.3350781249999999</v>
      </c>
      <c r="E40" s="99">
        <f t="shared" si="11"/>
        <v>1.8680624999999997</v>
      </c>
      <c r="F40" s="253">
        <f t="shared" si="12"/>
        <v>-0.91125000000000023</v>
      </c>
      <c r="G40" s="108">
        <f t="shared" si="13"/>
        <v>0.72899999999999998</v>
      </c>
      <c r="H40" s="294">
        <v>-10.029999999999999</v>
      </c>
      <c r="I40" s="99">
        <v>8.7799999999999994</v>
      </c>
      <c r="J40" s="253">
        <f t="shared" si="45"/>
        <v>-21.838222656249997</v>
      </c>
      <c r="K40" s="108">
        <f t="shared" si="45"/>
        <v>18.793578124999996</v>
      </c>
      <c r="L40" s="236">
        <v>5</v>
      </c>
      <c r="M40" s="236">
        <v>5</v>
      </c>
      <c r="N40" s="297">
        <v>0.31</v>
      </c>
      <c r="O40" s="236">
        <v>0.625</v>
      </c>
      <c r="P40" s="43">
        <f t="shared" si="15"/>
        <v>0.74399999999999999</v>
      </c>
      <c r="Q40" s="195">
        <f t="shared" si="16"/>
        <v>7.4375</v>
      </c>
      <c r="R40" s="102">
        <f t="shared" si="17"/>
        <v>7.9375</v>
      </c>
      <c r="S40" s="287">
        <f t="shared" si="18"/>
        <v>8.3361344537815126E-3</v>
      </c>
      <c r="T40" s="115">
        <f t="shared" si="19"/>
        <v>7.8110236220472438E-3</v>
      </c>
      <c r="U40" s="125"/>
      <c r="V40" s="253">
        <f t="shared" si="20"/>
        <v>23.272702941176473</v>
      </c>
      <c r="W40" s="108">
        <f t="shared" si="21"/>
        <v>24.946702941176472</v>
      </c>
      <c r="X40" s="253">
        <f t="shared" si="22"/>
        <v>23.06919705882353</v>
      </c>
      <c r="Y40" s="99">
        <f t="shared" si="23"/>
        <v>24.743197058823529</v>
      </c>
      <c r="Z40" s="253">
        <f t="shared" si="24"/>
        <v>23.435507647058827</v>
      </c>
      <c r="AA40" s="108">
        <f t="shared" si="25"/>
        <v>25.109507647058823</v>
      </c>
      <c r="AB40" s="3">
        <f t="shared" si="0"/>
        <v>13.5</v>
      </c>
      <c r="AC40" s="55">
        <f t="shared" si="1"/>
        <v>10.25</v>
      </c>
      <c r="AD40" s="253">
        <f t="shared" si="2"/>
        <v>-21.838222656249997</v>
      </c>
      <c r="AE40" s="108">
        <f t="shared" si="3"/>
        <v>18.793578124999996</v>
      </c>
      <c r="AF40" s="279">
        <v>67</v>
      </c>
      <c r="AG40" s="43">
        <f t="shared" si="4"/>
        <v>0.49847999999999998</v>
      </c>
      <c r="AH40" s="24">
        <v>5</v>
      </c>
      <c r="AI40" s="24">
        <v>7</v>
      </c>
      <c r="AJ40" s="218" t="str">
        <f t="shared" si="37"/>
        <v>#5 @ 7</v>
      </c>
      <c r="AK40" s="43">
        <f t="shared" si="39"/>
        <v>0.53142857142857136</v>
      </c>
      <c r="AL40" s="191">
        <f t="shared" si="27"/>
        <v>0.71428571428571419</v>
      </c>
      <c r="AM40" s="43">
        <f t="shared" si="38"/>
        <v>8.6411149825783955E-3</v>
      </c>
      <c r="AN40" s="272" t="str">
        <f t="shared" si="28"/>
        <v>#5 @ 5</v>
      </c>
      <c r="AP40" s="2">
        <f t="shared" si="40"/>
        <v>13.5</v>
      </c>
      <c r="AQ40" s="55">
        <f t="shared" si="41"/>
        <v>10.25</v>
      </c>
      <c r="AR40" s="169" t="str">
        <f t="shared" si="29"/>
        <v>#5 @ 5</v>
      </c>
      <c r="AS40" s="171" t="str">
        <f t="shared" si="42"/>
        <v>#5 @ 7</v>
      </c>
      <c r="AT40" s="253">
        <f t="shared" si="43"/>
        <v>-21.838222656249997</v>
      </c>
      <c r="AU40" s="108">
        <f t="shared" si="44"/>
        <v>18.793578124999996</v>
      </c>
      <c r="AV40" s="253">
        <f t="shared" si="31"/>
        <v>-23.272702941176473</v>
      </c>
      <c r="AW40" s="108">
        <f t="shared" si="32"/>
        <v>24.946702941176472</v>
      </c>
      <c r="AY40" s="156"/>
      <c r="AZ40" s="156"/>
      <c r="BA40" s="156">
        <f t="shared" si="33"/>
        <v>1.0656866773228879</v>
      </c>
      <c r="BB40" s="156">
        <f t="shared" si="34"/>
        <v>1.3274057114217825</v>
      </c>
      <c r="BC40" s="144">
        <f t="shared" si="35"/>
        <v>1.0656866773228879</v>
      </c>
      <c r="BD40" s="144">
        <f t="shared" si="36"/>
        <v>1.3274057114217825</v>
      </c>
    </row>
    <row r="41" spans="1:56" x14ac:dyDescent="0.2">
      <c r="A41" s="2">
        <v>13.75</v>
      </c>
      <c r="B41" s="222">
        <v>10.25</v>
      </c>
      <c r="C41" s="32">
        <f t="shared" si="9"/>
        <v>0.12812499999999999</v>
      </c>
      <c r="D41" s="253">
        <f t="shared" si="10"/>
        <v>-2.42236328125</v>
      </c>
      <c r="E41" s="99">
        <f t="shared" si="11"/>
        <v>1.9378906249999996</v>
      </c>
      <c r="F41" s="253">
        <f t="shared" si="12"/>
        <v>-0.94531250000000022</v>
      </c>
      <c r="G41" s="108">
        <f t="shared" si="13"/>
        <v>0.75624999999999998</v>
      </c>
      <c r="H41" s="294">
        <v>-10.27</v>
      </c>
      <c r="I41" s="99">
        <v>8.9</v>
      </c>
      <c r="J41" s="253">
        <f t="shared" si="45"/>
        <v>-22.4184228515625</v>
      </c>
      <c r="K41" s="108">
        <f t="shared" si="45"/>
        <v>19.131738281250001</v>
      </c>
      <c r="L41" s="238">
        <v>5</v>
      </c>
      <c r="M41" s="238">
        <v>5</v>
      </c>
      <c r="N41" s="298">
        <v>0.31</v>
      </c>
      <c r="O41" s="238">
        <v>0.625</v>
      </c>
      <c r="P41" s="44">
        <f t="shared" si="15"/>
        <v>0.74399999999999999</v>
      </c>
      <c r="Q41" s="257">
        <f t="shared" si="16"/>
        <v>7.4375</v>
      </c>
      <c r="R41" s="104">
        <f t="shared" si="17"/>
        <v>7.9375</v>
      </c>
      <c r="S41" s="287">
        <f t="shared" si="18"/>
        <v>8.3361344537815126E-3</v>
      </c>
      <c r="T41" s="115">
        <f t="shared" si="19"/>
        <v>7.8110236220472438E-3</v>
      </c>
      <c r="U41" s="125"/>
      <c r="V41" s="61">
        <f t="shared" si="20"/>
        <v>23.272702941176473</v>
      </c>
      <c r="W41" s="110">
        <f t="shared" si="21"/>
        <v>24.946702941176472</v>
      </c>
      <c r="X41" s="61">
        <f t="shared" si="22"/>
        <v>23.06919705882353</v>
      </c>
      <c r="Y41" s="101">
        <f t="shared" si="23"/>
        <v>24.743197058823529</v>
      </c>
      <c r="Z41" s="61">
        <f t="shared" si="24"/>
        <v>23.435507647058827</v>
      </c>
      <c r="AA41" s="110">
        <f t="shared" si="25"/>
        <v>25.109507647058823</v>
      </c>
      <c r="AB41" s="3">
        <f t="shared" si="0"/>
        <v>13.75</v>
      </c>
      <c r="AC41" s="55">
        <f t="shared" si="1"/>
        <v>10.25</v>
      </c>
      <c r="AD41" s="253">
        <f t="shared" si="2"/>
        <v>-22.4184228515625</v>
      </c>
      <c r="AE41" s="108">
        <f t="shared" si="3"/>
        <v>19.131738281250001</v>
      </c>
      <c r="AF41" s="280">
        <v>67</v>
      </c>
      <c r="AG41" s="43">
        <f t="shared" si="4"/>
        <v>0.49847999999999998</v>
      </c>
      <c r="AH41" s="245">
        <v>5</v>
      </c>
      <c r="AI41" s="26">
        <v>7</v>
      </c>
      <c r="AJ41" s="219" t="str">
        <f t="shared" si="37"/>
        <v>#5 @ 7</v>
      </c>
      <c r="AK41" s="44">
        <f t="shared" si="39"/>
        <v>0.53142857142857136</v>
      </c>
      <c r="AL41" s="234">
        <f t="shared" si="27"/>
        <v>0.71428571428571419</v>
      </c>
      <c r="AM41" s="43">
        <f t="shared" si="38"/>
        <v>8.6411149825783955E-3</v>
      </c>
      <c r="AN41" s="219" t="str">
        <f t="shared" si="28"/>
        <v>#5 @ 5</v>
      </c>
      <c r="AP41" s="8">
        <f t="shared" si="40"/>
        <v>13.75</v>
      </c>
      <c r="AQ41" s="57">
        <f t="shared" si="41"/>
        <v>10.25</v>
      </c>
      <c r="AR41" s="175" t="str">
        <f t="shared" si="29"/>
        <v>#5 @ 5</v>
      </c>
      <c r="AS41" s="171" t="str">
        <f t="shared" si="42"/>
        <v>#5 @ 7</v>
      </c>
      <c r="AT41" s="253">
        <f t="shared" si="43"/>
        <v>-22.4184228515625</v>
      </c>
      <c r="AU41" s="108">
        <f t="shared" si="44"/>
        <v>19.131738281250001</v>
      </c>
      <c r="AV41" s="61">
        <f t="shared" si="31"/>
        <v>-23.272702941176473</v>
      </c>
      <c r="AW41" s="110">
        <f t="shared" si="32"/>
        <v>24.946702941176472</v>
      </c>
      <c r="AY41" s="156"/>
      <c r="AZ41" s="156"/>
      <c r="BA41" s="156">
        <f t="shared" si="33"/>
        <v>1.0381061636347193</v>
      </c>
      <c r="BB41" s="156">
        <f t="shared" si="34"/>
        <v>1.3039433518503338</v>
      </c>
      <c r="BC41" s="144">
        <f t="shared" si="35"/>
        <v>1.0381061636347193</v>
      </c>
      <c r="BD41" s="144">
        <f t="shared" si="36"/>
        <v>1.3039433518503338</v>
      </c>
    </row>
    <row r="42" spans="1:56" x14ac:dyDescent="0.2">
      <c r="A42" s="17">
        <v>14</v>
      </c>
      <c r="B42" s="221">
        <v>10.5</v>
      </c>
      <c r="C42" s="42">
        <f t="shared" si="9"/>
        <v>0.13125000000000001</v>
      </c>
      <c r="D42" s="255">
        <f t="shared" si="10"/>
        <v>-2.5725000000000002</v>
      </c>
      <c r="E42" s="100">
        <f t="shared" si="11"/>
        <v>2.0580000000000003</v>
      </c>
      <c r="F42" s="255">
        <f t="shared" si="12"/>
        <v>-0.9800000000000002</v>
      </c>
      <c r="G42" s="109">
        <f t="shared" si="13"/>
        <v>0.78400000000000003</v>
      </c>
      <c r="H42" s="295">
        <v>-10.5</v>
      </c>
      <c r="I42" s="100">
        <v>9.02</v>
      </c>
      <c r="J42" s="255">
        <f t="shared" si="45"/>
        <v>-23.060625000000002</v>
      </c>
      <c r="K42" s="109">
        <f t="shared" si="45"/>
        <v>19.5335</v>
      </c>
      <c r="L42" s="236">
        <v>5</v>
      </c>
      <c r="M42" s="236">
        <v>5</v>
      </c>
      <c r="N42" s="297">
        <v>0.31</v>
      </c>
      <c r="O42" s="236">
        <v>0.625</v>
      </c>
      <c r="P42" s="43">
        <f t="shared" si="15"/>
        <v>0.74399999999999999</v>
      </c>
      <c r="Q42" s="195">
        <f t="shared" si="16"/>
        <v>7.6875</v>
      </c>
      <c r="R42" s="102">
        <f t="shared" si="17"/>
        <v>8.1875</v>
      </c>
      <c r="S42" s="288">
        <f t="shared" si="18"/>
        <v>8.0650406504065037E-3</v>
      </c>
      <c r="T42" s="116">
        <f t="shared" si="19"/>
        <v>7.5725190839694657E-3</v>
      </c>
      <c r="U42" s="125"/>
      <c r="V42" s="253">
        <f t="shared" si="20"/>
        <v>24.109702941176469</v>
      </c>
      <c r="W42" s="108">
        <f t="shared" si="21"/>
        <v>25.783702941176472</v>
      </c>
      <c r="X42" s="253">
        <f t="shared" si="22"/>
        <v>23.906197058823533</v>
      </c>
      <c r="Y42" s="99">
        <f t="shared" si="23"/>
        <v>25.580197058823529</v>
      </c>
      <c r="Z42" s="253">
        <f t="shared" si="24"/>
        <v>24.272507647058827</v>
      </c>
      <c r="AA42" s="108">
        <f t="shared" si="25"/>
        <v>25.946507647058823</v>
      </c>
      <c r="AB42" s="18">
        <f t="shared" si="0"/>
        <v>14</v>
      </c>
      <c r="AC42" s="56">
        <f t="shared" si="1"/>
        <v>10.5</v>
      </c>
      <c r="AD42" s="255">
        <f t="shared" si="2"/>
        <v>-23.060625000000002</v>
      </c>
      <c r="AE42" s="109">
        <f t="shared" si="3"/>
        <v>19.5335</v>
      </c>
      <c r="AF42" s="300">
        <v>67</v>
      </c>
      <c r="AG42" s="42">
        <f t="shared" si="4"/>
        <v>0.49847999999999998</v>
      </c>
      <c r="AH42" s="24">
        <v>5</v>
      </c>
      <c r="AI42" s="24">
        <v>7</v>
      </c>
      <c r="AJ42" s="218" t="str">
        <f t="shared" si="37"/>
        <v>#5 @ 7</v>
      </c>
      <c r="AK42" s="43">
        <f t="shared" si="39"/>
        <v>0.53142857142857136</v>
      </c>
      <c r="AL42" s="191">
        <f t="shared" si="27"/>
        <v>0.71428571428571419</v>
      </c>
      <c r="AM42" s="42">
        <f t="shared" si="38"/>
        <v>8.4353741496598633E-3</v>
      </c>
      <c r="AN42" s="272" t="str">
        <f t="shared" si="28"/>
        <v>#5 @ 5</v>
      </c>
      <c r="AP42" s="17">
        <f t="shared" si="40"/>
        <v>14</v>
      </c>
      <c r="AQ42" s="56">
        <f t="shared" si="41"/>
        <v>10.5</v>
      </c>
      <c r="AR42" s="169" t="str">
        <f t="shared" si="29"/>
        <v>#5 @ 5</v>
      </c>
      <c r="AS42" s="170" t="str">
        <f t="shared" si="42"/>
        <v>#5 @ 7</v>
      </c>
      <c r="AT42" s="255">
        <f t="shared" si="43"/>
        <v>-23.060625000000002</v>
      </c>
      <c r="AU42" s="109">
        <f t="shared" si="44"/>
        <v>19.5335</v>
      </c>
      <c r="AV42" s="253">
        <f t="shared" si="31"/>
        <v>-24.109702941176469</v>
      </c>
      <c r="AW42" s="108">
        <f t="shared" si="32"/>
        <v>25.783702941176472</v>
      </c>
      <c r="AY42" s="156"/>
      <c r="AZ42" s="156"/>
      <c r="BA42" s="156">
        <f t="shared" si="33"/>
        <v>1.0454921729648032</v>
      </c>
      <c r="BB42" s="156">
        <f t="shared" si="34"/>
        <v>1.3199735296376212</v>
      </c>
      <c r="BC42" s="144">
        <f t="shared" si="35"/>
        <v>1.0454921729648032</v>
      </c>
      <c r="BD42" s="144">
        <f t="shared" si="36"/>
        <v>1.3199735296376212</v>
      </c>
    </row>
    <row r="43" spans="1:56" x14ac:dyDescent="0.2">
      <c r="A43" s="2">
        <v>14.25</v>
      </c>
      <c r="B43" s="221">
        <v>10.5</v>
      </c>
      <c r="C43" s="43">
        <f t="shared" si="9"/>
        <v>0.13125000000000001</v>
      </c>
      <c r="D43" s="253">
        <f t="shared" si="10"/>
        <v>-2.6651953125000003</v>
      </c>
      <c r="E43" s="99">
        <f t="shared" si="11"/>
        <v>2.13215625</v>
      </c>
      <c r="F43" s="253">
        <f t="shared" si="12"/>
        <v>-1.0153125000000003</v>
      </c>
      <c r="G43" s="108">
        <f t="shared" si="13"/>
        <v>0.81225000000000003</v>
      </c>
      <c r="H43" s="294">
        <v>-10.72</v>
      </c>
      <c r="I43" s="99">
        <v>9.14</v>
      </c>
      <c r="J43" s="253">
        <f t="shared" si="45"/>
        <v>-23.614462890625003</v>
      </c>
      <c r="K43" s="108">
        <f t="shared" si="45"/>
        <v>19.878570312500003</v>
      </c>
      <c r="L43" s="236">
        <v>5</v>
      </c>
      <c r="M43" s="236">
        <v>5</v>
      </c>
      <c r="N43" s="297">
        <v>0.31</v>
      </c>
      <c r="O43" s="236">
        <v>0.625</v>
      </c>
      <c r="P43" s="43">
        <f t="shared" si="15"/>
        <v>0.74399999999999999</v>
      </c>
      <c r="Q43" s="195">
        <f t="shared" si="16"/>
        <v>7.6875</v>
      </c>
      <c r="R43" s="102">
        <f t="shared" si="17"/>
        <v>8.1875</v>
      </c>
      <c r="S43" s="287">
        <f t="shared" si="18"/>
        <v>8.0650406504065037E-3</v>
      </c>
      <c r="T43" s="115">
        <f t="shared" si="19"/>
        <v>7.5725190839694657E-3</v>
      </c>
      <c r="U43" s="125"/>
      <c r="V43" s="253">
        <f t="shared" si="20"/>
        <v>24.109702941176469</v>
      </c>
      <c r="W43" s="108">
        <f t="shared" si="21"/>
        <v>25.783702941176472</v>
      </c>
      <c r="X43" s="253">
        <f t="shared" si="22"/>
        <v>23.906197058823533</v>
      </c>
      <c r="Y43" s="99">
        <f t="shared" si="23"/>
        <v>25.580197058823529</v>
      </c>
      <c r="Z43" s="253">
        <f t="shared" si="24"/>
        <v>24.272507647058827</v>
      </c>
      <c r="AA43" s="108">
        <f t="shared" si="25"/>
        <v>25.946507647058823</v>
      </c>
      <c r="AB43" s="3">
        <f t="shared" si="0"/>
        <v>14.25</v>
      </c>
      <c r="AC43" s="55">
        <f t="shared" si="1"/>
        <v>10.5</v>
      </c>
      <c r="AD43" s="253">
        <f t="shared" si="2"/>
        <v>-23.614462890625003</v>
      </c>
      <c r="AE43" s="108">
        <f t="shared" si="3"/>
        <v>19.878570312500003</v>
      </c>
      <c r="AF43" s="279">
        <v>67</v>
      </c>
      <c r="AG43" s="43">
        <f t="shared" si="4"/>
        <v>0.49847999999999998</v>
      </c>
      <c r="AH43" s="24">
        <v>5</v>
      </c>
      <c r="AI43" s="24">
        <v>7</v>
      </c>
      <c r="AJ43" s="218" t="str">
        <f t="shared" si="37"/>
        <v>#5 @ 7</v>
      </c>
      <c r="AK43" s="43">
        <f t="shared" si="39"/>
        <v>0.53142857142857136</v>
      </c>
      <c r="AL43" s="191">
        <f t="shared" si="27"/>
        <v>0.71428571428571419</v>
      </c>
      <c r="AM43" s="43">
        <f t="shared" si="38"/>
        <v>8.4353741496598633E-3</v>
      </c>
      <c r="AN43" s="272" t="str">
        <f t="shared" si="28"/>
        <v>#5 @ 5</v>
      </c>
      <c r="AP43" s="2">
        <f t="shared" si="40"/>
        <v>14.25</v>
      </c>
      <c r="AQ43" s="55">
        <f t="shared" si="41"/>
        <v>10.5</v>
      </c>
      <c r="AR43" s="169" t="str">
        <f t="shared" si="29"/>
        <v>#5 @ 5</v>
      </c>
      <c r="AS43" s="171" t="str">
        <f t="shared" si="42"/>
        <v>#5 @ 7</v>
      </c>
      <c r="AT43" s="253">
        <f t="shared" si="43"/>
        <v>-23.614462890625003</v>
      </c>
      <c r="AU43" s="108">
        <f t="shared" si="44"/>
        <v>19.878570312500003</v>
      </c>
      <c r="AV43" s="253">
        <f t="shared" si="31"/>
        <v>-24.109702941176469</v>
      </c>
      <c r="AW43" s="108">
        <f t="shared" si="32"/>
        <v>25.783702941176472</v>
      </c>
      <c r="AY43" s="156"/>
      <c r="AZ43" s="156"/>
      <c r="BA43" s="156">
        <f t="shared" si="33"/>
        <v>1.0209718956067417</v>
      </c>
      <c r="BB43" s="156">
        <f t="shared" si="34"/>
        <v>1.297060227966355</v>
      </c>
      <c r="BC43" s="144">
        <f t="shared" si="35"/>
        <v>1.0209718956067417</v>
      </c>
      <c r="BD43" s="144">
        <f t="shared" si="36"/>
        <v>1.297060227966355</v>
      </c>
    </row>
    <row r="44" spans="1:56" x14ac:dyDescent="0.2">
      <c r="A44" s="2">
        <v>14.5</v>
      </c>
      <c r="B44" s="221">
        <v>10.75</v>
      </c>
      <c r="C44" s="43">
        <f t="shared" si="9"/>
        <v>0.13437499999999999</v>
      </c>
      <c r="D44" s="253">
        <f t="shared" si="10"/>
        <v>-2.825234375</v>
      </c>
      <c r="E44" s="99">
        <f t="shared" si="11"/>
        <v>2.2601874999999998</v>
      </c>
      <c r="F44" s="253">
        <f t="shared" si="12"/>
        <v>-1.0512500000000002</v>
      </c>
      <c r="G44" s="108">
        <f t="shared" si="13"/>
        <v>0.84099999999999997</v>
      </c>
      <c r="H44" s="294">
        <v>-10.94</v>
      </c>
      <c r="I44" s="99">
        <v>9.25</v>
      </c>
      <c r="J44" s="253">
        <f t="shared" si="45"/>
        <v>-24.25341796875</v>
      </c>
      <c r="K44" s="108">
        <f t="shared" si="45"/>
        <v>20.274234374999999</v>
      </c>
      <c r="L44" s="236">
        <v>5</v>
      </c>
      <c r="M44" s="236">
        <v>5</v>
      </c>
      <c r="N44" s="297">
        <v>0.31</v>
      </c>
      <c r="O44" s="236">
        <v>0.625</v>
      </c>
      <c r="P44" s="43">
        <f t="shared" si="15"/>
        <v>0.74399999999999999</v>
      </c>
      <c r="Q44" s="195">
        <f t="shared" si="16"/>
        <v>7.9375</v>
      </c>
      <c r="R44" s="102">
        <f t="shared" si="17"/>
        <v>8.4375</v>
      </c>
      <c r="S44" s="287">
        <f t="shared" si="18"/>
        <v>7.8110236220472438E-3</v>
      </c>
      <c r="T44" s="115">
        <f t="shared" si="19"/>
        <v>7.3481481481481479E-3</v>
      </c>
      <c r="U44" s="125"/>
      <c r="V44" s="253">
        <f t="shared" si="20"/>
        <v>24.946702941176472</v>
      </c>
      <c r="W44" s="108">
        <f t="shared" si="21"/>
        <v>26.620702941176472</v>
      </c>
      <c r="X44" s="253">
        <f t="shared" si="22"/>
        <v>24.743197058823529</v>
      </c>
      <c r="Y44" s="99">
        <f t="shared" si="23"/>
        <v>26.417197058823533</v>
      </c>
      <c r="Z44" s="253">
        <f t="shared" si="24"/>
        <v>25.109507647058823</v>
      </c>
      <c r="AA44" s="108">
        <f t="shared" si="25"/>
        <v>26.783507647058826</v>
      </c>
      <c r="AB44" s="3">
        <f t="shared" si="0"/>
        <v>14.5</v>
      </c>
      <c r="AC44" s="55">
        <f t="shared" si="1"/>
        <v>10.75</v>
      </c>
      <c r="AD44" s="253">
        <f t="shared" si="2"/>
        <v>-24.25341796875</v>
      </c>
      <c r="AE44" s="108">
        <f t="shared" si="3"/>
        <v>20.274234374999999</v>
      </c>
      <c r="AF44" s="279">
        <v>67</v>
      </c>
      <c r="AG44" s="43">
        <f t="shared" si="4"/>
        <v>0.49847999999999998</v>
      </c>
      <c r="AH44" s="24">
        <v>5</v>
      </c>
      <c r="AI44" s="24">
        <v>7</v>
      </c>
      <c r="AJ44" s="218" t="str">
        <f t="shared" si="37"/>
        <v>#5 @ 7</v>
      </c>
      <c r="AK44" s="43">
        <f t="shared" si="39"/>
        <v>0.53142857142857136</v>
      </c>
      <c r="AL44" s="191">
        <f t="shared" si="27"/>
        <v>0.71428571428571419</v>
      </c>
      <c r="AM44" s="43">
        <f t="shared" si="38"/>
        <v>8.2392026578073079E-3</v>
      </c>
      <c r="AN44" s="272" t="str">
        <f t="shared" si="28"/>
        <v>#5 @ 5</v>
      </c>
      <c r="AP44" s="2">
        <f t="shared" si="40"/>
        <v>14.5</v>
      </c>
      <c r="AQ44" s="55">
        <f t="shared" si="41"/>
        <v>10.75</v>
      </c>
      <c r="AR44" s="169" t="str">
        <f t="shared" si="29"/>
        <v>#5 @ 5</v>
      </c>
      <c r="AS44" s="171" t="str">
        <f t="shared" si="42"/>
        <v>#5 @ 7</v>
      </c>
      <c r="AT44" s="253">
        <f t="shared" si="43"/>
        <v>-24.25341796875</v>
      </c>
      <c r="AU44" s="108">
        <f t="shared" si="44"/>
        <v>20.274234374999999</v>
      </c>
      <c r="AV44" s="253">
        <f t="shared" si="31"/>
        <v>-24.946702941176472</v>
      </c>
      <c r="AW44" s="108">
        <f t="shared" si="32"/>
        <v>26.620702941176472</v>
      </c>
      <c r="AY44" s="156"/>
      <c r="AZ44" s="156"/>
      <c r="BA44" s="156">
        <f t="shared" si="33"/>
        <v>1.0285850420472593</v>
      </c>
      <c r="BB44" s="156">
        <f t="shared" si="34"/>
        <v>1.3130312320943796</v>
      </c>
      <c r="BC44" s="144">
        <f t="shared" si="35"/>
        <v>1.0285850420472593</v>
      </c>
      <c r="BD44" s="144">
        <f t="shared" si="36"/>
        <v>1.3130312320943796</v>
      </c>
    </row>
    <row r="45" spans="1:56" x14ac:dyDescent="0.2">
      <c r="A45" s="2">
        <v>14.75</v>
      </c>
      <c r="B45" s="221">
        <v>10.75</v>
      </c>
      <c r="C45" s="43">
        <f t="shared" si="9"/>
        <v>0.13437499999999999</v>
      </c>
      <c r="D45" s="253">
        <f t="shared" si="10"/>
        <v>-2.9234960937499999</v>
      </c>
      <c r="E45" s="99">
        <f t="shared" si="11"/>
        <v>2.3387968749999999</v>
      </c>
      <c r="F45" s="253">
        <f t="shared" si="12"/>
        <v>-1.0878125000000003</v>
      </c>
      <c r="G45" s="108">
        <f t="shared" si="13"/>
        <v>0.87024999999999997</v>
      </c>
      <c r="H45" s="294">
        <v>-11.16</v>
      </c>
      <c r="I45" s="99">
        <v>9.36</v>
      </c>
      <c r="J45" s="253">
        <f t="shared" si="45"/>
        <v>-24.816088867187503</v>
      </c>
      <c r="K45" s="108">
        <f t="shared" si="45"/>
        <v>20.608871093749997</v>
      </c>
      <c r="L45" s="236">
        <v>5</v>
      </c>
      <c r="M45" s="236">
        <v>5</v>
      </c>
      <c r="N45" s="297">
        <v>0.31</v>
      </c>
      <c r="O45" s="236">
        <v>0.625</v>
      </c>
      <c r="P45" s="43">
        <f t="shared" si="15"/>
        <v>0.74399999999999999</v>
      </c>
      <c r="Q45" s="195">
        <f t="shared" si="16"/>
        <v>7.9375</v>
      </c>
      <c r="R45" s="102">
        <f t="shared" si="17"/>
        <v>8.4375</v>
      </c>
      <c r="S45" s="287">
        <f t="shared" si="18"/>
        <v>7.8110236220472438E-3</v>
      </c>
      <c r="T45" s="115">
        <f t="shared" si="19"/>
        <v>7.3481481481481479E-3</v>
      </c>
      <c r="U45" s="125"/>
      <c r="V45" s="253">
        <f t="shared" si="20"/>
        <v>24.946702941176472</v>
      </c>
      <c r="W45" s="108">
        <f t="shared" si="21"/>
        <v>26.620702941176472</v>
      </c>
      <c r="X45" s="253">
        <f t="shared" si="22"/>
        <v>24.743197058823529</v>
      </c>
      <c r="Y45" s="99">
        <f t="shared" si="23"/>
        <v>26.417197058823533</v>
      </c>
      <c r="Z45" s="253">
        <f t="shared" si="24"/>
        <v>25.109507647058823</v>
      </c>
      <c r="AA45" s="108">
        <f t="shared" si="25"/>
        <v>26.783507647058826</v>
      </c>
      <c r="AB45" s="3">
        <f t="shared" si="0"/>
        <v>14.75</v>
      </c>
      <c r="AC45" s="55">
        <f t="shared" si="1"/>
        <v>10.75</v>
      </c>
      <c r="AD45" s="253">
        <f t="shared" si="2"/>
        <v>-24.816088867187503</v>
      </c>
      <c r="AE45" s="108">
        <f t="shared" si="3"/>
        <v>20.608871093749997</v>
      </c>
      <c r="AF45" s="279">
        <v>67</v>
      </c>
      <c r="AG45" s="43">
        <f t="shared" si="4"/>
        <v>0.49847999999999998</v>
      </c>
      <c r="AH45" s="24">
        <v>5</v>
      </c>
      <c r="AI45" s="24">
        <v>7</v>
      </c>
      <c r="AJ45" s="218" t="str">
        <f t="shared" si="37"/>
        <v>#5 @ 7</v>
      </c>
      <c r="AK45" s="43">
        <f t="shared" si="39"/>
        <v>0.53142857142857136</v>
      </c>
      <c r="AL45" s="191">
        <f t="shared" si="27"/>
        <v>0.71428571428571419</v>
      </c>
      <c r="AM45" s="43">
        <f t="shared" si="38"/>
        <v>8.2392026578073079E-3</v>
      </c>
      <c r="AN45" s="272" t="str">
        <f t="shared" si="28"/>
        <v>#5 @ 5</v>
      </c>
      <c r="AP45" s="2">
        <f t="shared" si="40"/>
        <v>14.75</v>
      </c>
      <c r="AQ45" s="55">
        <f t="shared" si="41"/>
        <v>10.75</v>
      </c>
      <c r="AR45" s="169" t="str">
        <f t="shared" si="29"/>
        <v>#5 @ 5</v>
      </c>
      <c r="AS45" s="171" t="str">
        <f t="shared" si="42"/>
        <v>#5 @ 7</v>
      </c>
      <c r="AT45" s="294">
        <f t="shared" si="43"/>
        <v>-24.816088867187503</v>
      </c>
      <c r="AU45" s="108">
        <f t="shared" si="44"/>
        <v>20.608871093749997</v>
      </c>
      <c r="AV45" s="253">
        <f t="shared" si="31"/>
        <v>-24.946702941176472</v>
      </c>
      <c r="AW45" s="108">
        <f t="shared" si="32"/>
        <v>26.620702941176472</v>
      </c>
      <c r="AY45" s="156"/>
      <c r="AZ45" s="156"/>
      <c r="BA45" s="156">
        <f t="shared" si="33"/>
        <v>1.0052632820057987</v>
      </c>
      <c r="BB45" s="156">
        <f t="shared" si="34"/>
        <v>1.2917108763540992</v>
      </c>
      <c r="BC45" s="144">
        <f t="shared" si="35"/>
        <v>1.0052632820057987</v>
      </c>
      <c r="BD45" s="144">
        <f t="shared" si="36"/>
        <v>1.2917108763540992</v>
      </c>
    </row>
    <row r="46" spans="1:56" x14ac:dyDescent="0.2">
      <c r="A46" s="8">
        <v>15</v>
      </c>
      <c r="B46" s="222">
        <v>11</v>
      </c>
      <c r="C46" s="44">
        <f t="shared" si="9"/>
        <v>0.13749999999999998</v>
      </c>
      <c r="D46" s="61">
        <f t="shared" si="10"/>
        <v>-3.0937499999999996</v>
      </c>
      <c r="E46" s="101">
        <f t="shared" si="11"/>
        <v>2.4749999999999996</v>
      </c>
      <c r="F46" s="61">
        <f t="shared" si="12"/>
        <v>-1.1250000000000002</v>
      </c>
      <c r="G46" s="110">
        <f t="shared" si="13"/>
        <v>0.9</v>
      </c>
      <c r="H46" s="296">
        <v>-11.37</v>
      </c>
      <c r="I46" s="101">
        <v>9.4700000000000006</v>
      </c>
      <c r="J46" s="61">
        <f t="shared" si="45"/>
        <v>-25.452187499999997</v>
      </c>
      <c r="K46" s="110">
        <f t="shared" si="45"/>
        <v>21.016249999999999</v>
      </c>
      <c r="L46" s="238">
        <v>5</v>
      </c>
      <c r="M46" s="238">
        <v>5</v>
      </c>
      <c r="N46" s="298">
        <v>0.31</v>
      </c>
      <c r="O46" s="238">
        <v>0.625</v>
      </c>
      <c r="P46" s="44">
        <f t="shared" si="15"/>
        <v>0.74399999999999999</v>
      </c>
      <c r="Q46" s="257">
        <f t="shared" si="16"/>
        <v>8.1875</v>
      </c>
      <c r="R46" s="104">
        <f t="shared" si="17"/>
        <v>8.6875</v>
      </c>
      <c r="S46" s="289">
        <f t="shared" si="18"/>
        <v>7.5725190839694657E-3</v>
      </c>
      <c r="T46" s="117">
        <f t="shared" si="19"/>
        <v>7.1366906474820144E-3</v>
      </c>
      <c r="U46" s="125"/>
      <c r="V46" s="61">
        <f t="shared" si="20"/>
        <v>25.783702941176472</v>
      </c>
      <c r="W46" s="110">
        <f t="shared" si="21"/>
        <v>27.457702941176475</v>
      </c>
      <c r="X46" s="61">
        <f t="shared" si="22"/>
        <v>25.580197058823529</v>
      </c>
      <c r="Y46" s="101">
        <f t="shared" si="23"/>
        <v>27.254197058823532</v>
      </c>
      <c r="Z46" s="61">
        <f t="shared" si="24"/>
        <v>25.946507647058823</v>
      </c>
      <c r="AA46" s="110">
        <f t="shared" si="25"/>
        <v>27.620507647058826</v>
      </c>
      <c r="AB46" s="9">
        <f t="shared" si="0"/>
        <v>15</v>
      </c>
      <c r="AC46" s="57">
        <f t="shared" si="1"/>
        <v>11</v>
      </c>
      <c r="AD46" s="61">
        <f t="shared" si="2"/>
        <v>-25.452187499999997</v>
      </c>
      <c r="AE46" s="110">
        <f t="shared" si="3"/>
        <v>21.016249999999999</v>
      </c>
      <c r="AF46" s="280">
        <v>67</v>
      </c>
      <c r="AG46" s="44">
        <f t="shared" si="4"/>
        <v>0.49847999999999998</v>
      </c>
      <c r="AH46" s="26">
        <v>5</v>
      </c>
      <c r="AI46" s="26">
        <v>7</v>
      </c>
      <c r="AJ46" s="219" t="str">
        <f t="shared" si="37"/>
        <v>#5 @ 7</v>
      </c>
      <c r="AK46" s="44">
        <f t="shared" si="39"/>
        <v>0.53142857142857136</v>
      </c>
      <c r="AL46" s="234">
        <f t="shared" si="27"/>
        <v>0.71428571428571419</v>
      </c>
      <c r="AM46" s="44">
        <f t="shared" si="38"/>
        <v>8.0519480519480515E-3</v>
      </c>
      <c r="AN46" s="219" t="str">
        <f t="shared" si="28"/>
        <v>#5 @ 5</v>
      </c>
      <c r="AP46" s="8">
        <f t="shared" si="40"/>
        <v>15</v>
      </c>
      <c r="AQ46" s="57">
        <f t="shared" si="41"/>
        <v>11</v>
      </c>
      <c r="AR46" s="175" t="str">
        <f t="shared" si="29"/>
        <v>#5 @ 5</v>
      </c>
      <c r="AS46" s="172" t="str">
        <f t="shared" si="42"/>
        <v>#5 @ 7</v>
      </c>
      <c r="AT46" s="61">
        <f t="shared" si="43"/>
        <v>-25.452187499999997</v>
      </c>
      <c r="AU46" s="110">
        <f t="shared" si="44"/>
        <v>21.016249999999999</v>
      </c>
      <c r="AV46" s="61">
        <f t="shared" si="31"/>
        <v>-25.783702941176472</v>
      </c>
      <c r="AW46" s="110">
        <f t="shared" si="32"/>
        <v>27.457702941176475</v>
      </c>
      <c r="AY46" s="156"/>
      <c r="AZ46" s="156"/>
      <c r="BA46" s="156">
        <f t="shared" si="33"/>
        <v>1.0130250274628252</v>
      </c>
      <c r="BB46" s="156">
        <f t="shared" si="34"/>
        <v>1.3064986827419962</v>
      </c>
      <c r="BC46" s="144">
        <f t="shared" si="35"/>
        <v>1.0130250274628252</v>
      </c>
      <c r="BD46" s="144">
        <f t="shared" si="36"/>
        <v>1.3064986827419962</v>
      </c>
    </row>
    <row r="47" spans="1:56" x14ac:dyDescent="0.2">
      <c r="Q47" s="140" t="s">
        <v>113</v>
      </c>
      <c r="R47" s="140" t="s">
        <v>113</v>
      </c>
      <c r="S47" s="140" t="s">
        <v>113</v>
      </c>
      <c r="T47" s="140" t="s">
        <v>113</v>
      </c>
      <c r="AM47" s="140" t="s">
        <v>113</v>
      </c>
      <c r="AR47" s="140" t="s">
        <v>113</v>
      </c>
      <c r="AS47" s="140" t="s">
        <v>113</v>
      </c>
      <c r="AT47" s="140" t="s">
        <v>113</v>
      </c>
      <c r="AU47" s="140" t="s">
        <v>113</v>
      </c>
      <c r="AV47" s="140" t="s">
        <v>113</v>
      </c>
      <c r="AW47" s="140" t="s">
        <v>113</v>
      </c>
      <c r="AY47" s="156">
        <f>MIN(AY6:AY46)</f>
        <v>0</v>
      </c>
      <c r="AZ47" s="156">
        <f t="shared" ref="AZ47:BB47" si="46">MIN(AZ6:AZ46)</f>
        <v>0</v>
      </c>
      <c r="BA47" s="203">
        <f t="shared" si="46"/>
        <v>1.0052632820057987</v>
      </c>
      <c r="BB47" s="155">
        <f t="shared" si="46"/>
        <v>1.0037293236665794</v>
      </c>
    </row>
    <row r="48" spans="1:56" x14ac:dyDescent="0.2">
      <c r="B48" s="3"/>
      <c r="L48" s="166"/>
      <c r="M48" s="166"/>
      <c r="N48" s="166"/>
      <c r="O48" s="166"/>
      <c r="AQ48" s="134"/>
    </row>
    <row r="49" spans="2:45" x14ac:dyDescent="0.2">
      <c r="B49" s="3"/>
      <c r="L49" s="166"/>
      <c r="M49" s="166"/>
      <c r="N49" s="166"/>
      <c r="O49" s="166"/>
      <c r="AQ49" s="59"/>
      <c r="AR49" s="59"/>
      <c r="AS49" s="59"/>
    </row>
    <row r="50" spans="2:45" x14ac:dyDescent="0.2">
      <c r="B50" s="3"/>
      <c r="L50" s="166"/>
      <c r="M50" s="166"/>
      <c r="N50" s="166"/>
      <c r="O50" s="166"/>
      <c r="AK50" s="141"/>
    </row>
    <row r="51" spans="2:45" x14ac:dyDescent="0.2">
      <c r="B51" s="3"/>
      <c r="L51" s="166"/>
      <c r="M51" s="166"/>
      <c r="N51" s="166"/>
      <c r="O51" s="166"/>
    </row>
    <row r="52" spans="2:45" x14ac:dyDescent="0.2">
      <c r="B52" s="3"/>
      <c r="L52" s="166"/>
      <c r="M52" s="166"/>
      <c r="N52" s="166"/>
      <c r="O52" s="166"/>
    </row>
    <row r="53" spans="2:45" x14ac:dyDescent="0.2">
      <c r="B53" s="3"/>
      <c r="L53" s="166"/>
      <c r="M53" s="166"/>
      <c r="N53" s="166"/>
      <c r="O53" s="166"/>
    </row>
    <row r="54" spans="2:45" x14ac:dyDescent="0.2">
      <c r="B54" s="3"/>
      <c r="L54" s="166"/>
      <c r="M54" s="166"/>
      <c r="N54" s="166"/>
      <c r="O54" s="166"/>
    </row>
    <row r="55" spans="2:45" x14ac:dyDescent="0.2">
      <c r="B55" s="3"/>
      <c r="L55" s="166"/>
      <c r="M55" s="166"/>
      <c r="N55" s="166"/>
      <c r="O55" s="166"/>
    </row>
    <row r="56" spans="2:45" x14ac:dyDescent="0.2">
      <c r="B56" s="3"/>
      <c r="L56" s="166"/>
      <c r="M56" s="166"/>
      <c r="N56" s="166"/>
      <c r="O56" s="166"/>
    </row>
    <row r="57" spans="2:45" x14ac:dyDescent="0.2">
      <c r="B57" s="3"/>
      <c r="L57" s="166"/>
      <c r="M57" s="166"/>
      <c r="N57" s="166"/>
      <c r="O57" s="166"/>
    </row>
    <row r="58" spans="2:45" x14ac:dyDescent="0.2">
      <c r="B58" s="3"/>
      <c r="L58" s="166"/>
      <c r="M58" s="166"/>
      <c r="N58" s="166"/>
      <c r="O58" s="166"/>
    </row>
    <row r="59" spans="2:45" x14ac:dyDescent="0.2">
      <c r="B59" s="3"/>
      <c r="L59" s="166"/>
      <c r="M59" s="166"/>
      <c r="N59" s="166"/>
      <c r="O59" s="166"/>
    </row>
    <row r="60" spans="2:45" x14ac:dyDescent="0.2">
      <c r="B60" s="3"/>
      <c r="L60" s="166"/>
      <c r="M60" s="166"/>
      <c r="N60" s="166"/>
      <c r="O60" s="166"/>
    </row>
    <row r="61" spans="2:45" x14ac:dyDescent="0.2">
      <c r="B61" s="3"/>
      <c r="L61" s="166"/>
      <c r="M61" s="166"/>
      <c r="N61" s="166"/>
      <c r="O61" s="166"/>
    </row>
    <row r="62" spans="2:45" x14ac:dyDescent="0.2">
      <c r="B62" s="3"/>
      <c r="L62" s="166"/>
      <c r="M62" s="166"/>
      <c r="N62" s="166"/>
      <c r="O62" s="166"/>
    </row>
    <row r="63" spans="2:45" x14ac:dyDescent="0.2">
      <c r="B63" s="3"/>
      <c r="L63" s="166"/>
      <c r="M63" s="166"/>
      <c r="N63" s="166"/>
      <c r="O63" s="166"/>
    </row>
    <row r="64" spans="2:45" x14ac:dyDescent="0.2">
      <c r="B64" s="3"/>
      <c r="L64" s="166"/>
      <c r="M64" s="166"/>
      <c r="N64" s="166"/>
      <c r="O64" s="166"/>
    </row>
    <row r="65" spans="2:15" x14ac:dyDescent="0.2">
      <c r="B65" s="3"/>
      <c r="L65" s="166"/>
      <c r="M65" s="166"/>
      <c r="N65" s="166"/>
      <c r="O65" s="166"/>
    </row>
    <row r="66" spans="2:15" x14ac:dyDescent="0.2">
      <c r="B66" s="3"/>
      <c r="L66" s="166"/>
      <c r="M66" s="166"/>
      <c r="N66" s="166"/>
      <c r="O66" s="166"/>
    </row>
    <row r="67" spans="2:15" x14ac:dyDescent="0.2">
      <c r="B67" s="3"/>
      <c r="L67" s="166"/>
      <c r="M67" s="166"/>
      <c r="N67" s="166"/>
      <c r="O67" s="166"/>
    </row>
    <row r="68" spans="2:15" x14ac:dyDescent="0.2">
      <c r="B68" s="3"/>
      <c r="L68" s="166"/>
      <c r="M68" s="166"/>
      <c r="N68" s="166"/>
      <c r="O68" s="166"/>
    </row>
    <row r="69" spans="2:15" x14ac:dyDescent="0.2">
      <c r="B69" s="3"/>
      <c r="L69" s="166"/>
      <c r="M69" s="166"/>
      <c r="N69" s="166"/>
      <c r="O69" s="166"/>
    </row>
    <row r="70" spans="2:15" x14ac:dyDescent="0.2">
      <c r="B70" s="3"/>
      <c r="L70" s="166"/>
      <c r="M70" s="166"/>
      <c r="N70" s="166"/>
      <c r="O70" s="166"/>
    </row>
    <row r="71" spans="2:15" x14ac:dyDescent="0.2">
      <c r="B71" s="198"/>
      <c r="L71" s="166"/>
      <c r="M71" s="166"/>
      <c r="N71" s="166"/>
      <c r="O71" s="166"/>
    </row>
    <row r="72" spans="2:15" x14ac:dyDescent="0.2">
      <c r="B72" s="3"/>
      <c r="L72" s="166"/>
      <c r="M72" s="166"/>
      <c r="N72" s="166"/>
      <c r="O72" s="166"/>
    </row>
    <row r="73" spans="2:15" x14ac:dyDescent="0.2">
      <c r="B73" s="199"/>
      <c r="L73" s="166"/>
      <c r="M73" s="166"/>
      <c r="N73" s="166"/>
      <c r="O73" s="166"/>
    </row>
    <row r="74" spans="2:15" x14ac:dyDescent="0.2">
      <c r="B74" s="3"/>
      <c r="L74" s="166"/>
      <c r="M74" s="166"/>
      <c r="N74" s="166"/>
      <c r="O74" s="166"/>
    </row>
    <row r="75" spans="2:15" x14ac:dyDescent="0.2">
      <c r="B75" s="199"/>
      <c r="L75" s="166"/>
      <c r="M75" s="166"/>
      <c r="N75" s="166"/>
      <c r="O75" s="166"/>
    </row>
    <row r="76" spans="2:15" x14ac:dyDescent="0.2">
      <c r="B76" s="3"/>
      <c r="L76" s="166"/>
      <c r="M76" s="166"/>
      <c r="N76" s="166"/>
      <c r="O76" s="166"/>
    </row>
    <row r="77" spans="2:15" x14ac:dyDescent="0.2">
      <c r="B77" s="3"/>
      <c r="L77" s="166"/>
      <c r="M77" s="166"/>
      <c r="N77" s="166"/>
      <c r="O77" s="166"/>
    </row>
    <row r="78" spans="2:15" x14ac:dyDescent="0.2">
      <c r="B78" s="3"/>
      <c r="L78" s="166"/>
      <c r="M78" s="166"/>
      <c r="N78" s="166"/>
      <c r="O78" s="166"/>
    </row>
    <row r="79" spans="2:15" x14ac:dyDescent="0.2">
      <c r="B79" s="3"/>
      <c r="L79" s="166"/>
      <c r="M79" s="166"/>
      <c r="N79" s="166"/>
      <c r="O79" s="166"/>
    </row>
    <row r="80" spans="2:15" x14ac:dyDescent="0.2">
      <c r="B80" s="3"/>
      <c r="L80" s="166"/>
      <c r="M80" s="166"/>
      <c r="N80" s="166"/>
      <c r="O80" s="166"/>
    </row>
    <row r="81" spans="2:15" x14ac:dyDescent="0.2">
      <c r="B81" s="3"/>
      <c r="L81" s="166"/>
      <c r="M81" s="166"/>
      <c r="N81" s="166"/>
      <c r="O81" s="166"/>
    </row>
    <row r="82" spans="2:15" x14ac:dyDescent="0.2">
      <c r="B82" s="3"/>
      <c r="L82" s="166"/>
      <c r="M82" s="166"/>
      <c r="N82" s="166"/>
      <c r="O82" s="166"/>
    </row>
    <row r="83" spans="2:15" x14ac:dyDescent="0.2">
      <c r="B83" s="3"/>
      <c r="L83" s="166"/>
      <c r="M83" s="166"/>
      <c r="N83" s="166"/>
      <c r="O83" s="166"/>
    </row>
    <row r="84" spans="2:15" x14ac:dyDescent="0.2">
      <c r="B84" s="3"/>
      <c r="L84" s="166"/>
      <c r="M84" s="166"/>
      <c r="N84" s="166"/>
      <c r="O84" s="166"/>
    </row>
    <row r="85" spans="2:15" x14ac:dyDescent="0.2">
      <c r="B85" s="3"/>
      <c r="L85" s="166"/>
      <c r="M85" s="166"/>
      <c r="N85" s="166"/>
      <c r="O85" s="166"/>
    </row>
    <row r="86" spans="2:15" x14ac:dyDescent="0.2">
      <c r="B86" s="3"/>
      <c r="L86" s="166"/>
      <c r="M86" s="166"/>
      <c r="N86" s="166"/>
      <c r="O86" s="166"/>
    </row>
    <row r="87" spans="2:15" x14ac:dyDescent="0.2">
      <c r="B87" s="3"/>
      <c r="L87" s="166"/>
      <c r="M87" s="166"/>
      <c r="N87" s="166"/>
      <c r="O87" s="166"/>
    </row>
    <row r="88" spans="2:15" x14ac:dyDescent="0.2">
      <c r="B88" s="3"/>
      <c r="L88" s="166"/>
      <c r="M88" s="166"/>
      <c r="N88" s="166"/>
      <c r="O88" s="166"/>
    </row>
  </sheetData>
  <mergeCells count="6">
    <mergeCell ref="AT4:AU4"/>
    <mergeCell ref="AV4:AW4"/>
    <mergeCell ref="AP1:AW1"/>
    <mergeCell ref="AP2:AW2"/>
    <mergeCell ref="AR4:AS4"/>
    <mergeCell ref="AP3:AW3"/>
  </mergeCells>
  <phoneticPr fontId="2" type="noConversion"/>
  <pageMargins left="1.25" right="0.75" top="0.75" bottom="0.75" header="0.5" footer="0.5"/>
  <pageSetup scale="8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9"/>
  <sheetViews>
    <sheetView topLeftCell="B1" workbookViewId="0">
      <selection activeCell="P18" sqref="P18"/>
    </sheetView>
  </sheetViews>
  <sheetFormatPr defaultRowHeight="12.75" x14ac:dyDescent="0.2"/>
  <cols>
    <col min="1" max="1" width="8.7109375" style="154" customWidth="1"/>
    <col min="2" max="2" width="6.7109375" style="154" customWidth="1"/>
    <col min="3" max="7" width="7.7109375" style="154" customWidth="1"/>
    <col min="8" max="9" width="6.7109375" style="154" customWidth="1"/>
    <col min="10" max="11" width="7.7109375" style="154" customWidth="1"/>
    <col min="12" max="14" width="9.7109375" style="154" customWidth="1"/>
    <col min="15" max="15" width="7.140625" style="154" customWidth="1"/>
    <col min="16" max="16" width="6.5703125" style="154" customWidth="1"/>
    <col min="17" max="20" width="6.7109375" style="154" customWidth="1"/>
    <col min="21" max="22" width="5.7109375" style="154" customWidth="1"/>
    <col min="23" max="26" width="4.7109375" style="154" customWidth="1"/>
    <col min="27" max="28" width="6.7109375" style="154" customWidth="1"/>
    <col min="29" max="29" width="7.7109375" style="154" customWidth="1"/>
    <col min="30" max="30" width="0.85546875" style="154" customWidth="1"/>
    <col min="31" max="31" width="8.7109375" style="154" customWidth="1"/>
    <col min="32" max="32" width="6.7109375" style="154" customWidth="1"/>
    <col min="33" max="33" width="9.7109375" style="154" customWidth="1"/>
    <col min="34" max="34" width="3.7109375" style="154" customWidth="1"/>
    <col min="35" max="35" width="6.7109375" style="154" customWidth="1"/>
    <col min="36" max="36" width="7.7109375" style="154" customWidth="1"/>
    <col min="37" max="38" width="5.7109375" style="154" customWidth="1"/>
    <col min="39" max="40" width="7.7109375" style="154" customWidth="1"/>
    <col min="41" max="46" width="6.7109375" style="154" customWidth="1"/>
    <col min="47" max="48" width="7.7109375" style="154" customWidth="1"/>
    <col min="49" max="50" width="6.7109375" style="154" customWidth="1"/>
    <col min="51" max="51" width="7.42578125" style="154" customWidth="1"/>
    <col min="52" max="52" width="6.7109375" style="154" customWidth="1"/>
    <col min="53" max="53" width="1.7109375" style="154" customWidth="1"/>
    <col min="54" max="54" width="9.28515625" style="154" customWidth="1"/>
    <col min="55" max="55" width="6.7109375" style="154" customWidth="1"/>
    <col min="56" max="56" width="11.28515625" style="154" customWidth="1"/>
    <col min="57" max="57" width="7.7109375" style="154" customWidth="1"/>
    <col min="58" max="58" width="10.28515625" style="154" customWidth="1"/>
    <col min="59" max="60" width="7.7109375" style="154" customWidth="1"/>
    <col min="61" max="62" width="6.7109375" style="154" customWidth="1"/>
    <col min="63" max="63" width="8.7109375" style="154" customWidth="1"/>
    <col min="64" max="64" width="1.7109375" style="154" customWidth="1"/>
    <col min="65" max="65" width="6.7109375" style="154" customWidth="1"/>
    <col min="66" max="66" width="10.28515625" style="154" customWidth="1"/>
    <col min="67" max="69" width="7.7109375" style="154" customWidth="1"/>
    <col min="70" max="70" width="9.28515625" style="154" customWidth="1"/>
    <col min="71" max="71" width="1.7109375" style="154" customWidth="1"/>
    <col min="72" max="72" width="8.7109375" style="154" customWidth="1"/>
    <col min="73" max="73" width="14.28515625" style="154" customWidth="1"/>
    <col min="74" max="74" width="7.7109375" style="154" customWidth="1"/>
    <col min="75" max="75" width="8.28515625" style="154" customWidth="1"/>
    <col min="76" max="77" width="7.7109375" style="154" customWidth="1"/>
    <col min="78" max="78" width="8.7109375" style="154" customWidth="1"/>
    <col min="79" max="16384" width="9.140625" style="154"/>
  </cols>
  <sheetData>
    <row r="1" spans="1:78" ht="20.25" x14ac:dyDescent="0.3">
      <c r="A1" s="30" t="s">
        <v>71</v>
      </c>
      <c r="AE1" s="29" t="s">
        <v>71</v>
      </c>
      <c r="BB1" s="30" t="s">
        <v>71</v>
      </c>
    </row>
    <row r="2" spans="1:78" ht="15.75" x14ac:dyDescent="0.25">
      <c r="Q2" s="154" t="s">
        <v>98</v>
      </c>
      <c r="U2" s="148" t="s">
        <v>175</v>
      </c>
      <c r="AE2" s="123" t="s">
        <v>173</v>
      </c>
      <c r="BB2" s="123" t="s">
        <v>174</v>
      </c>
      <c r="BC2" s="123"/>
      <c r="BD2" s="123"/>
      <c r="BZ2" s="140" t="s">
        <v>113</v>
      </c>
    </row>
    <row r="3" spans="1:78" x14ac:dyDescent="0.2">
      <c r="B3" s="140" t="s">
        <v>113</v>
      </c>
      <c r="C3" s="140"/>
      <c r="D3" s="140" t="s">
        <v>113</v>
      </c>
      <c r="E3" s="140" t="s">
        <v>113</v>
      </c>
      <c r="F3" s="140" t="s">
        <v>113</v>
      </c>
      <c r="G3" s="140" t="s">
        <v>113</v>
      </c>
      <c r="H3" s="140" t="s">
        <v>113</v>
      </c>
      <c r="I3" s="140" t="s">
        <v>113</v>
      </c>
      <c r="J3" s="140" t="s">
        <v>113</v>
      </c>
      <c r="K3" s="140" t="s">
        <v>113</v>
      </c>
      <c r="N3" s="140" t="s">
        <v>113</v>
      </c>
      <c r="O3" s="140"/>
      <c r="P3" s="140" t="s">
        <v>113</v>
      </c>
      <c r="Q3" s="140" t="s">
        <v>113</v>
      </c>
      <c r="R3" s="154" t="s">
        <v>104</v>
      </c>
      <c r="U3" s="140" t="s">
        <v>113</v>
      </c>
      <c r="V3" s="140" t="s">
        <v>113</v>
      </c>
      <c r="W3" s="140" t="s">
        <v>113</v>
      </c>
      <c r="X3" s="140" t="s">
        <v>113</v>
      </c>
      <c r="Y3" s="140" t="s">
        <v>113</v>
      </c>
      <c r="Z3" s="140" t="s">
        <v>113</v>
      </c>
      <c r="AA3" s="140" t="s">
        <v>113</v>
      </c>
      <c r="AB3" s="140" t="s">
        <v>113</v>
      </c>
      <c r="AC3" s="140" t="s">
        <v>113</v>
      </c>
      <c r="AE3" s="140" t="s">
        <v>113</v>
      </c>
      <c r="AF3" s="140" t="s">
        <v>113</v>
      </c>
      <c r="AG3" s="140" t="s">
        <v>113</v>
      </c>
      <c r="AH3" s="140" t="s">
        <v>113</v>
      </c>
      <c r="AI3" s="140" t="s">
        <v>113</v>
      </c>
      <c r="AJ3" s="140" t="s">
        <v>113</v>
      </c>
      <c r="AK3" s="140" t="s">
        <v>113</v>
      </c>
      <c r="AL3" s="140" t="s">
        <v>113</v>
      </c>
      <c r="AM3" s="140" t="s">
        <v>113</v>
      </c>
      <c r="AN3" s="140" t="s">
        <v>113</v>
      </c>
      <c r="AO3" s="140" t="s">
        <v>113</v>
      </c>
      <c r="AP3" s="140" t="s">
        <v>113</v>
      </c>
      <c r="AQ3" s="140" t="s">
        <v>113</v>
      </c>
      <c r="AR3" s="140" t="s">
        <v>113</v>
      </c>
      <c r="AS3" s="140" t="s">
        <v>113</v>
      </c>
      <c r="AT3" s="140" t="s">
        <v>113</v>
      </c>
      <c r="AU3" s="140" t="s">
        <v>113</v>
      </c>
      <c r="AV3" s="140" t="s">
        <v>113</v>
      </c>
      <c r="AW3" s="140" t="s">
        <v>113</v>
      </c>
      <c r="AX3" s="140" t="s">
        <v>113</v>
      </c>
      <c r="AY3" s="140" t="s">
        <v>113</v>
      </c>
      <c r="AZ3" s="140" t="s">
        <v>113</v>
      </c>
      <c r="BB3" s="140" t="s">
        <v>113</v>
      </c>
      <c r="BC3" s="140" t="s">
        <v>113</v>
      </c>
      <c r="BD3" s="140" t="s">
        <v>113</v>
      </c>
      <c r="BE3" s="140" t="s">
        <v>113</v>
      </c>
      <c r="BF3" s="140" t="s">
        <v>113</v>
      </c>
      <c r="BG3" s="140" t="s">
        <v>113</v>
      </c>
      <c r="BH3" s="140" t="s">
        <v>113</v>
      </c>
      <c r="BI3" s="140" t="s">
        <v>113</v>
      </c>
      <c r="BJ3" s="140" t="s">
        <v>113</v>
      </c>
      <c r="BK3" s="140" t="s">
        <v>113</v>
      </c>
      <c r="BM3" s="140" t="s">
        <v>113</v>
      </c>
      <c r="BN3" s="140" t="s">
        <v>113</v>
      </c>
      <c r="BO3" s="140" t="s">
        <v>113</v>
      </c>
      <c r="BP3" s="140" t="s">
        <v>113</v>
      </c>
      <c r="BQ3" s="140" t="s">
        <v>113</v>
      </c>
      <c r="BR3" s="140" t="s">
        <v>113</v>
      </c>
      <c r="BT3" s="217" t="s">
        <v>74</v>
      </c>
      <c r="BU3" s="217"/>
      <c r="BV3" s="217"/>
      <c r="BW3" s="217"/>
      <c r="BX3" s="217"/>
      <c r="BY3" s="217"/>
      <c r="BZ3" s="217"/>
    </row>
    <row r="4" spans="1:78" ht="13.5" thickBot="1" x14ac:dyDescent="0.25">
      <c r="A4" s="159" t="s">
        <v>5</v>
      </c>
      <c r="B4" s="54" t="s">
        <v>10</v>
      </c>
      <c r="C4" s="54" t="s">
        <v>75</v>
      </c>
      <c r="D4" s="74" t="s">
        <v>2</v>
      </c>
      <c r="E4" s="91" t="s">
        <v>3</v>
      </c>
      <c r="F4" s="194" t="s">
        <v>6</v>
      </c>
      <c r="G4" s="95" t="s">
        <v>7</v>
      </c>
      <c r="H4" s="194" t="s">
        <v>35</v>
      </c>
      <c r="I4" s="91" t="s">
        <v>4</v>
      </c>
      <c r="J4" s="194" t="s">
        <v>1</v>
      </c>
      <c r="K4" s="95" t="s">
        <v>0</v>
      </c>
      <c r="L4" s="54" t="s">
        <v>8</v>
      </c>
      <c r="M4" s="54" t="s">
        <v>170</v>
      </c>
      <c r="N4" s="54" t="s">
        <v>171</v>
      </c>
      <c r="O4" s="14" t="s">
        <v>172</v>
      </c>
      <c r="P4" s="54" t="s">
        <v>9</v>
      </c>
      <c r="Q4" s="194" t="s">
        <v>13</v>
      </c>
      <c r="R4" s="196" t="s">
        <v>14</v>
      </c>
      <c r="S4" s="194" t="s">
        <v>28</v>
      </c>
      <c r="T4" s="91" t="s">
        <v>29</v>
      </c>
      <c r="U4" s="67" t="s">
        <v>21</v>
      </c>
      <c r="V4" s="16" t="s">
        <v>22</v>
      </c>
      <c r="W4" s="15" t="s">
        <v>30</v>
      </c>
      <c r="X4" s="67" t="s">
        <v>23</v>
      </c>
      <c r="Y4" s="16" t="s">
        <v>24</v>
      </c>
      <c r="Z4" s="15" t="s">
        <v>25</v>
      </c>
      <c r="AA4" s="67" t="s">
        <v>26</v>
      </c>
      <c r="AB4" s="16" t="s">
        <v>27</v>
      </c>
      <c r="AC4" s="16" t="s">
        <v>31</v>
      </c>
      <c r="AE4" s="159" t="s">
        <v>5</v>
      </c>
      <c r="AF4" s="54" t="s">
        <v>10</v>
      </c>
      <c r="AG4" s="14" t="s">
        <v>8</v>
      </c>
      <c r="AH4" s="67" t="s">
        <v>54</v>
      </c>
      <c r="AI4" s="67" t="s">
        <v>55</v>
      </c>
      <c r="AJ4" s="16" t="s">
        <v>56</v>
      </c>
      <c r="AK4" s="67" t="s">
        <v>57</v>
      </c>
      <c r="AL4" s="15" t="s">
        <v>58</v>
      </c>
      <c r="AM4" s="194" t="s">
        <v>1</v>
      </c>
      <c r="AN4" s="95" t="s">
        <v>0</v>
      </c>
      <c r="AO4" s="194" t="s">
        <v>59</v>
      </c>
      <c r="AP4" s="194" t="s">
        <v>85</v>
      </c>
      <c r="AQ4" s="74" t="s">
        <v>86</v>
      </c>
      <c r="AR4" s="196" t="s">
        <v>85</v>
      </c>
      <c r="AS4" s="196" t="s">
        <v>86</v>
      </c>
      <c r="AT4" s="95" t="s">
        <v>60</v>
      </c>
      <c r="AU4" s="194" t="s">
        <v>63</v>
      </c>
      <c r="AV4" s="95" t="s">
        <v>62</v>
      </c>
      <c r="AW4" s="194" t="s">
        <v>61</v>
      </c>
      <c r="AX4" s="91" t="s">
        <v>66</v>
      </c>
      <c r="AY4" s="194" t="s">
        <v>64</v>
      </c>
      <c r="AZ4" s="95" t="s">
        <v>65</v>
      </c>
      <c r="BA4" s="161"/>
      <c r="BB4" s="159" t="s">
        <v>5</v>
      </c>
      <c r="BC4" s="54" t="s">
        <v>10</v>
      </c>
      <c r="BD4" s="67" t="s">
        <v>80</v>
      </c>
      <c r="BE4" s="159" t="s">
        <v>77</v>
      </c>
      <c r="BF4" s="159" t="s">
        <v>84</v>
      </c>
      <c r="BG4" s="90" t="s">
        <v>21</v>
      </c>
      <c r="BH4" s="126" t="s">
        <v>64</v>
      </c>
      <c r="BI4" s="90" t="s">
        <v>78</v>
      </c>
      <c r="BJ4" s="90" t="s">
        <v>79</v>
      </c>
      <c r="BK4" s="86" t="s">
        <v>81</v>
      </c>
      <c r="BM4" s="159" t="s">
        <v>77</v>
      </c>
      <c r="BN4" s="159" t="s">
        <v>84</v>
      </c>
      <c r="BO4" s="90" t="s">
        <v>22</v>
      </c>
      <c r="BP4" s="126" t="s">
        <v>65</v>
      </c>
      <c r="BQ4" s="90" t="s">
        <v>83</v>
      </c>
      <c r="BR4" s="90" t="s">
        <v>82</v>
      </c>
      <c r="BT4" s="159" t="s">
        <v>5</v>
      </c>
      <c r="BU4" s="67" t="s">
        <v>67</v>
      </c>
      <c r="BV4" s="15" t="s">
        <v>68</v>
      </c>
      <c r="BW4" s="67" t="s">
        <v>69</v>
      </c>
      <c r="BX4" s="15" t="s">
        <v>70</v>
      </c>
      <c r="BY4" s="90" t="s">
        <v>72</v>
      </c>
      <c r="BZ4" s="86" t="s">
        <v>73</v>
      </c>
    </row>
    <row r="5" spans="1:78" ht="13.5" thickTop="1" x14ac:dyDescent="0.2">
      <c r="A5" s="2">
        <v>5</v>
      </c>
      <c r="B5" s="221">
        <v>8</v>
      </c>
      <c r="C5" s="43">
        <f>B5/12*0.15</f>
        <v>9.9999999999999992E-2</v>
      </c>
      <c r="D5" s="157">
        <f>-0.1*C5*A5^2</f>
        <v>-0.25</v>
      </c>
      <c r="E5" s="99">
        <f>0.08*C5*A5^2</f>
        <v>0.2</v>
      </c>
      <c r="F5" s="253">
        <f>-0.1*0.05*A5^2</f>
        <v>-0.12500000000000003</v>
      </c>
      <c r="G5" s="108">
        <f>0.08*0.05*A5^2</f>
        <v>0.1</v>
      </c>
      <c r="H5" s="294">
        <v>-2.66</v>
      </c>
      <c r="I5" s="99">
        <v>4.6500000000000004</v>
      </c>
      <c r="J5" s="253">
        <f>D5+F5+H5</f>
        <v>-3.0350000000000001</v>
      </c>
      <c r="K5" s="108">
        <f>E5+G5+I5</f>
        <v>4.95</v>
      </c>
      <c r="L5" s="236">
        <v>4</v>
      </c>
      <c r="M5" s="236">
        <v>6.5</v>
      </c>
      <c r="N5" s="297">
        <v>0.2</v>
      </c>
      <c r="O5" s="236">
        <v>0.5</v>
      </c>
      <c r="P5" s="43">
        <f>N5*12/M5</f>
        <v>0.36923076923076931</v>
      </c>
      <c r="Q5" s="195">
        <f>B5-2.5-O5/2</f>
        <v>5.25</v>
      </c>
      <c r="R5" s="197">
        <f>B5-1.5-O5/2-0.5</f>
        <v>5.75</v>
      </c>
      <c r="S5" s="253">
        <f>J5*12/(P5*AL5*Q5)</f>
        <v>-20.765789473684208</v>
      </c>
      <c r="T5" s="99">
        <f>K5*12/(P5*AL5*R5)</f>
        <v>30.923340961098393</v>
      </c>
      <c r="U5" s="131">
        <v>2</v>
      </c>
      <c r="V5" s="69">
        <v>1.5</v>
      </c>
      <c r="W5" s="23">
        <f>12/M5</f>
        <v>1.8461538461538463</v>
      </c>
      <c r="X5" s="201">
        <f>12*2*U5/W5</f>
        <v>26</v>
      </c>
      <c r="Y5" s="24">
        <f>12*2*V5/W5</f>
        <v>19.5</v>
      </c>
      <c r="Z5" s="3">
        <v>130</v>
      </c>
      <c r="AA5" s="87">
        <f>Z5/(U5*X5)^0.333</f>
        <v>34.875001814422049</v>
      </c>
      <c r="AB5" s="63">
        <f>Z5/(V5*Y5)^0.333</f>
        <v>42.239954086110011</v>
      </c>
      <c r="AC5" s="24">
        <f>0.6*60</f>
        <v>36</v>
      </c>
      <c r="AE5" s="2">
        <f>A5</f>
        <v>5</v>
      </c>
      <c r="AF5" s="55">
        <f t="shared" ref="AF5:AF45" si="0">B5</f>
        <v>8</v>
      </c>
      <c r="AG5" s="169" t="str">
        <f>"#"&amp;L5&amp;" @ "&amp;M5</f>
        <v>#4 @ 6.5</v>
      </c>
      <c r="AH5" s="55">
        <v>8</v>
      </c>
      <c r="AI5" s="55">
        <f>0.4*4500</f>
        <v>1800</v>
      </c>
      <c r="AJ5" s="47">
        <v>36000</v>
      </c>
      <c r="AK5" s="43">
        <f>AI5/((AJ5/AH5)+AI5)</f>
        <v>0.2857142857142857</v>
      </c>
      <c r="AL5" s="155">
        <f>1-AK5/3</f>
        <v>0.90476190476190477</v>
      </c>
      <c r="AM5" s="253">
        <f t="shared" ref="AM5:AN45" si="1">J5</f>
        <v>-3.0350000000000001</v>
      </c>
      <c r="AN5" s="108">
        <f t="shared" si="1"/>
        <v>4.95</v>
      </c>
      <c r="AO5" s="195">
        <f>(-AP5+(AP5^2-4*1*AQ5)^0.5)/(2*1)</f>
        <v>1.3802554198649246</v>
      </c>
      <c r="AP5" s="253">
        <f>P5*AH5/6</f>
        <v>0.49230769230769239</v>
      </c>
      <c r="AQ5" s="157">
        <f>-P5*AH5*Q5/6</f>
        <v>-2.5846153846153852</v>
      </c>
      <c r="AR5" s="111">
        <f>P5*AH5/6</f>
        <v>0.49230769230769239</v>
      </c>
      <c r="AS5" s="111">
        <f>-P5*AH5*R5/6</f>
        <v>-2.8307692307692314</v>
      </c>
      <c r="AT5" s="102">
        <f>(-AR5+(AR5^2-4*1*AS5)^0.5)/(2*1)</f>
        <v>1.4542463851874585</v>
      </c>
      <c r="AU5" s="253">
        <f>12*AM5/(Q5-AO5/3)</f>
        <v>-7.603475440408487</v>
      </c>
      <c r="AV5" s="108">
        <f>12*AN5/(R5-AT5/3)</f>
        <v>11.28151301580775</v>
      </c>
      <c r="AW5" s="195">
        <f>AU5/(6*AO5)</f>
        <v>-0.91812420259053495</v>
      </c>
      <c r="AX5" s="118">
        <f>AV5/(6*AT5)</f>
        <v>1.292939207862579</v>
      </c>
      <c r="AY5" s="253">
        <f>AW5*AH5*(Q5-AO5)/AO5</f>
        <v>-20.592745984439645</v>
      </c>
      <c r="AZ5" s="108">
        <f>AX5*AH5*(R5-AT5)/AT5</f>
        <v>30.554097751145985</v>
      </c>
      <c r="BA5" s="155"/>
      <c r="BB5" s="2">
        <f t="shared" ref="BB5:BC45" si="2">A5</f>
        <v>5</v>
      </c>
      <c r="BC5" s="165">
        <f t="shared" si="2"/>
        <v>8</v>
      </c>
      <c r="BD5" s="169" t="str">
        <f>"#"&amp;L5&amp;" @ "&amp;M5</f>
        <v>#4 @ 6.5</v>
      </c>
      <c r="BE5" s="66">
        <f>BJ5*BH5*(BK5+2*BG5)/700</f>
        <v>0.55799082579358261</v>
      </c>
      <c r="BF5" s="129">
        <f>0.017*BE5/0.75</f>
        <v>1.2647792051321207E-2</v>
      </c>
      <c r="BG5" s="191">
        <f>2+O5</f>
        <v>2.5</v>
      </c>
      <c r="BH5" s="22">
        <f>-AY5</f>
        <v>20.592745984439645</v>
      </c>
      <c r="BI5" s="55">
        <f t="shared" ref="BI5:BI45" si="3">B5</f>
        <v>8</v>
      </c>
      <c r="BJ5" s="87">
        <f>1+BG5/(0.7*(BI5-BG5))</f>
        <v>1.6493506493506493</v>
      </c>
      <c r="BK5" s="69">
        <f>M5</f>
        <v>6.5</v>
      </c>
      <c r="BM5" s="66">
        <f>BQ5*BP5*(BR5+2*BO5)/700</f>
        <v>0.61108195502291973</v>
      </c>
      <c r="BN5" s="129">
        <f>0.017*BM5/0.75</f>
        <v>1.3851190980519514E-2</v>
      </c>
      <c r="BO5" s="43">
        <f>1.5+O5/2</f>
        <v>1.75</v>
      </c>
      <c r="BP5" s="22">
        <f>AZ5</f>
        <v>30.554097751145985</v>
      </c>
      <c r="BQ5" s="87">
        <f>1+BO5/(0.7*(BI5-BO5))</f>
        <v>1.4</v>
      </c>
      <c r="BR5" s="131">
        <f>BK5</f>
        <v>6.5</v>
      </c>
      <c r="BT5" s="2">
        <v>5</v>
      </c>
      <c r="BU5" s="55">
        <f t="shared" ref="BU5:BU13" si="4">5.5+A5</f>
        <v>10.5</v>
      </c>
      <c r="BV5" s="22">
        <f t="shared" ref="BV5:BV13" si="5">24*1.33*A5/4/BU5</f>
        <v>3.8000000000000007</v>
      </c>
      <c r="BW5" s="87">
        <f t="shared" ref="BW5:BW13" si="6">E5+G5</f>
        <v>0.30000000000000004</v>
      </c>
      <c r="BX5" s="22">
        <f t="shared" ref="BX5:BX13" si="7">BV5+BW5</f>
        <v>4.1000000000000005</v>
      </c>
      <c r="BY5" s="87">
        <f t="shared" ref="BY5:BY13" si="8">AN5</f>
        <v>4.95</v>
      </c>
      <c r="BZ5" s="83">
        <f>BY5/BX5</f>
        <v>1.2073170731707317</v>
      </c>
    </row>
    <row r="6" spans="1:78" x14ac:dyDescent="0.2">
      <c r="A6" s="2">
        <v>5.25</v>
      </c>
      <c r="B6" s="221">
        <v>8</v>
      </c>
      <c r="C6" s="43">
        <f t="shared" ref="C6:C45" si="9">B6/12*0.15</f>
        <v>9.9999999999999992E-2</v>
      </c>
      <c r="D6" s="157">
        <f t="shared" ref="D6:D45" si="10">-0.1*C6*A6^2</f>
        <v>-0.27562500000000001</v>
      </c>
      <c r="E6" s="99">
        <f t="shared" ref="E6:E45" si="11">0.08*C6*A6^2</f>
        <v>0.2205</v>
      </c>
      <c r="F6" s="253">
        <f t="shared" ref="F6:F45" si="12">-0.1*0.05*A6^2</f>
        <v>-0.13781250000000003</v>
      </c>
      <c r="G6" s="108">
        <f t="shared" ref="G6:G45" si="13">0.08*0.05*A6^2</f>
        <v>0.11025</v>
      </c>
      <c r="H6" s="294">
        <v>-2.89</v>
      </c>
      <c r="I6" s="99">
        <v>4.67</v>
      </c>
      <c r="J6" s="253">
        <f t="shared" ref="J6:K45" si="14">D6+F6+H6</f>
        <v>-3.3034375000000002</v>
      </c>
      <c r="K6" s="108">
        <f t="shared" si="14"/>
        <v>5.00075</v>
      </c>
      <c r="L6" s="236">
        <v>4</v>
      </c>
      <c r="M6" s="236">
        <v>6.5</v>
      </c>
      <c r="N6" s="297">
        <v>0.2</v>
      </c>
      <c r="O6" s="236">
        <v>0.5</v>
      </c>
      <c r="P6" s="43">
        <f t="shared" ref="P6:P45" si="15">N6*12/M6</f>
        <v>0.36923076923076931</v>
      </c>
      <c r="Q6" s="195">
        <f t="shared" ref="Q6:Q45" si="16">B6-2.5-O6/2</f>
        <v>5.25</v>
      </c>
      <c r="R6" s="197">
        <f t="shared" ref="R6:R16" si="17">B6-1.5-O6/2-0.5</f>
        <v>5.75</v>
      </c>
      <c r="S6" s="253">
        <f t="shared" ref="S6:S45" si="18">J6*12/(P6*AL6*Q6)</f>
        <v>-22.602467105263152</v>
      </c>
      <c r="T6" s="99">
        <f t="shared" ref="T6:T45" si="19">K6*12/(P6*AL6*R6)</f>
        <v>31.240383295194501</v>
      </c>
      <c r="U6" s="131">
        <v>2</v>
      </c>
      <c r="V6" s="69">
        <v>1.5</v>
      </c>
      <c r="W6" s="23">
        <f t="shared" ref="W6:W45" si="20">12/M6</f>
        <v>1.8461538461538463</v>
      </c>
      <c r="X6" s="201">
        <f t="shared" ref="X6:X41" si="21">12*2*U6/W6</f>
        <v>26</v>
      </c>
      <c r="Y6" s="24">
        <f t="shared" ref="Y6:Y41" si="22">12*2*V6/W6</f>
        <v>19.5</v>
      </c>
      <c r="Z6" s="3">
        <v>130</v>
      </c>
      <c r="AA6" s="87">
        <f t="shared" ref="AA6:AA41" si="23">Z6/(U6*X6)^0.333</f>
        <v>34.875001814422049</v>
      </c>
      <c r="AB6" s="63">
        <f t="shared" ref="AB6:AB41" si="24">Z6/(V6*Y6)^0.333</f>
        <v>42.239954086110011</v>
      </c>
      <c r="AC6" s="24">
        <f t="shared" ref="AC6:AC45" si="25">0.6*60</f>
        <v>36</v>
      </c>
      <c r="AE6" s="2">
        <f t="shared" ref="AE6:AE45" si="26">A6</f>
        <v>5.25</v>
      </c>
      <c r="AF6" s="55">
        <f t="shared" si="0"/>
        <v>8</v>
      </c>
      <c r="AG6" s="169" t="str">
        <f t="shared" ref="AG6:AG45" si="27">"#"&amp;L6&amp;" @ "&amp;M6</f>
        <v>#4 @ 6.5</v>
      </c>
      <c r="AH6" s="55">
        <v>8</v>
      </c>
      <c r="AI6" s="55">
        <f t="shared" ref="AI6:AI45" si="28">0.4*4500</f>
        <v>1800</v>
      </c>
      <c r="AJ6" s="47">
        <v>36000</v>
      </c>
      <c r="AK6" s="43">
        <f t="shared" ref="AK6:AK45" si="29">AI6/((AJ6/AH6)+AI6)</f>
        <v>0.2857142857142857</v>
      </c>
      <c r="AL6" s="155">
        <f t="shared" ref="AL6:AL45" si="30">1-AK6/3</f>
        <v>0.90476190476190477</v>
      </c>
      <c r="AM6" s="253">
        <f t="shared" si="1"/>
        <v>-3.3034375000000002</v>
      </c>
      <c r="AN6" s="108">
        <f t="shared" si="1"/>
        <v>5.00075</v>
      </c>
      <c r="AO6" s="195">
        <f t="shared" ref="AO6:AO45" si="31">(-AP6+(AP6^2-4*1*AQ6)^0.5)/(2*1)</f>
        <v>1.3802554198649246</v>
      </c>
      <c r="AP6" s="253">
        <f t="shared" ref="AP6:AP45" si="32">P6*AH6/6</f>
        <v>0.49230769230769239</v>
      </c>
      <c r="AQ6" s="157">
        <f t="shared" ref="AQ6:AQ45" si="33">-P6*AH6*Q6/6</f>
        <v>-2.5846153846153852</v>
      </c>
      <c r="AR6" s="111">
        <f t="shared" ref="AR6:AR45" si="34">P6*AH6/6</f>
        <v>0.49230769230769239</v>
      </c>
      <c r="AS6" s="111">
        <f t="shared" ref="AS6:AS45" si="35">-P6*AH6*R6/6</f>
        <v>-2.8307692307692314</v>
      </c>
      <c r="AT6" s="102">
        <f t="shared" ref="AT6:AT45" si="36">(-AR6+(AR6^2-4*1*AS6)^0.5)/(2*1)</f>
        <v>1.4542463851874585</v>
      </c>
      <c r="AU6" s="253">
        <f t="shared" ref="AU6:AU45" si="37">12*AM6/(Q6-AO6/3)</f>
        <v>-8.2759821746867903</v>
      </c>
      <c r="AV6" s="108">
        <f t="shared" ref="AV6:AV45" si="38">12*AN6/(R6-AT6/3)</f>
        <v>11.39717701288901</v>
      </c>
      <c r="AW6" s="195">
        <f t="shared" ref="AW6:AW45" si="39">AU6/(6*AO6)</f>
        <v>-0.99932979258489951</v>
      </c>
      <c r="AX6" s="118">
        <f t="shared" ref="AX6:AX45" si="40">AV6/(6*AT6)</f>
        <v>1.30619509974117</v>
      </c>
      <c r="AY6" s="253">
        <f t="shared" ref="AY6:AY45" si="41">AW6*AH6*(Q6-AO6)/AO6</f>
        <v>-22.414118389776718</v>
      </c>
      <c r="AZ6" s="108">
        <f t="shared" ref="AZ6:AZ45" si="42">AX6*AH6*(R6-AT6)/AT6</f>
        <v>30.86735440990773</v>
      </c>
      <c r="BA6" s="155"/>
      <c r="BB6" s="2">
        <f t="shared" si="2"/>
        <v>5.25</v>
      </c>
      <c r="BC6" s="165">
        <f t="shared" si="2"/>
        <v>8</v>
      </c>
      <c r="BD6" s="169" t="str">
        <f t="shared" ref="BD6:BD45" si="43">"#"&amp;L6&amp;" @ "&amp;M6</f>
        <v>#4 @ 6.5</v>
      </c>
      <c r="BE6" s="66">
        <f t="shared" ref="BE6:BE45" si="44">BJ6*BH6*(BK6+2*BG6)/700</f>
        <v>0.6073435975560092</v>
      </c>
      <c r="BF6" s="129">
        <f t="shared" ref="BF6:BF45" si="45">0.017*BE6/0.75</f>
        <v>1.3766454877936209E-2</v>
      </c>
      <c r="BG6" s="191">
        <f t="shared" ref="BG6:BG45" si="46">2+O6</f>
        <v>2.5</v>
      </c>
      <c r="BH6" s="22">
        <f t="shared" ref="BH6:BH45" si="47">-AY6</f>
        <v>22.414118389776718</v>
      </c>
      <c r="BI6" s="55">
        <f t="shared" si="3"/>
        <v>8</v>
      </c>
      <c r="BJ6" s="87">
        <f t="shared" ref="BJ6:BJ45" si="48">1+BG6/(0.7*(BI6-BG6))</f>
        <v>1.6493506493506493</v>
      </c>
      <c r="BK6" s="69">
        <f t="shared" ref="BK6:BK45" si="49">M6</f>
        <v>6.5</v>
      </c>
      <c r="BM6" s="66">
        <f t="shared" ref="BM6:BM45" si="50">BQ6*BP6*(BR6+2*BO6)/700</f>
        <v>0.61734708819815454</v>
      </c>
      <c r="BN6" s="129">
        <f t="shared" ref="BN6:BN45" si="51">0.017*BM6/0.75</f>
        <v>1.3993200665824837E-2</v>
      </c>
      <c r="BO6" s="43">
        <f t="shared" ref="BO6:BO45" si="52">1.5+O6/2</f>
        <v>1.75</v>
      </c>
      <c r="BP6" s="22">
        <f t="shared" ref="BP6:BP45" si="53">AZ6</f>
        <v>30.86735440990773</v>
      </c>
      <c r="BQ6" s="87">
        <f t="shared" ref="BQ6:BQ45" si="54">1+BO6/(0.7*(BI6-BO6))</f>
        <v>1.4</v>
      </c>
      <c r="BR6" s="131">
        <f t="shared" ref="BR6:BR45" si="55">BK6</f>
        <v>6.5</v>
      </c>
      <c r="BT6" s="2">
        <v>5.25</v>
      </c>
      <c r="BU6" s="55">
        <f t="shared" si="4"/>
        <v>10.75</v>
      </c>
      <c r="BV6" s="22">
        <f t="shared" si="5"/>
        <v>3.8972093023255816</v>
      </c>
      <c r="BW6" s="87">
        <f t="shared" si="6"/>
        <v>0.33074999999999999</v>
      </c>
      <c r="BX6" s="22">
        <f t="shared" si="7"/>
        <v>4.2279593023255817</v>
      </c>
      <c r="BY6" s="87">
        <f t="shared" si="8"/>
        <v>5.00075</v>
      </c>
      <c r="BZ6" s="83">
        <f t="shared" ref="BZ6:BZ13" si="56">BY6/BX6</f>
        <v>1.1827810161865433</v>
      </c>
    </row>
    <row r="7" spans="1:78" x14ac:dyDescent="0.2">
      <c r="A7" s="2">
        <v>5.5</v>
      </c>
      <c r="B7" s="221">
        <v>8</v>
      </c>
      <c r="C7" s="43">
        <f t="shared" si="9"/>
        <v>9.9999999999999992E-2</v>
      </c>
      <c r="D7" s="157">
        <f t="shared" si="10"/>
        <v>-0.30249999999999999</v>
      </c>
      <c r="E7" s="99">
        <f t="shared" si="11"/>
        <v>0.24199999999999999</v>
      </c>
      <c r="F7" s="253">
        <f t="shared" si="12"/>
        <v>-0.15125000000000002</v>
      </c>
      <c r="G7" s="108">
        <f t="shared" si="13"/>
        <v>0.121</v>
      </c>
      <c r="H7" s="294">
        <v>-3.11</v>
      </c>
      <c r="I7" s="99">
        <v>4.71</v>
      </c>
      <c r="J7" s="253">
        <f t="shared" si="14"/>
        <v>-3.5637499999999998</v>
      </c>
      <c r="K7" s="108">
        <f t="shared" si="14"/>
        <v>5.0730000000000004</v>
      </c>
      <c r="L7" s="236">
        <v>4</v>
      </c>
      <c r="M7" s="236">
        <v>6.5</v>
      </c>
      <c r="N7" s="297">
        <v>0.2</v>
      </c>
      <c r="O7" s="236">
        <v>0.5</v>
      </c>
      <c r="P7" s="43">
        <f t="shared" si="15"/>
        <v>0.36923076923076931</v>
      </c>
      <c r="Q7" s="195">
        <f t="shared" si="16"/>
        <v>5.25</v>
      </c>
      <c r="R7" s="197">
        <f t="shared" si="17"/>
        <v>5.75</v>
      </c>
      <c r="S7" s="253">
        <f t="shared" si="18"/>
        <v>-24.38355263157894</v>
      </c>
      <c r="T7" s="99">
        <f t="shared" si="19"/>
        <v>31.691739130434776</v>
      </c>
      <c r="U7" s="131">
        <v>2</v>
      </c>
      <c r="V7" s="69">
        <v>1.5</v>
      </c>
      <c r="W7" s="23">
        <f t="shared" si="20"/>
        <v>1.8461538461538463</v>
      </c>
      <c r="X7" s="201">
        <f t="shared" si="21"/>
        <v>26</v>
      </c>
      <c r="Y7" s="24">
        <f t="shared" si="22"/>
        <v>19.5</v>
      </c>
      <c r="Z7" s="3">
        <v>130</v>
      </c>
      <c r="AA7" s="87">
        <f t="shared" si="23"/>
        <v>34.875001814422049</v>
      </c>
      <c r="AB7" s="63">
        <f t="shared" si="24"/>
        <v>42.239954086110011</v>
      </c>
      <c r="AC7" s="24">
        <f t="shared" si="25"/>
        <v>36</v>
      </c>
      <c r="AE7" s="2">
        <f t="shared" si="26"/>
        <v>5.5</v>
      </c>
      <c r="AF7" s="55">
        <f t="shared" si="0"/>
        <v>8</v>
      </c>
      <c r="AG7" s="169" t="str">
        <f t="shared" si="27"/>
        <v>#4 @ 6.5</v>
      </c>
      <c r="AH7" s="55">
        <v>8</v>
      </c>
      <c r="AI7" s="55">
        <f t="shared" si="28"/>
        <v>1800</v>
      </c>
      <c r="AJ7" s="47">
        <v>36000</v>
      </c>
      <c r="AK7" s="43">
        <f t="shared" si="29"/>
        <v>0.2857142857142857</v>
      </c>
      <c r="AL7" s="155">
        <f t="shared" si="30"/>
        <v>0.90476190476190477</v>
      </c>
      <c r="AM7" s="253">
        <f t="shared" si="1"/>
        <v>-3.5637499999999998</v>
      </c>
      <c r="AN7" s="108">
        <f t="shared" si="1"/>
        <v>5.0730000000000004</v>
      </c>
      <c r="AO7" s="195">
        <f t="shared" si="31"/>
        <v>1.3802554198649246</v>
      </c>
      <c r="AP7" s="253">
        <f t="shared" si="32"/>
        <v>0.49230769230769239</v>
      </c>
      <c r="AQ7" s="157">
        <f t="shared" si="33"/>
        <v>-2.5846153846153852</v>
      </c>
      <c r="AR7" s="111">
        <f t="shared" si="34"/>
        <v>0.49230769230769239</v>
      </c>
      <c r="AS7" s="111">
        <f t="shared" si="35"/>
        <v>-2.8307692307692314</v>
      </c>
      <c r="AT7" s="102">
        <f t="shared" si="36"/>
        <v>1.4542463851874585</v>
      </c>
      <c r="AU7" s="253">
        <f t="shared" si="37"/>
        <v>-8.9281336411056813</v>
      </c>
      <c r="AV7" s="108">
        <f t="shared" si="38"/>
        <v>11.561841521049033</v>
      </c>
      <c r="AW7" s="195">
        <f t="shared" si="39"/>
        <v>-1.0780774718227408</v>
      </c>
      <c r="AX7" s="118">
        <f t="shared" si="40"/>
        <v>1.3250667881791642</v>
      </c>
      <c r="AY7" s="253">
        <f t="shared" si="41"/>
        <v>-24.180361944661215</v>
      </c>
      <c r="AZ7" s="108">
        <f t="shared" si="42"/>
        <v>31.313320786174458</v>
      </c>
      <c r="BA7" s="155"/>
      <c r="BB7" s="2">
        <f t="shared" si="2"/>
        <v>5.5</v>
      </c>
      <c r="BC7" s="165">
        <f t="shared" si="2"/>
        <v>8</v>
      </c>
      <c r="BD7" s="169" t="str">
        <f t="shared" si="43"/>
        <v>#4 @ 6.5</v>
      </c>
      <c r="BE7" s="66">
        <f t="shared" si="44"/>
        <v>0.65520257180292585</v>
      </c>
      <c r="BF7" s="129">
        <f t="shared" si="45"/>
        <v>1.4851258294199655E-2</v>
      </c>
      <c r="BG7" s="191">
        <f t="shared" si="46"/>
        <v>2.5</v>
      </c>
      <c r="BH7" s="22">
        <f t="shared" si="47"/>
        <v>24.180361944661215</v>
      </c>
      <c r="BI7" s="55">
        <f t="shared" si="3"/>
        <v>8</v>
      </c>
      <c r="BJ7" s="87">
        <f t="shared" si="48"/>
        <v>1.6493506493506493</v>
      </c>
      <c r="BK7" s="69">
        <f t="shared" si="49"/>
        <v>6.5</v>
      </c>
      <c r="BM7" s="66">
        <f t="shared" si="50"/>
        <v>0.62626641572348907</v>
      </c>
      <c r="BN7" s="129">
        <f t="shared" si="51"/>
        <v>1.4195372089732421E-2</v>
      </c>
      <c r="BO7" s="43">
        <f t="shared" si="52"/>
        <v>1.75</v>
      </c>
      <c r="BP7" s="22">
        <f t="shared" si="53"/>
        <v>31.313320786174458</v>
      </c>
      <c r="BQ7" s="87">
        <f t="shared" si="54"/>
        <v>1.4</v>
      </c>
      <c r="BR7" s="131">
        <f t="shared" si="55"/>
        <v>6.5</v>
      </c>
      <c r="BT7" s="2">
        <v>5.5</v>
      </c>
      <c r="BU7" s="55">
        <f t="shared" si="4"/>
        <v>11</v>
      </c>
      <c r="BV7" s="22">
        <f t="shared" si="5"/>
        <v>3.99</v>
      </c>
      <c r="BW7" s="87">
        <f t="shared" si="6"/>
        <v>0.36299999999999999</v>
      </c>
      <c r="BX7" s="22">
        <f t="shared" si="7"/>
        <v>4.3529999999999998</v>
      </c>
      <c r="BY7" s="87">
        <f t="shared" si="8"/>
        <v>5.0730000000000004</v>
      </c>
      <c r="BZ7" s="83">
        <f t="shared" si="56"/>
        <v>1.1654031702274295</v>
      </c>
    </row>
    <row r="8" spans="1:78" x14ac:dyDescent="0.2">
      <c r="A8" s="2">
        <v>5.75</v>
      </c>
      <c r="B8" s="222">
        <v>8</v>
      </c>
      <c r="C8" s="43">
        <f t="shared" si="9"/>
        <v>9.9999999999999992E-2</v>
      </c>
      <c r="D8" s="157">
        <f t="shared" si="10"/>
        <v>-0.330625</v>
      </c>
      <c r="E8" s="99">
        <f t="shared" si="11"/>
        <v>0.26450000000000001</v>
      </c>
      <c r="F8" s="253">
        <f t="shared" si="12"/>
        <v>-0.16531250000000003</v>
      </c>
      <c r="G8" s="108">
        <f t="shared" si="13"/>
        <v>0.13225000000000001</v>
      </c>
      <c r="H8" s="294">
        <v>-3.31</v>
      </c>
      <c r="I8" s="99">
        <v>4.7699999999999996</v>
      </c>
      <c r="J8" s="253">
        <f t="shared" si="14"/>
        <v>-3.8059375000000002</v>
      </c>
      <c r="K8" s="108">
        <f t="shared" si="14"/>
        <v>5.1667499999999995</v>
      </c>
      <c r="L8" s="238">
        <v>4</v>
      </c>
      <c r="M8" s="238">
        <v>6.5</v>
      </c>
      <c r="N8" s="298">
        <v>0.2</v>
      </c>
      <c r="O8" s="238">
        <v>0.5</v>
      </c>
      <c r="P8" s="44">
        <f t="shared" si="15"/>
        <v>0.36923076923076931</v>
      </c>
      <c r="Q8" s="257">
        <f t="shared" si="16"/>
        <v>5.25</v>
      </c>
      <c r="R8" s="254">
        <f t="shared" si="17"/>
        <v>5.75</v>
      </c>
      <c r="S8" s="61">
        <f t="shared" si="18"/>
        <v>-26.040624999999995</v>
      </c>
      <c r="T8" s="110">
        <f t="shared" si="19"/>
        <v>32.27740846681921</v>
      </c>
      <c r="U8" s="131">
        <v>2</v>
      </c>
      <c r="V8" s="69">
        <v>1.5</v>
      </c>
      <c r="W8" s="132">
        <f t="shared" si="20"/>
        <v>1.8461538461538463</v>
      </c>
      <c r="X8" s="201">
        <f t="shared" si="21"/>
        <v>26</v>
      </c>
      <c r="Y8" s="24">
        <f t="shared" si="22"/>
        <v>19.5</v>
      </c>
      <c r="Z8" s="3">
        <v>130</v>
      </c>
      <c r="AA8" s="87">
        <f t="shared" si="23"/>
        <v>34.875001814422049</v>
      </c>
      <c r="AB8" s="63">
        <f t="shared" si="24"/>
        <v>42.239954086110011</v>
      </c>
      <c r="AC8" s="245">
        <f t="shared" si="25"/>
        <v>36</v>
      </c>
      <c r="AE8" s="57">
        <f t="shared" si="26"/>
        <v>5.75</v>
      </c>
      <c r="AF8" s="55">
        <f t="shared" si="0"/>
        <v>8</v>
      </c>
      <c r="AG8" s="175" t="str">
        <f t="shared" si="27"/>
        <v>#4 @ 6.5</v>
      </c>
      <c r="AH8" s="55">
        <v>8</v>
      </c>
      <c r="AI8" s="57">
        <f t="shared" si="28"/>
        <v>1800</v>
      </c>
      <c r="AJ8" s="47">
        <v>36000</v>
      </c>
      <c r="AK8" s="43">
        <f t="shared" si="29"/>
        <v>0.2857142857142857</v>
      </c>
      <c r="AL8" s="155">
        <f t="shared" si="30"/>
        <v>0.90476190476190477</v>
      </c>
      <c r="AM8" s="253">
        <f t="shared" si="1"/>
        <v>-3.8059375000000002</v>
      </c>
      <c r="AN8" s="108">
        <f t="shared" si="1"/>
        <v>5.1667499999999995</v>
      </c>
      <c r="AO8" s="195">
        <f t="shared" si="31"/>
        <v>1.3802554198649246</v>
      </c>
      <c r="AP8" s="253">
        <f t="shared" si="32"/>
        <v>0.49230769230769239</v>
      </c>
      <c r="AQ8" s="157">
        <f t="shared" si="33"/>
        <v>-2.5846153846153852</v>
      </c>
      <c r="AR8" s="111">
        <f t="shared" si="34"/>
        <v>0.49230769230769239</v>
      </c>
      <c r="AS8" s="111">
        <f t="shared" si="35"/>
        <v>-2.8307692307692314</v>
      </c>
      <c r="AT8" s="102">
        <f t="shared" si="36"/>
        <v>1.4542463851874585</v>
      </c>
      <c r="AU8" s="253">
        <f t="shared" si="37"/>
        <v>-9.5348772022997288</v>
      </c>
      <c r="AV8" s="108">
        <f t="shared" si="38"/>
        <v>11.775506540287815</v>
      </c>
      <c r="AW8" s="195">
        <f t="shared" si="39"/>
        <v>-1.1513421193729536</v>
      </c>
      <c r="AX8" s="118">
        <f t="shared" si="40"/>
        <v>1.3495542731765613</v>
      </c>
      <c r="AY8" s="253">
        <f t="shared" si="41"/>
        <v>-25.823625756228424</v>
      </c>
      <c r="AZ8" s="108">
        <f t="shared" si="42"/>
        <v>31.891996879946156</v>
      </c>
      <c r="BA8" s="155"/>
      <c r="BB8" s="2">
        <f t="shared" si="2"/>
        <v>5.75</v>
      </c>
      <c r="BC8" s="165">
        <f t="shared" si="2"/>
        <v>8</v>
      </c>
      <c r="BD8" s="175" t="str">
        <f t="shared" si="43"/>
        <v>#4 @ 6.5</v>
      </c>
      <c r="BE8" s="66">
        <f t="shared" si="44"/>
        <v>0.69972922851524333</v>
      </c>
      <c r="BF8" s="235">
        <f t="shared" si="45"/>
        <v>1.586052917967885E-2</v>
      </c>
      <c r="BG8" s="234">
        <f t="shared" si="46"/>
        <v>2.5</v>
      </c>
      <c r="BH8" s="25">
        <f t="shared" si="47"/>
        <v>25.823625756228424</v>
      </c>
      <c r="BI8" s="57">
        <f t="shared" si="3"/>
        <v>8</v>
      </c>
      <c r="BJ8" s="89">
        <f t="shared" si="48"/>
        <v>1.6493506493506493</v>
      </c>
      <c r="BK8" s="132">
        <f t="shared" si="49"/>
        <v>6.5</v>
      </c>
      <c r="BM8" s="66">
        <f t="shared" si="50"/>
        <v>0.63783993759892299</v>
      </c>
      <c r="BN8" s="44">
        <f t="shared" si="51"/>
        <v>1.4457705252242256E-2</v>
      </c>
      <c r="BO8" s="44">
        <f t="shared" si="52"/>
        <v>1.75</v>
      </c>
      <c r="BP8" s="22">
        <f t="shared" si="53"/>
        <v>31.891996879946156</v>
      </c>
      <c r="BQ8" s="87">
        <f t="shared" si="54"/>
        <v>1.4</v>
      </c>
      <c r="BR8" s="132">
        <f t="shared" si="55"/>
        <v>6.5</v>
      </c>
      <c r="BT8" s="2">
        <v>5.75</v>
      </c>
      <c r="BU8" s="55">
        <f t="shared" si="4"/>
        <v>11.25</v>
      </c>
      <c r="BV8" s="22">
        <f t="shared" si="5"/>
        <v>4.0786666666666669</v>
      </c>
      <c r="BW8" s="87">
        <f t="shared" si="6"/>
        <v>0.39675000000000005</v>
      </c>
      <c r="BX8" s="22">
        <f t="shared" si="7"/>
        <v>4.4754166666666668</v>
      </c>
      <c r="BY8" s="87">
        <f t="shared" si="8"/>
        <v>5.1667499999999995</v>
      </c>
      <c r="BZ8" s="83">
        <f t="shared" si="56"/>
        <v>1.1544735127083139</v>
      </c>
    </row>
    <row r="9" spans="1:78" x14ac:dyDescent="0.2">
      <c r="A9" s="17">
        <v>6</v>
      </c>
      <c r="B9" s="221">
        <v>8</v>
      </c>
      <c r="C9" s="42">
        <f t="shared" si="9"/>
        <v>9.9999999999999992E-2</v>
      </c>
      <c r="D9" s="160">
        <f t="shared" si="10"/>
        <v>-0.36</v>
      </c>
      <c r="E9" s="100">
        <f t="shared" si="11"/>
        <v>0.28800000000000003</v>
      </c>
      <c r="F9" s="255">
        <f t="shared" si="12"/>
        <v>-0.18000000000000005</v>
      </c>
      <c r="G9" s="109">
        <f t="shared" si="13"/>
        <v>0.14400000000000002</v>
      </c>
      <c r="H9" s="295">
        <v>-3.5</v>
      </c>
      <c r="I9" s="100">
        <v>4.83</v>
      </c>
      <c r="J9" s="255">
        <f t="shared" si="14"/>
        <v>-4.04</v>
      </c>
      <c r="K9" s="109">
        <f t="shared" si="14"/>
        <v>5.2620000000000005</v>
      </c>
      <c r="L9" s="236">
        <v>4</v>
      </c>
      <c r="M9" s="236">
        <v>6</v>
      </c>
      <c r="N9" s="297">
        <v>0.2</v>
      </c>
      <c r="O9" s="236">
        <v>0.5</v>
      </c>
      <c r="P9" s="43">
        <f t="shared" si="15"/>
        <v>0.40000000000000008</v>
      </c>
      <c r="Q9" s="195">
        <f t="shared" si="16"/>
        <v>5.25</v>
      </c>
      <c r="R9" s="197">
        <f t="shared" si="17"/>
        <v>5.75</v>
      </c>
      <c r="S9" s="253">
        <f t="shared" si="18"/>
        <v>-25.515789473684208</v>
      </c>
      <c r="T9" s="99">
        <f t="shared" si="19"/>
        <v>30.34379862700229</v>
      </c>
      <c r="U9" s="130">
        <v>2</v>
      </c>
      <c r="V9" s="71">
        <v>1.5</v>
      </c>
      <c r="W9" s="23">
        <f t="shared" si="20"/>
        <v>2</v>
      </c>
      <c r="X9" s="244">
        <f t="shared" si="21"/>
        <v>24</v>
      </c>
      <c r="Y9" s="28">
        <f t="shared" si="22"/>
        <v>18</v>
      </c>
      <c r="Z9" s="18">
        <v>130</v>
      </c>
      <c r="AA9" s="88">
        <f t="shared" si="23"/>
        <v>35.817067077850069</v>
      </c>
      <c r="AB9" s="65">
        <f t="shared" si="24"/>
        <v>43.380966025982168</v>
      </c>
      <c r="AC9" s="24">
        <f t="shared" si="25"/>
        <v>36</v>
      </c>
      <c r="AE9" s="2">
        <f t="shared" si="26"/>
        <v>6</v>
      </c>
      <c r="AF9" s="56">
        <f t="shared" si="0"/>
        <v>8</v>
      </c>
      <c r="AG9" s="169" t="str">
        <f t="shared" si="27"/>
        <v>#4 @ 6</v>
      </c>
      <c r="AH9" s="56">
        <v>8</v>
      </c>
      <c r="AI9" s="55">
        <f t="shared" si="28"/>
        <v>1800</v>
      </c>
      <c r="AJ9" s="48">
        <v>36000</v>
      </c>
      <c r="AK9" s="42">
        <f t="shared" si="29"/>
        <v>0.2857142857142857</v>
      </c>
      <c r="AL9" s="19">
        <f t="shared" si="30"/>
        <v>0.90476190476190477</v>
      </c>
      <c r="AM9" s="255">
        <f t="shared" si="1"/>
        <v>-4.04</v>
      </c>
      <c r="AN9" s="109">
        <f t="shared" si="1"/>
        <v>5.2620000000000005</v>
      </c>
      <c r="AO9" s="256">
        <f t="shared" si="31"/>
        <v>1.427768670285178</v>
      </c>
      <c r="AP9" s="255">
        <f t="shared" si="32"/>
        <v>0.53333333333333344</v>
      </c>
      <c r="AQ9" s="160">
        <f t="shared" si="33"/>
        <v>-2.8000000000000007</v>
      </c>
      <c r="AR9" s="112">
        <f t="shared" si="34"/>
        <v>0.53333333333333344</v>
      </c>
      <c r="AS9" s="112">
        <f t="shared" si="35"/>
        <v>-3.0666666666666669</v>
      </c>
      <c r="AT9" s="103">
        <f t="shared" si="36"/>
        <v>1.5047107007448561</v>
      </c>
      <c r="AU9" s="255">
        <f t="shared" si="37"/>
        <v>-10.154842262479779</v>
      </c>
      <c r="AV9" s="109">
        <f t="shared" si="38"/>
        <v>12.031026956675952</v>
      </c>
      <c r="AW9" s="256">
        <f t="shared" si="39"/>
        <v>-1.1853977087725613</v>
      </c>
      <c r="AX9" s="106">
        <f t="shared" si="40"/>
        <v>1.3325957996134405</v>
      </c>
      <c r="AY9" s="255">
        <f t="shared" si="41"/>
        <v>-25.387105656199449</v>
      </c>
      <c r="AZ9" s="109">
        <f t="shared" si="42"/>
        <v>30.077567391689893</v>
      </c>
      <c r="BA9" s="155"/>
      <c r="BB9" s="56">
        <f t="shared" si="2"/>
        <v>6</v>
      </c>
      <c r="BC9" s="119">
        <f t="shared" si="2"/>
        <v>8</v>
      </c>
      <c r="BD9" s="169" t="str">
        <f t="shared" si="43"/>
        <v>#4 @ 6</v>
      </c>
      <c r="BE9" s="88">
        <f t="shared" si="44"/>
        <v>0.65799233027292447</v>
      </c>
      <c r="BF9" s="129">
        <f t="shared" si="45"/>
        <v>1.4914492819519622E-2</v>
      </c>
      <c r="BG9" s="191">
        <f t="shared" si="46"/>
        <v>2.5</v>
      </c>
      <c r="BH9" s="27">
        <f t="shared" si="47"/>
        <v>25.387105656199449</v>
      </c>
      <c r="BI9" s="56">
        <f t="shared" si="3"/>
        <v>8</v>
      </c>
      <c r="BJ9" s="88">
        <f t="shared" si="48"/>
        <v>1.6493506493506493</v>
      </c>
      <c r="BK9" s="69">
        <f t="shared" si="49"/>
        <v>6</v>
      </c>
      <c r="BM9" s="88">
        <f t="shared" si="50"/>
        <v>0.57147378044210795</v>
      </c>
      <c r="BN9" s="129">
        <f t="shared" si="51"/>
        <v>1.2953405690021116E-2</v>
      </c>
      <c r="BO9" s="43">
        <f t="shared" si="52"/>
        <v>1.75</v>
      </c>
      <c r="BP9" s="27">
        <f t="shared" si="53"/>
        <v>30.077567391689893</v>
      </c>
      <c r="BQ9" s="88">
        <f t="shared" si="54"/>
        <v>1.4</v>
      </c>
      <c r="BR9" s="130">
        <f t="shared" si="55"/>
        <v>6</v>
      </c>
      <c r="BT9" s="17">
        <v>6</v>
      </c>
      <c r="BU9" s="56">
        <f t="shared" si="4"/>
        <v>11.5</v>
      </c>
      <c r="BV9" s="27">
        <f t="shared" si="5"/>
        <v>4.1634782608695655</v>
      </c>
      <c r="BW9" s="88">
        <f t="shared" si="6"/>
        <v>0.43200000000000005</v>
      </c>
      <c r="BX9" s="27">
        <f t="shared" si="7"/>
        <v>4.5954782608695659</v>
      </c>
      <c r="BY9" s="88">
        <f t="shared" si="8"/>
        <v>5.2620000000000005</v>
      </c>
      <c r="BZ9" s="85">
        <f t="shared" si="56"/>
        <v>1.1450386012715712</v>
      </c>
    </row>
    <row r="10" spans="1:78" x14ac:dyDescent="0.2">
      <c r="A10" s="2">
        <v>6.25</v>
      </c>
      <c r="B10" s="221">
        <v>8</v>
      </c>
      <c r="C10" s="43">
        <f t="shared" si="9"/>
        <v>9.9999999999999992E-2</v>
      </c>
      <c r="D10" s="157">
        <f t="shared" si="10"/>
        <v>-0.390625</v>
      </c>
      <c r="E10" s="99">
        <f t="shared" si="11"/>
        <v>0.3125</v>
      </c>
      <c r="F10" s="253">
        <f t="shared" si="12"/>
        <v>-0.19531250000000003</v>
      </c>
      <c r="G10" s="108">
        <f t="shared" si="13"/>
        <v>0.15625</v>
      </c>
      <c r="H10" s="294">
        <v>-3.68</v>
      </c>
      <c r="I10" s="99">
        <v>4.91</v>
      </c>
      <c r="J10" s="253">
        <f t="shared" si="14"/>
        <v>-4.2659374999999997</v>
      </c>
      <c r="K10" s="108">
        <f t="shared" si="14"/>
        <v>5.3787500000000001</v>
      </c>
      <c r="L10" s="236">
        <v>4</v>
      </c>
      <c r="M10" s="236">
        <v>6</v>
      </c>
      <c r="N10" s="297">
        <v>0.2</v>
      </c>
      <c r="O10" s="236">
        <v>0.5</v>
      </c>
      <c r="P10" s="43">
        <f t="shared" si="15"/>
        <v>0.40000000000000008</v>
      </c>
      <c r="Q10" s="195">
        <f t="shared" si="16"/>
        <v>5.25</v>
      </c>
      <c r="R10" s="197">
        <f t="shared" si="17"/>
        <v>5.75</v>
      </c>
      <c r="S10" s="253">
        <f t="shared" si="18"/>
        <v>-26.942763157894731</v>
      </c>
      <c r="T10" s="99">
        <f t="shared" si="19"/>
        <v>31.017048054919908</v>
      </c>
      <c r="U10" s="131">
        <v>2</v>
      </c>
      <c r="V10" s="69">
        <v>1.5</v>
      </c>
      <c r="W10" s="23">
        <f t="shared" si="20"/>
        <v>2</v>
      </c>
      <c r="X10" s="201">
        <f t="shared" si="21"/>
        <v>24</v>
      </c>
      <c r="Y10" s="24">
        <f t="shared" si="22"/>
        <v>18</v>
      </c>
      <c r="Z10" s="3">
        <v>130</v>
      </c>
      <c r="AA10" s="87">
        <f t="shared" si="23"/>
        <v>35.817067077850069</v>
      </c>
      <c r="AB10" s="63">
        <f t="shared" si="24"/>
        <v>43.380966025982168</v>
      </c>
      <c r="AC10" s="24">
        <f t="shared" si="25"/>
        <v>36</v>
      </c>
      <c r="AE10" s="2">
        <f t="shared" si="26"/>
        <v>6.25</v>
      </c>
      <c r="AF10" s="55">
        <f t="shared" si="0"/>
        <v>8</v>
      </c>
      <c r="AG10" s="169" t="str">
        <f t="shared" si="27"/>
        <v>#4 @ 6</v>
      </c>
      <c r="AH10" s="55">
        <v>8</v>
      </c>
      <c r="AI10" s="55">
        <f t="shared" si="28"/>
        <v>1800</v>
      </c>
      <c r="AJ10" s="47">
        <v>36000</v>
      </c>
      <c r="AK10" s="43">
        <f t="shared" si="29"/>
        <v>0.2857142857142857</v>
      </c>
      <c r="AL10" s="4">
        <f t="shared" si="30"/>
        <v>0.90476190476190477</v>
      </c>
      <c r="AM10" s="253">
        <f t="shared" si="1"/>
        <v>-4.2659374999999997</v>
      </c>
      <c r="AN10" s="108">
        <f t="shared" si="1"/>
        <v>5.3787500000000001</v>
      </c>
      <c r="AO10" s="195">
        <f t="shared" si="31"/>
        <v>1.427768670285178</v>
      </c>
      <c r="AP10" s="253">
        <f t="shared" si="32"/>
        <v>0.53333333333333344</v>
      </c>
      <c r="AQ10" s="157">
        <f t="shared" si="33"/>
        <v>-2.8000000000000007</v>
      </c>
      <c r="AR10" s="111">
        <f t="shared" si="34"/>
        <v>0.53333333333333344</v>
      </c>
      <c r="AS10" s="111">
        <f t="shared" si="35"/>
        <v>-3.0666666666666669</v>
      </c>
      <c r="AT10" s="102">
        <f t="shared" si="36"/>
        <v>1.5047107007448561</v>
      </c>
      <c r="AU10" s="253">
        <f t="shared" si="37"/>
        <v>-10.722753072796367</v>
      </c>
      <c r="AV10" s="108">
        <f t="shared" si="38"/>
        <v>12.297963938278366</v>
      </c>
      <c r="AW10" s="195">
        <f t="shared" si="39"/>
        <v>-1.2516912223433039</v>
      </c>
      <c r="AX10" s="105">
        <f t="shared" si="40"/>
        <v>1.3621626106367906</v>
      </c>
      <c r="AY10" s="253">
        <f t="shared" si="41"/>
        <v>-26.806882681990921</v>
      </c>
      <c r="AZ10" s="108">
        <f t="shared" si="42"/>
        <v>30.744909845695926</v>
      </c>
      <c r="BA10" s="155"/>
      <c r="BB10" s="55">
        <f t="shared" si="2"/>
        <v>6.25</v>
      </c>
      <c r="BC10" s="162">
        <f t="shared" si="2"/>
        <v>8</v>
      </c>
      <c r="BD10" s="169" t="str">
        <f t="shared" si="43"/>
        <v>#4 @ 6</v>
      </c>
      <c r="BE10" s="87">
        <f t="shared" si="44"/>
        <v>0.69479063277813213</v>
      </c>
      <c r="BF10" s="129">
        <f t="shared" si="45"/>
        <v>1.574858767630433E-2</v>
      </c>
      <c r="BG10" s="191">
        <f t="shared" si="46"/>
        <v>2.5</v>
      </c>
      <c r="BH10" s="22">
        <f t="shared" si="47"/>
        <v>26.806882681990921</v>
      </c>
      <c r="BI10" s="55">
        <f t="shared" si="3"/>
        <v>8</v>
      </c>
      <c r="BJ10" s="87">
        <f t="shared" si="48"/>
        <v>1.6493506493506493</v>
      </c>
      <c r="BK10" s="69">
        <f t="shared" si="49"/>
        <v>6</v>
      </c>
      <c r="BM10" s="87">
        <f t="shared" si="50"/>
        <v>0.58415328706822256</v>
      </c>
      <c r="BN10" s="129">
        <f t="shared" si="51"/>
        <v>1.3240807840213045E-2</v>
      </c>
      <c r="BO10" s="43">
        <f t="shared" si="52"/>
        <v>1.75</v>
      </c>
      <c r="BP10" s="22">
        <f t="shared" si="53"/>
        <v>30.744909845695926</v>
      </c>
      <c r="BQ10" s="87">
        <f t="shared" si="54"/>
        <v>1.4</v>
      </c>
      <c r="BR10" s="131">
        <f t="shared" si="55"/>
        <v>6</v>
      </c>
      <c r="BT10" s="2">
        <v>6.25</v>
      </c>
      <c r="BU10" s="55">
        <f t="shared" si="4"/>
        <v>11.75</v>
      </c>
      <c r="BV10" s="22">
        <f t="shared" si="5"/>
        <v>4.2446808510638299</v>
      </c>
      <c r="BW10" s="87">
        <f t="shared" si="6"/>
        <v>0.46875</v>
      </c>
      <c r="BX10" s="22">
        <f t="shared" si="7"/>
        <v>4.7134308510638299</v>
      </c>
      <c r="BY10" s="87">
        <f t="shared" si="8"/>
        <v>5.3787500000000001</v>
      </c>
      <c r="BZ10" s="83">
        <f t="shared" si="56"/>
        <v>1.1411539004090845</v>
      </c>
    </row>
    <row r="11" spans="1:78" x14ac:dyDescent="0.2">
      <c r="A11" s="2">
        <v>6.5</v>
      </c>
      <c r="B11" s="221">
        <v>8</v>
      </c>
      <c r="C11" s="43">
        <f t="shared" si="9"/>
        <v>9.9999999999999992E-2</v>
      </c>
      <c r="D11" s="157">
        <f t="shared" si="10"/>
        <v>-0.42249999999999999</v>
      </c>
      <c r="E11" s="99">
        <f t="shared" si="11"/>
        <v>0.33800000000000002</v>
      </c>
      <c r="F11" s="253">
        <f t="shared" si="12"/>
        <v>-0.21125000000000005</v>
      </c>
      <c r="G11" s="108">
        <f t="shared" si="13"/>
        <v>0.16900000000000001</v>
      </c>
      <c r="H11" s="294">
        <v>-3.84</v>
      </c>
      <c r="I11" s="99">
        <v>5</v>
      </c>
      <c r="J11" s="253">
        <f t="shared" si="14"/>
        <v>-4.4737499999999999</v>
      </c>
      <c r="K11" s="108">
        <f t="shared" si="14"/>
        <v>5.5069999999999997</v>
      </c>
      <c r="L11" s="236">
        <v>4</v>
      </c>
      <c r="M11" s="236">
        <v>6</v>
      </c>
      <c r="N11" s="297">
        <v>0.2</v>
      </c>
      <c r="O11" s="236">
        <v>0.5</v>
      </c>
      <c r="P11" s="43">
        <f t="shared" si="15"/>
        <v>0.40000000000000008</v>
      </c>
      <c r="Q11" s="195">
        <f t="shared" si="16"/>
        <v>5.25</v>
      </c>
      <c r="R11" s="197">
        <f t="shared" si="17"/>
        <v>5.75</v>
      </c>
      <c r="S11" s="253">
        <f t="shared" si="18"/>
        <v>-28.255263157894731</v>
      </c>
      <c r="T11" s="99">
        <f t="shared" si="19"/>
        <v>31.756613272311213</v>
      </c>
      <c r="U11" s="131">
        <v>2</v>
      </c>
      <c r="V11" s="69">
        <v>1.5</v>
      </c>
      <c r="W11" s="23">
        <f t="shared" si="20"/>
        <v>2</v>
      </c>
      <c r="X11" s="201">
        <f t="shared" si="21"/>
        <v>24</v>
      </c>
      <c r="Y11" s="24">
        <f t="shared" si="22"/>
        <v>18</v>
      </c>
      <c r="Z11" s="3">
        <v>130</v>
      </c>
      <c r="AA11" s="87">
        <f t="shared" si="23"/>
        <v>35.817067077850069</v>
      </c>
      <c r="AB11" s="63">
        <f t="shared" si="24"/>
        <v>43.380966025982168</v>
      </c>
      <c r="AC11" s="24">
        <f t="shared" si="25"/>
        <v>36</v>
      </c>
      <c r="AE11" s="2">
        <f t="shared" si="26"/>
        <v>6.5</v>
      </c>
      <c r="AF11" s="55">
        <f t="shared" si="0"/>
        <v>8</v>
      </c>
      <c r="AG11" s="169" t="str">
        <f t="shared" si="27"/>
        <v>#4 @ 6</v>
      </c>
      <c r="AH11" s="55">
        <v>8</v>
      </c>
      <c r="AI11" s="55">
        <f t="shared" si="28"/>
        <v>1800</v>
      </c>
      <c r="AJ11" s="47">
        <v>36000</v>
      </c>
      <c r="AK11" s="43">
        <f t="shared" si="29"/>
        <v>0.2857142857142857</v>
      </c>
      <c r="AL11" s="4">
        <f t="shared" si="30"/>
        <v>0.90476190476190477</v>
      </c>
      <c r="AM11" s="253">
        <f t="shared" si="1"/>
        <v>-4.4737499999999999</v>
      </c>
      <c r="AN11" s="108">
        <f t="shared" si="1"/>
        <v>5.5069999999999997</v>
      </c>
      <c r="AO11" s="195">
        <f t="shared" si="31"/>
        <v>1.427768670285178</v>
      </c>
      <c r="AP11" s="253">
        <f t="shared" si="32"/>
        <v>0.53333333333333344</v>
      </c>
      <c r="AQ11" s="157">
        <f t="shared" si="33"/>
        <v>-2.8000000000000007</v>
      </c>
      <c r="AR11" s="111">
        <f t="shared" si="34"/>
        <v>0.53333333333333344</v>
      </c>
      <c r="AS11" s="111">
        <f t="shared" si="35"/>
        <v>-3.0666666666666669</v>
      </c>
      <c r="AT11" s="102">
        <f t="shared" si="36"/>
        <v>1.5047107007448561</v>
      </c>
      <c r="AU11" s="253">
        <f t="shared" si="37"/>
        <v>-11.245105339546759</v>
      </c>
      <c r="AV11" s="108">
        <f t="shared" si="38"/>
        <v>12.591194498368388</v>
      </c>
      <c r="AW11" s="195">
        <f t="shared" si="39"/>
        <v>-1.3126665840646647</v>
      </c>
      <c r="AX11" s="105">
        <f t="shared" si="40"/>
        <v>1.3946417842020555</v>
      </c>
      <c r="AY11" s="253">
        <f t="shared" si="41"/>
        <v>-28.112763348866892</v>
      </c>
      <c r="AZ11" s="108">
        <f t="shared" si="42"/>
        <v>31.477986245920981</v>
      </c>
      <c r="BA11" s="155"/>
      <c r="BB11" s="55">
        <f t="shared" si="2"/>
        <v>6.5</v>
      </c>
      <c r="BC11" s="162">
        <f t="shared" si="2"/>
        <v>8</v>
      </c>
      <c r="BD11" s="169" t="str">
        <f t="shared" si="43"/>
        <v>#4 @ 6</v>
      </c>
      <c r="BE11" s="87">
        <f t="shared" si="44"/>
        <v>0.72863692761348875</v>
      </c>
      <c r="BF11" s="129">
        <f t="shared" si="45"/>
        <v>1.6515770359239079E-2</v>
      </c>
      <c r="BG11" s="191">
        <f t="shared" si="46"/>
        <v>2.5</v>
      </c>
      <c r="BH11" s="22">
        <f t="shared" si="47"/>
        <v>28.112763348866892</v>
      </c>
      <c r="BI11" s="55">
        <f t="shared" si="3"/>
        <v>8</v>
      </c>
      <c r="BJ11" s="87">
        <f t="shared" si="48"/>
        <v>1.6493506493506493</v>
      </c>
      <c r="BK11" s="69">
        <f t="shared" si="49"/>
        <v>6</v>
      </c>
      <c r="BM11" s="87">
        <f t="shared" si="50"/>
        <v>0.59808173867249859</v>
      </c>
      <c r="BN11" s="129">
        <f t="shared" si="51"/>
        <v>1.355651940990997E-2</v>
      </c>
      <c r="BO11" s="43">
        <f t="shared" si="52"/>
        <v>1.75</v>
      </c>
      <c r="BP11" s="22">
        <f t="shared" si="53"/>
        <v>31.477986245920981</v>
      </c>
      <c r="BQ11" s="87">
        <f t="shared" si="54"/>
        <v>1.4</v>
      </c>
      <c r="BR11" s="131">
        <f t="shared" si="55"/>
        <v>6</v>
      </c>
      <c r="BT11" s="2">
        <v>6.5</v>
      </c>
      <c r="BU11" s="55">
        <f t="shared" si="4"/>
        <v>12</v>
      </c>
      <c r="BV11" s="22">
        <f t="shared" si="5"/>
        <v>4.3225000000000007</v>
      </c>
      <c r="BW11" s="87">
        <f t="shared" si="6"/>
        <v>0.50700000000000001</v>
      </c>
      <c r="BX11" s="22">
        <f t="shared" si="7"/>
        <v>4.8295000000000003</v>
      </c>
      <c r="BY11" s="87">
        <f t="shared" si="8"/>
        <v>5.5069999999999997</v>
      </c>
      <c r="BZ11" s="83">
        <f t="shared" si="56"/>
        <v>1.1402836732581012</v>
      </c>
    </row>
    <row r="12" spans="1:78" x14ac:dyDescent="0.2">
      <c r="A12" s="8">
        <v>6.75</v>
      </c>
      <c r="B12" s="222">
        <v>8</v>
      </c>
      <c r="C12" s="44">
        <f t="shared" si="9"/>
        <v>9.9999999999999992E-2</v>
      </c>
      <c r="D12" s="158">
        <f t="shared" si="10"/>
        <v>-0.455625</v>
      </c>
      <c r="E12" s="101">
        <f t="shared" si="11"/>
        <v>0.36449999999999999</v>
      </c>
      <c r="F12" s="61">
        <f t="shared" si="12"/>
        <v>-0.22781250000000006</v>
      </c>
      <c r="G12" s="110">
        <f t="shared" si="13"/>
        <v>0.18225</v>
      </c>
      <c r="H12" s="296">
        <v>-3.99</v>
      </c>
      <c r="I12" s="101">
        <v>5.0999999999999996</v>
      </c>
      <c r="J12" s="61">
        <f t="shared" si="14"/>
        <v>-4.6734375000000004</v>
      </c>
      <c r="K12" s="110">
        <f t="shared" si="14"/>
        <v>5.6467499999999999</v>
      </c>
      <c r="L12" s="238">
        <v>4</v>
      </c>
      <c r="M12" s="238">
        <v>6</v>
      </c>
      <c r="N12" s="298">
        <v>0.2</v>
      </c>
      <c r="O12" s="238">
        <v>0.5</v>
      </c>
      <c r="P12" s="44">
        <f t="shared" si="15"/>
        <v>0.40000000000000008</v>
      </c>
      <c r="Q12" s="257">
        <f t="shared" si="16"/>
        <v>5.25</v>
      </c>
      <c r="R12" s="254">
        <f t="shared" si="17"/>
        <v>5.75</v>
      </c>
      <c r="S12" s="61">
        <f t="shared" si="18"/>
        <v>-29.516447368421048</v>
      </c>
      <c r="T12" s="110">
        <f t="shared" si="19"/>
        <v>32.5624942791762</v>
      </c>
      <c r="U12" s="132">
        <v>2</v>
      </c>
      <c r="V12" s="73">
        <v>1.5</v>
      </c>
      <c r="W12" s="132">
        <f t="shared" si="20"/>
        <v>2</v>
      </c>
      <c r="X12" s="245">
        <f t="shared" si="21"/>
        <v>24</v>
      </c>
      <c r="Y12" s="26">
        <f t="shared" si="22"/>
        <v>18</v>
      </c>
      <c r="Z12" s="9">
        <v>130</v>
      </c>
      <c r="AA12" s="89">
        <f t="shared" si="23"/>
        <v>35.817067077850069</v>
      </c>
      <c r="AB12" s="64">
        <f t="shared" si="24"/>
        <v>43.380966025982168</v>
      </c>
      <c r="AC12" s="245">
        <f t="shared" si="25"/>
        <v>36</v>
      </c>
      <c r="AE12" s="57">
        <f t="shared" si="26"/>
        <v>6.75</v>
      </c>
      <c r="AF12" s="57">
        <f t="shared" si="0"/>
        <v>8</v>
      </c>
      <c r="AG12" s="175" t="str">
        <f t="shared" si="27"/>
        <v>#4 @ 6</v>
      </c>
      <c r="AH12" s="57">
        <v>8</v>
      </c>
      <c r="AI12" s="57">
        <f t="shared" si="28"/>
        <v>1800</v>
      </c>
      <c r="AJ12" s="49">
        <v>36000</v>
      </c>
      <c r="AK12" s="44">
        <f t="shared" si="29"/>
        <v>0.2857142857142857</v>
      </c>
      <c r="AL12" s="10">
        <f t="shared" si="30"/>
        <v>0.90476190476190477</v>
      </c>
      <c r="AM12" s="61">
        <f t="shared" si="1"/>
        <v>-4.6734375000000004</v>
      </c>
      <c r="AN12" s="110">
        <f t="shared" si="1"/>
        <v>5.6467499999999999</v>
      </c>
      <c r="AO12" s="257">
        <f t="shared" si="31"/>
        <v>1.427768670285178</v>
      </c>
      <c r="AP12" s="61">
        <f t="shared" si="32"/>
        <v>0.53333333333333344</v>
      </c>
      <c r="AQ12" s="158">
        <f t="shared" si="33"/>
        <v>-2.8000000000000007</v>
      </c>
      <c r="AR12" s="113">
        <f t="shared" si="34"/>
        <v>0.53333333333333344</v>
      </c>
      <c r="AS12" s="113">
        <f t="shared" si="35"/>
        <v>-3.0666666666666669</v>
      </c>
      <c r="AT12" s="104">
        <f t="shared" si="36"/>
        <v>1.5047107007448561</v>
      </c>
      <c r="AU12" s="61">
        <f t="shared" si="37"/>
        <v>-11.747034810905404</v>
      </c>
      <c r="AV12" s="110">
        <f t="shared" si="38"/>
        <v>12.910718636946012</v>
      </c>
      <c r="AW12" s="257">
        <f t="shared" si="39"/>
        <v>-1.3712579466811301</v>
      </c>
      <c r="AX12" s="107">
        <f t="shared" si="40"/>
        <v>1.4300333203092348</v>
      </c>
      <c r="AY12" s="61">
        <f t="shared" si="41"/>
        <v>-29.367587027263507</v>
      </c>
      <c r="AZ12" s="110">
        <f t="shared" si="42"/>
        <v>32.276796592365038</v>
      </c>
      <c r="BA12" s="155"/>
      <c r="BB12" s="57">
        <f t="shared" si="2"/>
        <v>6.75</v>
      </c>
      <c r="BC12" s="120">
        <f t="shared" si="2"/>
        <v>8</v>
      </c>
      <c r="BD12" s="175" t="str">
        <f t="shared" si="43"/>
        <v>#4 @ 6</v>
      </c>
      <c r="BE12" s="89">
        <f t="shared" si="44"/>
        <v>0.76115990866580918</v>
      </c>
      <c r="BF12" s="235">
        <f t="shared" si="45"/>
        <v>1.7252957929758343E-2</v>
      </c>
      <c r="BG12" s="234">
        <f t="shared" si="46"/>
        <v>2.5</v>
      </c>
      <c r="BH12" s="22">
        <f t="shared" si="47"/>
        <v>29.367587027263507</v>
      </c>
      <c r="BI12" s="55">
        <f t="shared" si="3"/>
        <v>8</v>
      </c>
      <c r="BJ12" s="87">
        <f t="shared" si="48"/>
        <v>1.6493506493506493</v>
      </c>
      <c r="BK12" s="132">
        <f t="shared" si="49"/>
        <v>6</v>
      </c>
      <c r="BM12" s="89">
        <f t="shared" si="50"/>
        <v>0.61325913525493569</v>
      </c>
      <c r="BN12" s="44">
        <f t="shared" si="51"/>
        <v>1.3900540399111877E-2</v>
      </c>
      <c r="BO12" s="44">
        <f t="shared" si="52"/>
        <v>1.75</v>
      </c>
      <c r="BP12" s="25">
        <f t="shared" si="53"/>
        <v>32.276796592365038</v>
      </c>
      <c r="BQ12" s="89">
        <f t="shared" si="54"/>
        <v>1.4</v>
      </c>
      <c r="BR12" s="132">
        <f t="shared" si="55"/>
        <v>6</v>
      </c>
      <c r="BT12" s="2">
        <v>6.75</v>
      </c>
      <c r="BU12" s="55">
        <f t="shared" si="4"/>
        <v>12.25</v>
      </c>
      <c r="BV12" s="22">
        <f t="shared" si="5"/>
        <v>4.3971428571428577</v>
      </c>
      <c r="BW12" s="87">
        <f t="shared" si="6"/>
        <v>0.54674999999999996</v>
      </c>
      <c r="BX12" s="22">
        <f t="shared" si="7"/>
        <v>4.943892857142858</v>
      </c>
      <c r="BY12" s="87">
        <f t="shared" si="8"/>
        <v>5.6467499999999999</v>
      </c>
      <c r="BZ12" s="83">
        <f t="shared" si="56"/>
        <v>1.1421667425178248</v>
      </c>
    </row>
    <row r="13" spans="1:78" x14ac:dyDescent="0.2">
      <c r="A13" s="2">
        <v>7</v>
      </c>
      <c r="B13" s="221">
        <v>8</v>
      </c>
      <c r="C13" s="43">
        <f t="shared" si="9"/>
        <v>9.9999999999999992E-2</v>
      </c>
      <c r="D13" s="157">
        <f t="shared" si="10"/>
        <v>-0.49</v>
      </c>
      <c r="E13" s="99">
        <f t="shared" si="11"/>
        <v>0.39200000000000002</v>
      </c>
      <c r="F13" s="253">
        <f t="shared" si="12"/>
        <v>-0.24500000000000005</v>
      </c>
      <c r="G13" s="108">
        <f t="shared" si="13"/>
        <v>0.19600000000000001</v>
      </c>
      <c r="H13" s="294">
        <v>-4.3600000000000003</v>
      </c>
      <c r="I13" s="99">
        <v>5.21</v>
      </c>
      <c r="J13" s="253">
        <f t="shared" si="14"/>
        <v>-5.0950000000000006</v>
      </c>
      <c r="K13" s="108">
        <f t="shared" si="14"/>
        <v>5.798</v>
      </c>
      <c r="L13" s="236">
        <v>4</v>
      </c>
      <c r="M13" s="236">
        <v>5.5</v>
      </c>
      <c r="N13" s="297">
        <v>0.2</v>
      </c>
      <c r="O13" s="236">
        <v>0.5</v>
      </c>
      <c r="P13" s="43">
        <f t="shared" si="15"/>
        <v>0.43636363636363645</v>
      </c>
      <c r="Q13" s="195">
        <f t="shared" si="16"/>
        <v>5.25</v>
      </c>
      <c r="R13" s="197">
        <f t="shared" si="17"/>
        <v>5.75</v>
      </c>
      <c r="S13" s="253">
        <f t="shared" si="18"/>
        <v>-29.497368421052627</v>
      </c>
      <c r="T13" s="99">
        <f t="shared" si="19"/>
        <v>30.648466819221959</v>
      </c>
      <c r="U13" s="131">
        <v>2</v>
      </c>
      <c r="V13" s="69">
        <v>1.5</v>
      </c>
      <c r="W13" s="23">
        <f t="shared" si="20"/>
        <v>2.1818181818181817</v>
      </c>
      <c r="X13" s="201">
        <f t="shared" si="21"/>
        <v>22</v>
      </c>
      <c r="Y13" s="24">
        <f t="shared" si="22"/>
        <v>16.5</v>
      </c>
      <c r="Z13" s="3">
        <v>130</v>
      </c>
      <c r="AA13" s="87">
        <f t="shared" si="23"/>
        <v>36.870040192552679</v>
      </c>
      <c r="AB13" s="63">
        <f t="shared" si="24"/>
        <v>44.656307494224144</v>
      </c>
      <c r="AC13" s="24">
        <f t="shared" si="25"/>
        <v>36</v>
      </c>
      <c r="AE13" s="2">
        <f t="shared" si="26"/>
        <v>7</v>
      </c>
      <c r="AF13" s="55">
        <f t="shared" si="0"/>
        <v>8</v>
      </c>
      <c r="AG13" s="169" t="str">
        <f t="shared" si="27"/>
        <v>#4 @ 5.5</v>
      </c>
      <c r="AH13" s="55">
        <v>8</v>
      </c>
      <c r="AI13" s="55">
        <f t="shared" si="28"/>
        <v>1800</v>
      </c>
      <c r="AJ13" s="47">
        <v>36000</v>
      </c>
      <c r="AK13" s="43">
        <f t="shared" si="29"/>
        <v>0.2857142857142857</v>
      </c>
      <c r="AL13" s="155">
        <f t="shared" si="30"/>
        <v>0.90476190476190477</v>
      </c>
      <c r="AM13" s="253">
        <f t="shared" si="1"/>
        <v>-5.0950000000000006</v>
      </c>
      <c r="AN13" s="108">
        <f t="shared" si="1"/>
        <v>5.798</v>
      </c>
      <c r="AO13" s="195">
        <f t="shared" si="31"/>
        <v>1.4808622131025213</v>
      </c>
      <c r="AP13" s="253">
        <f t="shared" si="32"/>
        <v>0.5818181818181819</v>
      </c>
      <c r="AQ13" s="157">
        <f t="shared" si="33"/>
        <v>-3.0545454545454551</v>
      </c>
      <c r="AR13" s="111">
        <f t="shared" si="34"/>
        <v>0.5818181818181819</v>
      </c>
      <c r="AS13" s="111">
        <f t="shared" si="35"/>
        <v>-3.3454545454545461</v>
      </c>
      <c r="AT13" s="102">
        <f t="shared" si="36"/>
        <v>1.5611391386540865</v>
      </c>
      <c r="AU13" s="253">
        <f t="shared" si="37"/>
        <v>-12.85431556827659</v>
      </c>
      <c r="AV13" s="108">
        <f t="shared" si="38"/>
        <v>13.304216401986348</v>
      </c>
      <c r="AW13" s="260">
        <f t="shared" si="39"/>
        <v>-1.4467152373059973</v>
      </c>
      <c r="AX13" s="118">
        <f t="shared" si="40"/>
        <v>1.4203534748624207</v>
      </c>
      <c r="AY13" s="253">
        <f t="shared" si="41"/>
        <v>-29.457806510633848</v>
      </c>
      <c r="AZ13" s="108">
        <f t="shared" si="42"/>
        <v>30.488829254552041</v>
      </c>
      <c r="BA13" s="155"/>
      <c r="BB13" s="2">
        <f t="shared" si="2"/>
        <v>7</v>
      </c>
      <c r="BC13" s="119">
        <f t="shared" si="2"/>
        <v>8</v>
      </c>
      <c r="BD13" s="169" t="str">
        <f t="shared" si="43"/>
        <v>#4 @ 5.5</v>
      </c>
      <c r="BE13" s="66">
        <f t="shared" si="44"/>
        <v>0.72879378445139587</v>
      </c>
      <c r="BF13" s="129">
        <f t="shared" si="45"/>
        <v>1.6519325780898309E-2</v>
      </c>
      <c r="BG13" s="191">
        <f t="shared" si="46"/>
        <v>2.5</v>
      </c>
      <c r="BH13" s="27">
        <f t="shared" si="47"/>
        <v>29.457806510633848</v>
      </c>
      <c r="BI13" s="56">
        <f t="shared" si="3"/>
        <v>8</v>
      </c>
      <c r="BJ13" s="88">
        <f t="shared" si="48"/>
        <v>1.6493506493506493</v>
      </c>
      <c r="BK13" s="69">
        <f t="shared" si="49"/>
        <v>5.5</v>
      </c>
      <c r="BM13" s="66">
        <f t="shared" si="50"/>
        <v>0.54879892658193674</v>
      </c>
      <c r="BN13" s="129">
        <f t="shared" si="51"/>
        <v>1.2439442335857233E-2</v>
      </c>
      <c r="BO13" s="43">
        <f t="shared" si="52"/>
        <v>1.75</v>
      </c>
      <c r="BP13" s="22">
        <f t="shared" si="53"/>
        <v>30.488829254552041</v>
      </c>
      <c r="BQ13" s="87">
        <f t="shared" si="54"/>
        <v>1.4</v>
      </c>
      <c r="BR13" s="69">
        <f t="shared" si="55"/>
        <v>5.5</v>
      </c>
      <c r="BT13" s="8">
        <v>7</v>
      </c>
      <c r="BU13" s="57">
        <f t="shared" si="4"/>
        <v>12.5</v>
      </c>
      <c r="BV13" s="25">
        <f t="shared" si="5"/>
        <v>4.4687999999999999</v>
      </c>
      <c r="BW13" s="89">
        <f t="shared" si="6"/>
        <v>0.58800000000000008</v>
      </c>
      <c r="BX13" s="25">
        <f t="shared" si="7"/>
        <v>5.0568</v>
      </c>
      <c r="BY13" s="89">
        <f t="shared" si="8"/>
        <v>5.798</v>
      </c>
      <c r="BZ13" s="84">
        <f t="shared" si="56"/>
        <v>1.1465749090333808</v>
      </c>
    </row>
    <row r="14" spans="1:78" x14ac:dyDescent="0.2">
      <c r="A14" s="2">
        <v>7.25</v>
      </c>
      <c r="B14" s="221">
        <v>8</v>
      </c>
      <c r="C14" s="43">
        <f t="shared" si="9"/>
        <v>9.9999999999999992E-2</v>
      </c>
      <c r="D14" s="157">
        <f t="shared" si="10"/>
        <v>-0.52562500000000001</v>
      </c>
      <c r="E14" s="99">
        <f t="shared" si="11"/>
        <v>0.42049999999999998</v>
      </c>
      <c r="F14" s="253">
        <f t="shared" si="12"/>
        <v>-0.26281250000000006</v>
      </c>
      <c r="G14" s="108">
        <f t="shared" si="13"/>
        <v>0.21024999999999999</v>
      </c>
      <c r="H14" s="294">
        <v>-4.49</v>
      </c>
      <c r="I14" s="99">
        <v>5.32</v>
      </c>
      <c r="J14" s="253">
        <f t="shared" si="14"/>
        <v>-5.2784375000000008</v>
      </c>
      <c r="K14" s="108">
        <f t="shared" si="14"/>
        <v>5.9507500000000002</v>
      </c>
      <c r="L14" s="236">
        <v>4</v>
      </c>
      <c r="M14" s="236">
        <v>5.5</v>
      </c>
      <c r="N14" s="297">
        <v>0.2</v>
      </c>
      <c r="O14" s="236">
        <v>0.5</v>
      </c>
      <c r="P14" s="43">
        <f t="shared" si="15"/>
        <v>0.43636363636363645</v>
      </c>
      <c r="Q14" s="195">
        <f t="shared" si="16"/>
        <v>5.25</v>
      </c>
      <c r="R14" s="197">
        <f t="shared" si="17"/>
        <v>5.75</v>
      </c>
      <c r="S14" s="253">
        <f t="shared" si="18"/>
        <v>-30.559374999999999</v>
      </c>
      <c r="T14" s="99">
        <f t="shared" si="19"/>
        <v>31.455909610983976</v>
      </c>
      <c r="U14" s="131">
        <v>2</v>
      </c>
      <c r="V14" s="69">
        <v>1.5</v>
      </c>
      <c r="W14" s="23">
        <f t="shared" si="20"/>
        <v>2.1818181818181817</v>
      </c>
      <c r="X14" s="201">
        <f t="shared" si="21"/>
        <v>22</v>
      </c>
      <c r="Y14" s="24">
        <f t="shared" si="22"/>
        <v>16.5</v>
      </c>
      <c r="Z14" s="3">
        <v>130</v>
      </c>
      <c r="AA14" s="87">
        <f t="shared" si="23"/>
        <v>36.870040192552679</v>
      </c>
      <c r="AB14" s="63">
        <f t="shared" si="24"/>
        <v>44.656307494224144</v>
      </c>
      <c r="AC14" s="24">
        <f t="shared" si="25"/>
        <v>36</v>
      </c>
      <c r="AE14" s="2">
        <f t="shared" si="26"/>
        <v>7.25</v>
      </c>
      <c r="AF14" s="55">
        <f t="shared" si="0"/>
        <v>8</v>
      </c>
      <c r="AG14" s="169" t="str">
        <f t="shared" si="27"/>
        <v>#4 @ 5.5</v>
      </c>
      <c r="AH14" s="55">
        <v>8</v>
      </c>
      <c r="AI14" s="55">
        <f t="shared" si="28"/>
        <v>1800</v>
      </c>
      <c r="AJ14" s="47">
        <v>36000</v>
      </c>
      <c r="AK14" s="43">
        <f t="shared" si="29"/>
        <v>0.2857142857142857</v>
      </c>
      <c r="AL14" s="155">
        <f t="shared" si="30"/>
        <v>0.90476190476190477</v>
      </c>
      <c r="AM14" s="253">
        <f t="shared" si="1"/>
        <v>-5.2784375000000008</v>
      </c>
      <c r="AN14" s="108">
        <f t="shared" si="1"/>
        <v>5.9507500000000002</v>
      </c>
      <c r="AO14" s="195">
        <f t="shared" si="31"/>
        <v>1.4808622131025213</v>
      </c>
      <c r="AP14" s="253">
        <f t="shared" si="32"/>
        <v>0.5818181818181819</v>
      </c>
      <c r="AQ14" s="157">
        <f t="shared" si="33"/>
        <v>-3.0545454545454551</v>
      </c>
      <c r="AR14" s="111">
        <f t="shared" si="34"/>
        <v>0.5818181818181819</v>
      </c>
      <c r="AS14" s="111">
        <f t="shared" si="35"/>
        <v>-3.3454545454545461</v>
      </c>
      <c r="AT14" s="102">
        <f t="shared" si="36"/>
        <v>1.5611391386540865</v>
      </c>
      <c r="AU14" s="253">
        <f t="shared" si="37"/>
        <v>-13.317115079965646</v>
      </c>
      <c r="AV14" s="108">
        <f t="shared" si="38"/>
        <v>13.654719861007292</v>
      </c>
      <c r="AW14" s="260">
        <f t="shared" si="39"/>
        <v>-1.4988019549396223</v>
      </c>
      <c r="AX14" s="118">
        <f t="shared" si="40"/>
        <v>1.4577731011620474</v>
      </c>
      <c r="AY14" s="253">
        <f t="shared" si="41"/>
        <v>-30.518388724921266</v>
      </c>
      <c r="AZ14" s="108">
        <f t="shared" si="42"/>
        <v>31.292066348141702</v>
      </c>
      <c r="BA14" s="155"/>
      <c r="BB14" s="2">
        <f t="shared" si="2"/>
        <v>7.25</v>
      </c>
      <c r="BC14" s="162">
        <f t="shared" si="2"/>
        <v>8</v>
      </c>
      <c r="BD14" s="169" t="str">
        <f t="shared" si="43"/>
        <v>#4 @ 5.5</v>
      </c>
      <c r="BE14" s="66">
        <f t="shared" si="44"/>
        <v>0.75503286390876645</v>
      </c>
      <c r="BF14" s="129">
        <f t="shared" si="45"/>
        <v>1.7114078248598705E-2</v>
      </c>
      <c r="BG14" s="191">
        <f t="shared" si="46"/>
        <v>2.5</v>
      </c>
      <c r="BH14" s="22">
        <f t="shared" si="47"/>
        <v>30.518388724921266</v>
      </c>
      <c r="BI14" s="55">
        <f t="shared" si="3"/>
        <v>8</v>
      </c>
      <c r="BJ14" s="87">
        <f t="shared" si="48"/>
        <v>1.6493506493506493</v>
      </c>
      <c r="BK14" s="69">
        <f t="shared" si="49"/>
        <v>5.5</v>
      </c>
      <c r="BM14" s="66">
        <f t="shared" si="50"/>
        <v>0.56325719426655063</v>
      </c>
      <c r="BN14" s="129">
        <f t="shared" si="51"/>
        <v>1.2767163070041816E-2</v>
      </c>
      <c r="BO14" s="43">
        <f t="shared" si="52"/>
        <v>1.75</v>
      </c>
      <c r="BP14" s="22">
        <f t="shared" si="53"/>
        <v>31.292066348141702</v>
      </c>
      <c r="BQ14" s="87">
        <f t="shared" si="54"/>
        <v>1.4</v>
      </c>
      <c r="BR14" s="69">
        <f t="shared" si="55"/>
        <v>5.5</v>
      </c>
      <c r="BT14" s="1"/>
      <c r="BU14" s="1"/>
      <c r="BV14" s="156"/>
      <c r="BW14" s="156"/>
      <c r="BX14" s="156"/>
      <c r="BY14" s="156"/>
      <c r="BZ14" s="156"/>
    </row>
    <row r="15" spans="1:78" x14ac:dyDescent="0.2">
      <c r="A15" s="2">
        <v>7.5</v>
      </c>
      <c r="B15" s="221">
        <v>8</v>
      </c>
      <c r="C15" s="43">
        <f t="shared" si="9"/>
        <v>9.9999999999999992E-2</v>
      </c>
      <c r="D15" s="157">
        <f t="shared" si="10"/>
        <v>-0.5625</v>
      </c>
      <c r="E15" s="99">
        <f t="shared" si="11"/>
        <v>0.45</v>
      </c>
      <c r="F15" s="253">
        <f t="shared" si="12"/>
        <v>-0.28125000000000006</v>
      </c>
      <c r="G15" s="108">
        <f t="shared" si="13"/>
        <v>0.22500000000000001</v>
      </c>
      <c r="H15" s="294">
        <v>-4.6100000000000003</v>
      </c>
      <c r="I15" s="99">
        <v>5.44</v>
      </c>
      <c r="J15" s="253">
        <f t="shared" si="14"/>
        <v>-5.4537500000000003</v>
      </c>
      <c r="K15" s="108">
        <f t="shared" si="14"/>
        <v>6.1150000000000002</v>
      </c>
      <c r="L15" s="236">
        <v>4</v>
      </c>
      <c r="M15" s="236">
        <v>5.5</v>
      </c>
      <c r="N15" s="297">
        <v>0.2</v>
      </c>
      <c r="O15" s="236">
        <v>0.5</v>
      </c>
      <c r="P15" s="43">
        <f t="shared" si="15"/>
        <v>0.43636363636363645</v>
      </c>
      <c r="Q15" s="195">
        <f t="shared" si="16"/>
        <v>5.25</v>
      </c>
      <c r="R15" s="197">
        <f t="shared" si="17"/>
        <v>5.75</v>
      </c>
      <c r="S15" s="253">
        <f t="shared" si="18"/>
        <v>-31.574342105263156</v>
      </c>
      <c r="T15" s="99">
        <f t="shared" si="19"/>
        <v>32.324141876430197</v>
      </c>
      <c r="U15" s="131">
        <v>2</v>
      </c>
      <c r="V15" s="69">
        <v>1.5</v>
      </c>
      <c r="W15" s="23">
        <f t="shared" si="20"/>
        <v>2.1818181818181817</v>
      </c>
      <c r="X15" s="201">
        <f t="shared" si="21"/>
        <v>22</v>
      </c>
      <c r="Y15" s="24">
        <f t="shared" si="22"/>
        <v>16.5</v>
      </c>
      <c r="Z15" s="3">
        <v>130</v>
      </c>
      <c r="AA15" s="87">
        <f t="shared" si="23"/>
        <v>36.870040192552679</v>
      </c>
      <c r="AB15" s="63">
        <f t="shared" si="24"/>
        <v>44.656307494224144</v>
      </c>
      <c r="AC15" s="24">
        <f t="shared" si="25"/>
        <v>36</v>
      </c>
      <c r="AE15" s="2">
        <f t="shared" si="26"/>
        <v>7.5</v>
      </c>
      <c r="AF15" s="55">
        <f t="shared" si="0"/>
        <v>8</v>
      </c>
      <c r="AG15" s="169" t="str">
        <f t="shared" si="27"/>
        <v>#4 @ 5.5</v>
      </c>
      <c r="AH15" s="55">
        <v>8</v>
      </c>
      <c r="AI15" s="55">
        <f t="shared" si="28"/>
        <v>1800</v>
      </c>
      <c r="AJ15" s="47">
        <v>36000</v>
      </c>
      <c r="AK15" s="43">
        <f t="shared" si="29"/>
        <v>0.2857142857142857</v>
      </c>
      <c r="AL15" s="155">
        <f t="shared" si="30"/>
        <v>0.90476190476190477</v>
      </c>
      <c r="AM15" s="253">
        <f t="shared" si="1"/>
        <v>-5.4537500000000003</v>
      </c>
      <c r="AN15" s="108">
        <f t="shared" si="1"/>
        <v>6.1150000000000002</v>
      </c>
      <c r="AO15" s="195">
        <f t="shared" si="31"/>
        <v>1.4808622131025213</v>
      </c>
      <c r="AP15" s="253">
        <f t="shared" si="32"/>
        <v>0.5818181818181819</v>
      </c>
      <c r="AQ15" s="157">
        <f t="shared" si="33"/>
        <v>-3.0545454545454551</v>
      </c>
      <c r="AR15" s="111">
        <f t="shared" si="34"/>
        <v>0.5818181818181819</v>
      </c>
      <c r="AS15" s="111">
        <f t="shared" si="35"/>
        <v>-3.3454545454545461</v>
      </c>
      <c r="AT15" s="102">
        <f t="shared" si="36"/>
        <v>1.5611391386540865</v>
      </c>
      <c r="AU15" s="253">
        <f t="shared" si="37"/>
        <v>-13.759415805787725</v>
      </c>
      <c r="AV15" s="108">
        <f t="shared" si="38"/>
        <v>14.031611469152557</v>
      </c>
      <c r="AW15" s="260">
        <f t="shared" si="39"/>
        <v>-1.5485815947904973</v>
      </c>
      <c r="AX15" s="118">
        <f t="shared" si="40"/>
        <v>1.4980099170030532</v>
      </c>
      <c r="AY15" s="253">
        <f t="shared" si="41"/>
        <v>-31.531994554930197</v>
      </c>
      <c r="AZ15" s="108">
        <f t="shared" si="42"/>
        <v>32.155776283474601</v>
      </c>
      <c r="BA15" s="155"/>
      <c r="BB15" s="2">
        <f t="shared" si="2"/>
        <v>7.5</v>
      </c>
      <c r="BC15" s="162">
        <f t="shared" si="2"/>
        <v>8</v>
      </c>
      <c r="BD15" s="169" t="str">
        <f t="shared" si="43"/>
        <v>#4 @ 5.5</v>
      </c>
      <c r="BE15" s="66">
        <f t="shared" si="44"/>
        <v>0.7801097354174289</v>
      </c>
      <c r="BF15" s="129">
        <f t="shared" si="45"/>
        <v>1.7682487336128389E-2</v>
      </c>
      <c r="BG15" s="191">
        <f t="shared" si="46"/>
        <v>2.5</v>
      </c>
      <c r="BH15" s="22">
        <f t="shared" si="47"/>
        <v>31.531994554930197</v>
      </c>
      <c r="BI15" s="55">
        <f t="shared" si="3"/>
        <v>8</v>
      </c>
      <c r="BJ15" s="87">
        <f t="shared" si="48"/>
        <v>1.6493506493506493</v>
      </c>
      <c r="BK15" s="69">
        <f t="shared" si="49"/>
        <v>5.5</v>
      </c>
      <c r="BM15" s="66">
        <f t="shared" si="50"/>
        <v>0.57880397310254283</v>
      </c>
      <c r="BN15" s="129">
        <f t="shared" si="51"/>
        <v>1.3119556723657638E-2</v>
      </c>
      <c r="BO15" s="43">
        <f t="shared" si="52"/>
        <v>1.75</v>
      </c>
      <c r="BP15" s="22">
        <f t="shared" si="53"/>
        <v>32.155776283474601</v>
      </c>
      <c r="BQ15" s="87">
        <f t="shared" si="54"/>
        <v>1.4</v>
      </c>
      <c r="BR15" s="69">
        <f t="shared" si="55"/>
        <v>5.5</v>
      </c>
      <c r="BT15" s="1"/>
      <c r="BU15" s="1"/>
      <c r="BV15" s="156"/>
      <c r="BW15" s="156"/>
      <c r="BX15" s="156"/>
      <c r="BY15" s="156"/>
      <c r="BZ15" s="156"/>
    </row>
    <row r="16" spans="1:78" x14ac:dyDescent="0.2">
      <c r="A16" s="2">
        <v>7.75</v>
      </c>
      <c r="B16" s="222">
        <v>8</v>
      </c>
      <c r="C16" s="43">
        <f t="shared" si="9"/>
        <v>9.9999999999999992E-2</v>
      </c>
      <c r="D16" s="157">
        <f t="shared" si="10"/>
        <v>-0.60062499999999996</v>
      </c>
      <c r="E16" s="99">
        <f t="shared" si="11"/>
        <v>0.48049999999999998</v>
      </c>
      <c r="F16" s="253">
        <f t="shared" si="12"/>
        <v>-0.30031250000000004</v>
      </c>
      <c r="G16" s="108">
        <f t="shared" si="13"/>
        <v>0.24024999999999999</v>
      </c>
      <c r="H16" s="294">
        <v>-4.71</v>
      </c>
      <c r="I16" s="99">
        <v>5.56</v>
      </c>
      <c r="J16" s="253">
        <f t="shared" si="14"/>
        <v>-5.6109375000000004</v>
      </c>
      <c r="K16" s="108">
        <f t="shared" si="14"/>
        <v>6.2807499999999994</v>
      </c>
      <c r="L16" s="238">
        <v>4</v>
      </c>
      <c r="M16" s="238">
        <v>5.5</v>
      </c>
      <c r="N16" s="298">
        <v>0.2</v>
      </c>
      <c r="O16" s="238">
        <v>0.5</v>
      </c>
      <c r="P16" s="44">
        <f t="shared" si="15"/>
        <v>0.43636363636363645</v>
      </c>
      <c r="Q16" s="257">
        <f t="shared" si="16"/>
        <v>5.25</v>
      </c>
      <c r="R16" s="254">
        <f t="shared" si="17"/>
        <v>5.75</v>
      </c>
      <c r="S16" s="61">
        <f t="shared" si="18"/>
        <v>-32.484375</v>
      </c>
      <c r="T16" s="110">
        <f t="shared" si="19"/>
        <v>33.200303203661321</v>
      </c>
      <c r="U16" s="131">
        <v>2</v>
      </c>
      <c r="V16" s="69">
        <v>1.5</v>
      </c>
      <c r="W16" s="132">
        <f t="shared" si="20"/>
        <v>2.1818181818181817</v>
      </c>
      <c r="X16" s="201">
        <f t="shared" si="21"/>
        <v>22</v>
      </c>
      <c r="Y16" s="24">
        <f t="shared" si="22"/>
        <v>16.5</v>
      </c>
      <c r="Z16" s="3">
        <v>130</v>
      </c>
      <c r="AA16" s="87">
        <f t="shared" si="23"/>
        <v>36.870040192552679</v>
      </c>
      <c r="AB16" s="63">
        <f t="shared" si="24"/>
        <v>44.656307494224144</v>
      </c>
      <c r="AC16" s="245">
        <f t="shared" si="25"/>
        <v>36</v>
      </c>
      <c r="AE16" s="57">
        <f t="shared" si="26"/>
        <v>7.75</v>
      </c>
      <c r="AF16" s="55">
        <f t="shared" si="0"/>
        <v>8</v>
      </c>
      <c r="AG16" s="175" t="str">
        <f t="shared" si="27"/>
        <v>#4 @ 5.5</v>
      </c>
      <c r="AH16" s="55">
        <v>8</v>
      </c>
      <c r="AI16" s="57">
        <f t="shared" si="28"/>
        <v>1800</v>
      </c>
      <c r="AJ16" s="47">
        <v>36000</v>
      </c>
      <c r="AK16" s="43">
        <f t="shared" si="29"/>
        <v>0.2857142857142857</v>
      </c>
      <c r="AL16" s="155">
        <f t="shared" si="30"/>
        <v>0.90476190476190477</v>
      </c>
      <c r="AM16" s="253">
        <f t="shared" si="1"/>
        <v>-5.6109375000000004</v>
      </c>
      <c r="AN16" s="108">
        <f t="shared" si="1"/>
        <v>6.2807499999999994</v>
      </c>
      <c r="AO16" s="195">
        <f t="shared" si="31"/>
        <v>1.4808622131025213</v>
      </c>
      <c r="AP16" s="253">
        <f t="shared" si="32"/>
        <v>0.5818181818181819</v>
      </c>
      <c r="AQ16" s="157">
        <f t="shared" si="33"/>
        <v>-3.0545454545454551</v>
      </c>
      <c r="AR16" s="111">
        <f t="shared" si="34"/>
        <v>0.5818181818181819</v>
      </c>
      <c r="AS16" s="111">
        <f t="shared" si="35"/>
        <v>-3.3454545454545461</v>
      </c>
      <c r="AT16" s="102">
        <f t="shared" si="36"/>
        <v>1.5611391386540865</v>
      </c>
      <c r="AU16" s="253">
        <f t="shared" si="37"/>
        <v>-14.155988470829625</v>
      </c>
      <c r="AV16" s="108">
        <f t="shared" si="38"/>
        <v>14.411945009792301</v>
      </c>
      <c r="AW16" s="260">
        <f t="shared" si="39"/>
        <v>-1.5932146765106223</v>
      </c>
      <c r="AX16" s="118">
        <f t="shared" si="40"/>
        <v>1.5386141923494565</v>
      </c>
      <c r="AY16" s="253">
        <f t="shared" si="41"/>
        <v>-32.440806912317882</v>
      </c>
      <c r="AZ16" s="108">
        <f t="shared" si="42"/>
        <v>33.027373980774016</v>
      </c>
      <c r="BA16" s="155"/>
      <c r="BB16" s="2">
        <f t="shared" si="2"/>
        <v>7.75</v>
      </c>
      <c r="BC16" s="120">
        <f t="shared" si="2"/>
        <v>8</v>
      </c>
      <c r="BD16" s="175" t="str">
        <f t="shared" si="43"/>
        <v>#4 @ 5.5</v>
      </c>
      <c r="BE16" s="66">
        <f t="shared" si="44"/>
        <v>0.80259398919435809</v>
      </c>
      <c r="BF16" s="235">
        <f t="shared" si="45"/>
        <v>1.8192130421738787E-2</v>
      </c>
      <c r="BG16" s="234">
        <f t="shared" si="46"/>
        <v>2.5</v>
      </c>
      <c r="BH16" s="25">
        <f t="shared" si="47"/>
        <v>32.440806912317882</v>
      </c>
      <c r="BI16" s="57">
        <f t="shared" si="3"/>
        <v>8</v>
      </c>
      <c r="BJ16" s="89">
        <f t="shared" si="48"/>
        <v>1.6493506493506493</v>
      </c>
      <c r="BK16" s="132">
        <f t="shared" si="49"/>
        <v>5.5</v>
      </c>
      <c r="BM16" s="66">
        <f t="shared" si="50"/>
        <v>0.59449273165393224</v>
      </c>
      <c r="BN16" s="44">
        <f t="shared" si="51"/>
        <v>1.3475168584155798E-2</v>
      </c>
      <c r="BO16" s="44">
        <f t="shared" si="52"/>
        <v>1.75</v>
      </c>
      <c r="BP16" s="22">
        <f t="shared" si="53"/>
        <v>33.027373980774016</v>
      </c>
      <c r="BQ16" s="87">
        <f t="shared" si="54"/>
        <v>1.4</v>
      </c>
      <c r="BR16" s="69">
        <f t="shared" si="55"/>
        <v>5.5</v>
      </c>
      <c r="BT16" s="1"/>
      <c r="BU16" s="1"/>
      <c r="BV16" s="156"/>
      <c r="BW16" s="156"/>
      <c r="BX16" s="156"/>
      <c r="BY16" s="156"/>
      <c r="BZ16" s="156"/>
    </row>
    <row r="17" spans="1:78" x14ac:dyDescent="0.2">
      <c r="A17" s="17">
        <v>8</v>
      </c>
      <c r="B17" s="221">
        <v>8</v>
      </c>
      <c r="C17" s="42">
        <f t="shared" si="9"/>
        <v>9.9999999999999992E-2</v>
      </c>
      <c r="D17" s="160">
        <f t="shared" si="10"/>
        <v>-0.64</v>
      </c>
      <c r="E17" s="100">
        <f t="shared" si="11"/>
        <v>0.51200000000000001</v>
      </c>
      <c r="F17" s="255">
        <f t="shared" si="12"/>
        <v>-0.32000000000000006</v>
      </c>
      <c r="G17" s="109">
        <f t="shared" si="13"/>
        <v>0.25600000000000001</v>
      </c>
      <c r="H17" s="295">
        <v>-4.8099999999999996</v>
      </c>
      <c r="I17" s="100">
        <v>5.69</v>
      </c>
      <c r="J17" s="255">
        <f t="shared" si="14"/>
        <v>-5.77</v>
      </c>
      <c r="K17" s="100">
        <f t="shared" si="14"/>
        <v>6.4580000000000002</v>
      </c>
      <c r="L17" s="236">
        <v>4</v>
      </c>
      <c r="M17" s="236">
        <v>5</v>
      </c>
      <c r="N17" s="297">
        <v>0.2</v>
      </c>
      <c r="O17" s="236">
        <v>0.5</v>
      </c>
      <c r="P17" s="43">
        <f t="shared" si="15"/>
        <v>0.48000000000000009</v>
      </c>
      <c r="Q17" s="195">
        <f t="shared" si="16"/>
        <v>5.25</v>
      </c>
      <c r="R17" s="197">
        <f>B17-1.5-O17/2-0.5</f>
        <v>5.75</v>
      </c>
      <c r="S17" s="253">
        <f t="shared" si="18"/>
        <v>-30.368421052631568</v>
      </c>
      <c r="T17" s="99">
        <f t="shared" si="19"/>
        <v>31.033867276887868</v>
      </c>
      <c r="U17" s="130">
        <v>2</v>
      </c>
      <c r="V17" s="71">
        <v>1.5</v>
      </c>
      <c r="W17" s="23">
        <f t="shared" si="20"/>
        <v>2.4</v>
      </c>
      <c r="X17" s="244">
        <f t="shared" si="21"/>
        <v>20</v>
      </c>
      <c r="Y17" s="28">
        <f t="shared" si="22"/>
        <v>15</v>
      </c>
      <c r="Z17" s="18">
        <v>130</v>
      </c>
      <c r="AA17" s="88">
        <f t="shared" si="23"/>
        <v>38.059000190924671</v>
      </c>
      <c r="AB17" s="65">
        <f t="shared" si="24"/>
        <v>46.096353748807744</v>
      </c>
      <c r="AC17" s="24">
        <f t="shared" si="25"/>
        <v>36</v>
      </c>
      <c r="AE17" s="2">
        <f t="shared" si="26"/>
        <v>8</v>
      </c>
      <c r="AF17" s="56">
        <f t="shared" si="0"/>
        <v>8</v>
      </c>
      <c r="AG17" s="169" t="str">
        <f t="shared" si="27"/>
        <v>#4 @ 5</v>
      </c>
      <c r="AH17" s="56">
        <v>8</v>
      </c>
      <c r="AI17" s="55">
        <f t="shared" si="28"/>
        <v>1800</v>
      </c>
      <c r="AJ17" s="48">
        <v>36000</v>
      </c>
      <c r="AK17" s="42">
        <f t="shared" si="29"/>
        <v>0.2857142857142857</v>
      </c>
      <c r="AL17" s="19">
        <f t="shared" si="30"/>
        <v>0.90476190476190477</v>
      </c>
      <c r="AM17" s="255">
        <f t="shared" si="1"/>
        <v>-5.77</v>
      </c>
      <c r="AN17" s="109">
        <f t="shared" si="1"/>
        <v>6.4580000000000002</v>
      </c>
      <c r="AO17" s="256">
        <f t="shared" si="31"/>
        <v>1.5407525359380811</v>
      </c>
      <c r="AP17" s="255">
        <f t="shared" si="32"/>
        <v>0.64000000000000012</v>
      </c>
      <c r="AQ17" s="160">
        <f t="shared" si="33"/>
        <v>-3.3600000000000008</v>
      </c>
      <c r="AR17" s="112">
        <f t="shared" si="34"/>
        <v>0.64000000000000012</v>
      </c>
      <c r="AS17" s="112">
        <f t="shared" si="35"/>
        <v>-3.680000000000001</v>
      </c>
      <c r="AT17" s="103">
        <f t="shared" si="36"/>
        <v>1.6248393249829149</v>
      </c>
      <c r="AU17" s="255">
        <f t="shared" si="37"/>
        <v>-14.618648913347885</v>
      </c>
      <c r="AV17" s="109">
        <f t="shared" si="38"/>
        <v>14.879078995438606</v>
      </c>
      <c r="AW17" s="261">
        <f t="shared" si="39"/>
        <v>-1.581332127468843</v>
      </c>
      <c r="AX17" s="106">
        <f t="shared" si="40"/>
        <v>1.5262102911411521</v>
      </c>
      <c r="AY17" s="255">
        <f t="shared" si="41"/>
        <v>-30.455518569474762</v>
      </c>
      <c r="AZ17" s="109">
        <f t="shared" si="42"/>
        <v>30.998081240497093</v>
      </c>
      <c r="BA17" s="155"/>
      <c r="BB17" s="56">
        <f t="shared" si="2"/>
        <v>8</v>
      </c>
      <c r="BC17" s="165">
        <f t="shared" si="2"/>
        <v>8</v>
      </c>
      <c r="BD17" s="169" t="str">
        <f t="shared" si="43"/>
        <v>#4 @ 5</v>
      </c>
      <c r="BE17" s="88">
        <f t="shared" si="44"/>
        <v>0.71759756184105661</v>
      </c>
      <c r="BF17" s="129">
        <f t="shared" si="45"/>
        <v>1.6265544735063951E-2</v>
      </c>
      <c r="BG17" s="191">
        <f t="shared" si="46"/>
        <v>2.5</v>
      </c>
      <c r="BH17" s="22">
        <f t="shared" si="47"/>
        <v>30.455518569474762</v>
      </c>
      <c r="BI17" s="55">
        <f t="shared" si="3"/>
        <v>8</v>
      </c>
      <c r="BJ17" s="87">
        <f t="shared" si="48"/>
        <v>1.6493506493506493</v>
      </c>
      <c r="BK17" s="69">
        <f t="shared" si="49"/>
        <v>5</v>
      </c>
      <c r="BM17" s="88">
        <f t="shared" si="50"/>
        <v>0.52696738108845054</v>
      </c>
      <c r="BN17" s="129">
        <f t="shared" si="51"/>
        <v>1.1944593971338213E-2</v>
      </c>
      <c r="BO17" s="43">
        <f t="shared" si="52"/>
        <v>1.75</v>
      </c>
      <c r="BP17" s="27">
        <f t="shared" si="53"/>
        <v>30.998081240497093</v>
      </c>
      <c r="BQ17" s="88">
        <f t="shared" si="54"/>
        <v>1.4</v>
      </c>
      <c r="BR17" s="130">
        <f t="shared" si="55"/>
        <v>5</v>
      </c>
      <c r="BT17" s="1"/>
      <c r="BU17" s="1"/>
      <c r="BV17" s="156"/>
      <c r="BW17" s="156"/>
      <c r="BX17" s="156"/>
      <c r="BY17" s="156"/>
      <c r="BZ17" s="156"/>
    </row>
    <row r="18" spans="1:78" x14ac:dyDescent="0.2">
      <c r="A18" s="2">
        <v>8.25</v>
      </c>
      <c r="B18" s="221">
        <v>8</v>
      </c>
      <c r="C18" s="43">
        <f t="shared" si="9"/>
        <v>9.9999999999999992E-2</v>
      </c>
      <c r="D18" s="157">
        <f t="shared" si="10"/>
        <v>-0.68062500000000004</v>
      </c>
      <c r="E18" s="99">
        <f t="shared" si="11"/>
        <v>0.54449999999999998</v>
      </c>
      <c r="F18" s="253">
        <f t="shared" si="12"/>
        <v>-0.34031250000000007</v>
      </c>
      <c r="G18" s="108">
        <f t="shared" si="13"/>
        <v>0.27224999999999999</v>
      </c>
      <c r="H18" s="294">
        <v>-4.9000000000000004</v>
      </c>
      <c r="I18" s="99">
        <v>5.83</v>
      </c>
      <c r="J18" s="253">
        <f t="shared" si="14"/>
        <v>-5.9209375000000009</v>
      </c>
      <c r="K18" s="99">
        <f t="shared" si="14"/>
        <v>6.6467499999999999</v>
      </c>
      <c r="L18" s="236">
        <v>4</v>
      </c>
      <c r="M18" s="236">
        <v>5</v>
      </c>
      <c r="N18" s="297">
        <v>0.2</v>
      </c>
      <c r="O18" s="236">
        <v>0.5</v>
      </c>
      <c r="P18" s="43">
        <f t="shared" si="15"/>
        <v>0.48000000000000009</v>
      </c>
      <c r="Q18" s="195">
        <f t="shared" si="16"/>
        <v>5.25</v>
      </c>
      <c r="R18" s="197">
        <f t="shared" ref="R18:R45" si="57">B18-1.5-O18/2-0.5</f>
        <v>5.75</v>
      </c>
      <c r="S18" s="253">
        <f t="shared" si="18"/>
        <v>-31.162828947368418</v>
      </c>
      <c r="T18" s="99">
        <f t="shared" si="19"/>
        <v>31.940903890160172</v>
      </c>
      <c r="U18" s="131">
        <v>2</v>
      </c>
      <c r="V18" s="69">
        <v>1.5</v>
      </c>
      <c r="W18" s="23">
        <f t="shared" si="20"/>
        <v>2.4</v>
      </c>
      <c r="X18" s="201">
        <f t="shared" si="21"/>
        <v>20</v>
      </c>
      <c r="Y18" s="24">
        <f t="shared" si="22"/>
        <v>15</v>
      </c>
      <c r="Z18" s="3">
        <v>130</v>
      </c>
      <c r="AA18" s="87">
        <f t="shared" si="23"/>
        <v>38.059000190924671</v>
      </c>
      <c r="AB18" s="63">
        <f t="shared" si="24"/>
        <v>46.096353748807744</v>
      </c>
      <c r="AC18" s="24">
        <f t="shared" si="25"/>
        <v>36</v>
      </c>
      <c r="AE18" s="2">
        <f t="shared" si="26"/>
        <v>8.25</v>
      </c>
      <c r="AF18" s="55">
        <f t="shared" si="0"/>
        <v>8</v>
      </c>
      <c r="AG18" s="169" t="str">
        <f t="shared" si="27"/>
        <v>#4 @ 5</v>
      </c>
      <c r="AH18" s="55">
        <v>8</v>
      </c>
      <c r="AI18" s="55">
        <f t="shared" si="28"/>
        <v>1800</v>
      </c>
      <c r="AJ18" s="47">
        <v>36000</v>
      </c>
      <c r="AK18" s="43">
        <f t="shared" si="29"/>
        <v>0.2857142857142857</v>
      </c>
      <c r="AL18" s="4">
        <f t="shared" si="30"/>
        <v>0.90476190476190477</v>
      </c>
      <c r="AM18" s="253">
        <f t="shared" si="1"/>
        <v>-5.9209375000000009</v>
      </c>
      <c r="AN18" s="108">
        <f t="shared" si="1"/>
        <v>6.6467499999999999</v>
      </c>
      <c r="AO18" s="195">
        <f t="shared" si="31"/>
        <v>1.5407525359380811</v>
      </c>
      <c r="AP18" s="253">
        <f t="shared" si="32"/>
        <v>0.64000000000000012</v>
      </c>
      <c r="AQ18" s="157">
        <f t="shared" si="33"/>
        <v>-3.3600000000000008</v>
      </c>
      <c r="AR18" s="111">
        <f t="shared" si="34"/>
        <v>0.64000000000000012</v>
      </c>
      <c r="AS18" s="111">
        <f t="shared" si="35"/>
        <v>-3.680000000000001</v>
      </c>
      <c r="AT18" s="102">
        <f t="shared" si="36"/>
        <v>1.6248393249829149</v>
      </c>
      <c r="AU18" s="253">
        <f t="shared" si="37"/>
        <v>-15.00105832762145</v>
      </c>
      <c r="AV18" s="108">
        <f t="shared" si="38"/>
        <v>15.313954523526098</v>
      </c>
      <c r="AW18" s="308">
        <f t="shared" si="39"/>
        <v>-1.6226982137755728</v>
      </c>
      <c r="AX18" s="105">
        <f t="shared" si="40"/>
        <v>1.5708173200127673</v>
      </c>
      <c r="AY18" s="253">
        <f t="shared" si="41"/>
        <v>-31.252204849211353</v>
      </c>
      <c r="AZ18" s="108">
        <f t="shared" si="42"/>
        <v>31.904071924012701</v>
      </c>
      <c r="BA18" s="155"/>
      <c r="BB18" s="55">
        <f t="shared" si="2"/>
        <v>8.25</v>
      </c>
      <c r="BC18" s="165">
        <f t="shared" si="2"/>
        <v>8</v>
      </c>
      <c r="BD18" s="169" t="str">
        <f t="shared" si="43"/>
        <v>#4 @ 5</v>
      </c>
      <c r="BE18" s="87">
        <f t="shared" si="44"/>
        <v>0.73636920516694659</v>
      </c>
      <c r="BF18" s="129">
        <f t="shared" si="45"/>
        <v>1.6691035317117457E-2</v>
      </c>
      <c r="BG18" s="191">
        <f t="shared" si="46"/>
        <v>2.5</v>
      </c>
      <c r="BH18" s="22">
        <f t="shared" si="47"/>
        <v>31.252204849211353</v>
      </c>
      <c r="BI18" s="55">
        <f t="shared" si="3"/>
        <v>8</v>
      </c>
      <c r="BJ18" s="87">
        <f t="shared" si="48"/>
        <v>1.6493506493506493</v>
      </c>
      <c r="BK18" s="69">
        <f t="shared" si="49"/>
        <v>5</v>
      </c>
      <c r="BM18" s="87">
        <f t="shared" si="50"/>
        <v>0.54236922270821586</v>
      </c>
      <c r="BN18" s="129">
        <f t="shared" si="51"/>
        <v>1.2293702381386227E-2</v>
      </c>
      <c r="BO18" s="43">
        <f t="shared" si="52"/>
        <v>1.75</v>
      </c>
      <c r="BP18" s="22">
        <f t="shared" si="53"/>
        <v>31.904071924012701</v>
      </c>
      <c r="BQ18" s="87">
        <f t="shared" si="54"/>
        <v>1.4</v>
      </c>
      <c r="BR18" s="131">
        <f t="shared" si="55"/>
        <v>5</v>
      </c>
      <c r="BT18" s="1"/>
      <c r="BU18" s="1"/>
      <c r="BV18" s="156"/>
      <c r="BW18" s="156"/>
      <c r="BX18" s="156"/>
      <c r="BY18" s="156"/>
      <c r="BZ18" s="156"/>
    </row>
    <row r="19" spans="1:78" x14ac:dyDescent="0.2">
      <c r="A19" s="2">
        <v>8.5</v>
      </c>
      <c r="B19" s="221">
        <v>8</v>
      </c>
      <c r="C19" s="43">
        <f t="shared" si="9"/>
        <v>9.9999999999999992E-2</v>
      </c>
      <c r="D19" s="157">
        <f t="shared" si="10"/>
        <v>-0.72250000000000003</v>
      </c>
      <c r="E19" s="99">
        <f t="shared" si="11"/>
        <v>0.57799999999999996</v>
      </c>
      <c r="F19" s="253">
        <f t="shared" si="12"/>
        <v>-0.36125000000000007</v>
      </c>
      <c r="G19" s="108">
        <f t="shared" si="13"/>
        <v>0.28899999999999998</v>
      </c>
      <c r="H19" s="294">
        <v>-4.9800000000000004</v>
      </c>
      <c r="I19" s="99">
        <v>5.99</v>
      </c>
      <c r="J19" s="253">
        <f t="shared" si="14"/>
        <v>-6.0637500000000006</v>
      </c>
      <c r="K19" s="99">
        <f t="shared" si="14"/>
        <v>6.8570000000000002</v>
      </c>
      <c r="L19" s="236">
        <v>4</v>
      </c>
      <c r="M19" s="236">
        <v>5</v>
      </c>
      <c r="N19" s="297">
        <v>0.2</v>
      </c>
      <c r="O19" s="236">
        <v>0.5</v>
      </c>
      <c r="P19" s="43">
        <f t="shared" si="15"/>
        <v>0.48000000000000009</v>
      </c>
      <c r="Q19" s="195">
        <f t="shared" si="16"/>
        <v>5.25</v>
      </c>
      <c r="R19" s="197">
        <f t="shared" si="57"/>
        <v>5.75</v>
      </c>
      <c r="S19" s="253">
        <f t="shared" si="18"/>
        <v>-31.914473684210524</v>
      </c>
      <c r="T19" s="99">
        <f t="shared" si="19"/>
        <v>32.951258581235692</v>
      </c>
      <c r="U19" s="131">
        <v>2</v>
      </c>
      <c r="V19" s="69">
        <v>1.5</v>
      </c>
      <c r="W19" s="23">
        <f t="shared" si="20"/>
        <v>2.4</v>
      </c>
      <c r="X19" s="201">
        <f t="shared" si="21"/>
        <v>20</v>
      </c>
      <c r="Y19" s="24">
        <f t="shared" si="22"/>
        <v>15</v>
      </c>
      <c r="Z19" s="3">
        <v>130</v>
      </c>
      <c r="AA19" s="87">
        <f t="shared" si="23"/>
        <v>38.059000190924671</v>
      </c>
      <c r="AB19" s="63">
        <f t="shared" si="24"/>
        <v>46.096353748807744</v>
      </c>
      <c r="AC19" s="24">
        <f t="shared" si="25"/>
        <v>36</v>
      </c>
      <c r="AE19" s="2">
        <f t="shared" si="26"/>
        <v>8.5</v>
      </c>
      <c r="AF19" s="55">
        <f t="shared" si="0"/>
        <v>8</v>
      </c>
      <c r="AG19" s="169" t="str">
        <f t="shared" si="27"/>
        <v>#4 @ 5</v>
      </c>
      <c r="AH19" s="55">
        <v>8</v>
      </c>
      <c r="AI19" s="55">
        <f t="shared" si="28"/>
        <v>1800</v>
      </c>
      <c r="AJ19" s="47">
        <v>36000</v>
      </c>
      <c r="AK19" s="43">
        <f t="shared" si="29"/>
        <v>0.2857142857142857</v>
      </c>
      <c r="AL19" s="4">
        <f t="shared" si="30"/>
        <v>0.90476190476190477</v>
      </c>
      <c r="AM19" s="253">
        <f t="shared" si="1"/>
        <v>-6.0637500000000006</v>
      </c>
      <c r="AN19" s="108">
        <f t="shared" si="1"/>
        <v>6.8570000000000002</v>
      </c>
      <c r="AO19" s="195">
        <f t="shared" si="31"/>
        <v>1.5407525359380811</v>
      </c>
      <c r="AP19" s="253">
        <f t="shared" si="32"/>
        <v>0.64000000000000012</v>
      </c>
      <c r="AQ19" s="157">
        <f t="shared" si="33"/>
        <v>-3.3600000000000008</v>
      </c>
      <c r="AR19" s="111">
        <f t="shared" si="34"/>
        <v>0.64000000000000012</v>
      </c>
      <c r="AS19" s="111">
        <f t="shared" si="35"/>
        <v>-3.680000000000001</v>
      </c>
      <c r="AT19" s="102">
        <f t="shared" si="36"/>
        <v>1.6248393249829149</v>
      </c>
      <c r="AU19" s="253">
        <f t="shared" si="37"/>
        <v>-15.362882556033496</v>
      </c>
      <c r="AV19" s="108">
        <f t="shared" si="38"/>
        <v>15.798365542230183</v>
      </c>
      <c r="AW19" s="308">
        <f t="shared" si="39"/>
        <v>-1.6618375542355632</v>
      </c>
      <c r="AX19" s="105">
        <f t="shared" si="40"/>
        <v>1.620505414424726</v>
      </c>
      <c r="AY19" s="253">
        <f t="shared" si="41"/>
        <v>-32.006005325069779</v>
      </c>
      <c r="AZ19" s="108">
        <f t="shared" si="42"/>
        <v>32.913261546312874</v>
      </c>
      <c r="BA19" s="155"/>
      <c r="BB19" s="55">
        <f t="shared" si="2"/>
        <v>8.5</v>
      </c>
      <c r="BC19" s="165">
        <f t="shared" si="2"/>
        <v>8</v>
      </c>
      <c r="BD19" s="169" t="str">
        <f t="shared" si="43"/>
        <v>#4 @ 5</v>
      </c>
      <c r="BE19" s="87">
        <f t="shared" si="44"/>
        <v>0.75413036665748845</v>
      </c>
      <c r="BF19" s="129">
        <f t="shared" si="45"/>
        <v>1.7093621644236407E-2</v>
      </c>
      <c r="BG19" s="191">
        <f t="shared" si="46"/>
        <v>2.5</v>
      </c>
      <c r="BH19" s="22">
        <f t="shared" si="47"/>
        <v>32.006005325069779</v>
      </c>
      <c r="BI19" s="55">
        <f t="shared" si="3"/>
        <v>8</v>
      </c>
      <c r="BJ19" s="87">
        <f t="shared" si="48"/>
        <v>1.6493506493506493</v>
      </c>
      <c r="BK19" s="69">
        <f t="shared" si="49"/>
        <v>5</v>
      </c>
      <c r="BM19" s="87">
        <f t="shared" si="50"/>
        <v>0.55952544628731882</v>
      </c>
      <c r="BN19" s="129">
        <f t="shared" si="51"/>
        <v>1.2682576782512561E-2</v>
      </c>
      <c r="BO19" s="43">
        <f t="shared" si="52"/>
        <v>1.75</v>
      </c>
      <c r="BP19" s="22">
        <f t="shared" si="53"/>
        <v>32.913261546312874</v>
      </c>
      <c r="BQ19" s="87">
        <f t="shared" si="54"/>
        <v>1.4</v>
      </c>
      <c r="BR19" s="131">
        <f t="shared" si="55"/>
        <v>5</v>
      </c>
      <c r="BT19" s="1"/>
      <c r="BU19" s="1"/>
      <c r="BV19" s="156"/>
      <c r="BW19" s="156"/>
      <c r="BX19" s="156"/>
      <c r="BY19" s="156"/>
      <c r="BZ19" s="156"/>
    </row>
    <row r="20" spans="1:78" x14ac:dyDescent="0.2">
      <c r="A20" s="8">
        <v>8.75</v>
      </c>
      <c r="B20" s="222">
        <v>8</v>
      </c>
      <c r="C20" s="44">
        <f t="shared" si="9"/>
        <v>9.9999999999999992E-2</v>
      </c>
      <c r="D20" s="158">
        <f t="shared" si="10"/>
        <v>-0.765625</v>
      </c>
      <c r="E20" s="101">
        <f t="shared" si="11"/>
        <v>0.61250000000000004</v>
      </c>
      <c r="F20" s="61">
        <f t="shared" si="12"/>
        <v>-0.38281250000000006</v>
      </c>
      <c r="G20" s="110">
        <f t="shared" si="13"/>
        <v>0.30625000000000002</v>
      </c>
      <c r="H20" s="296">
        <v>-5.0599999999999996</v>
      </c>
      <c r="I20" s="101">
        <v>6.14</v>
      </c>
      <c r="J20" s="61">
        <f t="shared" si="14"/>
        <v>-6.2084374999999996</v>
      </c>
      <c r="K20" s="101">
        <f t="shared" si="14"/>
        <v>7.0587499999999999</v>
      </c>
      <c r="L20" s="238">
        <v>5</v>
      </c>
      <c r="M20" s="238">
        <v>6.5</v>
      </c>
      <c r="N20" s="298">
        <v>0.31</v>
      </c>
      <c r="O20" s="238">
        <v>0.625</v>
      </c>
      <c r="P20" s="44">
        <f t="shared" si="15"/>
        <v>0.5723076923076923</v>
      </c>
      <c r="Q20" s="257">
        <f t="shared" si="16"/>
        <v>5.1875</v>
      </c>
      <c r="R20" s="254">
        <f t="shared" si="57"/>
        <v>5.6875</v>
      </c>
      <c r="S20" s="61">
        <f t="shared" si="18"/>
        <v>-27.735855135312047</v>
      </c>
      <c r="T20" s="110">
        <f t="shared" si="19"/>
        <v>28.762308998302203</v>
      </c>
      <c r="U20" s="132">
        <v>2</v>
      </c>
      <c r="V20" s="73">
        <v>1.5</v>
      </c>
      <c r="W20" s="132">
        <f t="shared" si="20"/>
        <v>1.8461538461538463</v>
      </c>
      <c r="X20" s="245">
        <f t="shared" si="21"/>
        <v>26</v>
      </c>
      <c r="Y20" s="26">
        <f t="shared" si="22"/>
        <v>19.5</v>
      </c>
      <c r="Z20" s="9">
        <v>130</v>
      </c>
      <c r="AA20" s="89">
        <f t="shared" si="23"/>
        <v>34.875001814422049</v>
      </c>
      <c r="AB20" s="64">
        <f t="shared" si="24"/>
        <v>42.239954086110011</v>
      </c>
      <c r="AC20" s="245">
        <f t="shared" si="25"/>
        <v>36</v>
      </c>
      <c r="AE20" s="57">
        <f t="shared" si="26"/>
        <v>8.75</v>
      </c>
      <c r="AF20" s="57">
        <f t="shared" si="0"/>
        <v>8</v>
      </c>
      <c r="AG20" s="175" t="str">
        <f t="shared" si="27"/>
        <v>#5 @ 6.5</v>
      </c>
      <c r="AH20" s="57">
        <v>8</v>
      </c>
      <c r="AI20" s="57">
        <f t="shared" si="28"/>
        <v>1800</v>
      </c>
      <c r="AJ20" s="49">
        <v>36000</v>
      </c>
      <c r="AK20" s="44">
        <f t="shared" si="29"/>
        <v>0.2857142857142857</v>
      </c>
      <c r="AL20" s="10">
        <f t="shared" si="30"/>
        <v>0.90476190476190477</v>
      </c>
      <c r="AM20" s="61">
        <f t="shared" si="1"/>
        <v>-6.2084374999999996</v>
      </c>
      <c r="AN20" s="110">
        <f t="shared" si="1"/>
        <v>7.0587499999999999</v>
      </c>
      <c r="AO20" s="257">
        <f t="shared" si="31"/>
        <v>1.6443028787679985</v>
      </c>
      <c r="AP20" s="61">
        <f t="shared" si="32"/>
        <v>0.7630769230769231</v>
      </c>
      <c r="AQ20" s="158">
        <f t="shared" si="33"/>
        <v>-3.9584615384615383</v>
      </c>
      <c r="AR20" s="113">
        <f t="shared" si="34"/>
        <v>0.7630769230769231</v>
      </c>
      <c r="AS20" s="113">
        <f t="shared" si="35"/>
        <v>-4.34</v>
      </c>
      <c r="AT20" s="104">
        <f t="shared" si="36"/>
        <v>1.7363783445786098</v>
      </c>
      <c r="AU20" s="61">
        <f t="shared" si="37"/>
        <v>-16.058383715448919</v>
      </c>
      <c r="AV20" s="110">
        <f t="shared" si="38"/>
        <v>16.580515652510861</v>
      </c>
      <c r="AW20" s="309">
        <f t="shared" si="39"/>
        <v>-1.6276790124660343</v>
      </c>
      <c r="AX20" s="137">
        <f t="shared" si="40"/>
        <v>1.5914845310335362</v>
      </c>
      <c r="AY20" s="61">
        <f t="shared" si="41"/>
        <v>-28.059003803875797</v>
      </c>
      <c r="AZ20" s="110">
        <f t="shared" si="42"/>
        <v>28.97133111325822</v>
      </c>
      <c r="BA20" s="155"/>
      <c r="BB20" s="57">
        <f t="shared" si="2"/>
        <v>8.75</v>
      </c>
      <c r="BC20" s="165">
        <f t="shared" si="2"/>
        <v>8</v>
      </c>
      <c r="BD20" s="175" t="str">
        <f t="shared" si="43"/>
        <v>#5 @ 6.5</v>
      </c>
      <c r="BE20" s="89">
        <f t="shared" si="44"/>
        <v>0.79958838912871966</v>
      </c>
      <c r="BF20" s="235">
        <f t="shared" si="45"/>
        <v>1.8124003486917648E-2</v>
      </c>
      <c r="BG20" s="234">
        <f t="shared" si="46"/>
        <v>2.625</v>
      </c>
      <c r="BH20" s="22">
        <f t="shared" si="47"/>
        <v>28.059003803875797</v>
      </c>
      <c r="BI20" s="55">
        <f t="shared" si="3"/>
        <v>8</v>
      </c>
      <c r="BJ20" s="87">
        <f t="shared" si="48"/>
        <v>1.6976744186046511</v>
      </c>
      <c r="BK20" s="132">
        <f t="shared" si="49"/>
        <v>6.5</v>
      </c>
      <c r="BM20" s="89">
        <f t="shared" si="50"/>
        <v>0.59440947671381128</v>
      </c>
      <c r="BN20" s="44">
        <f t="shared" si="51"/>
        <v>1.3473281472179723E-2</v>
      </c>
      <c r="BO20" s="44">
        <f t="shared" si="52"/>
        <v>1.8125</v>
      </c>
      <c r="BP20" s="25">
        <f t="shared" si="53"/>
        <v>28.97133111325822</v>
      </c>
      <c r="BQ20" s="89">
        <f t="shared" si="54"/>
        <v>1.4184704184704184</v>
      </c>
      <c r="BR20" s="132">
        <f t="shared" si="55"/>
        <v>6.5</v>
      </c>
      <c r="BT20" s="1"/>
      <c r="BU20" s="1"/>
      <c r="BV20" s="156"/>
      <c r="BW20" s="156"/>
      <c r="BX20" s="156"/>
      <c r="BY20" s="156"/>
      <c r="BZ20" s="156"/>
    </row>
    <row r="21" spans="1:78" x14ac:dyDescent="0.2">
      <c r="A21" s="2">
        <v>9</v>
      </c>
      <c r="B21" s="221">
        <v>8.25</v>
      </c>
      <c r="C21" s="43">
        <f t="shared" si="9"/>
        <v>0.10312499999999999</v>
      </c>
      <c r="D21" s="157">
        <f t="shared" si="10"/>
        <v>-0.83531250000000001</v>
      </c>
      <c r="E21" s="99">
        <f t="shared" si="11"/>
        <v>0.66825000000000001</v>
      </c>
      <c r="F21" s="253">
        <f t="shared" si="12"/>
        <v>-0.40500000000000008</v>
      </c>
      <c r="G21" s="108">
        <f t="shared" si="13"/>
        <v>0.32400000000000001</v>
      </c>
      <c r="H21" s="294">
        <v>-5.13</v>
      </c>
      <c r="I21" s="99">
        <v>6.29</v>
      </c>
      <c r="J21" s="253">
        <f t="shared" si="14"/>
        <v>-6.3703124999999998</v>
      </c>
      <c r="K21" s="99">
        <f t="shared" si="14"/>
        <v>7.2822500000000003</v>
      </c>
      <c r="L21" s="236">
        <v>5</v>
      </c>
      <c r="M21" s="236">
        <v>6.5</v>
      </c>
      <c r="N21" s="297">
        <v>0.31</v>
      </c>
      <c r="O21" s="236">
        <v>0.625</v>
      </c>
      <c r="P21" s="43">
        <f t="shared" si="15"/>
        <v>0.5723076923076923</v>
      </c>
      <c r="Q21" s="195">
        <f t="shared" si="16"/>
        <v>5.4375</v>
      </c>
      <c r="R21" s="197">
        <f t="shared" si="57"/>
        <v>5.9375</v>
      </c>
      <c r="S21" s="253">
        <f t="shared" si="18"/>
        <v>-27.150562027984307</v>
      </c>
      <c r="T21" s="99">
        <f t="shared" si="19"/>
        <v>28.423615405236347</v>
      </c>
      <c r="U21" s="131">
        <v>2</v>
      </c>
      <c r="V21" s="69">
        <v>1.5</v>
      </c>
      <c r="W21" s="23">
        <f t="shared" si="20"/>
        <v>1.8461538461538463</v>
      </c>
      <c r="X21" s="201">
        <f t="shared" si="21"/>
        <v>26</v>
      </c>
      <c r="Y21" s="24">
        <f t="shared" si="22"/>
        <v>19.5</v>
      </c>
      <c r="Z21" s="3">
        <v>130</v>
      </c>
      <c r="AA21" s="87">
        <f t="shared" si="23"/>
        <v>34.875001814422049</v>
      </c>
      <c r="AB21" s="63">
        <f t="shared" si="24"/>
        <v>42.239954086110011</v>
      </c>
      <c r="AC21" s="24">
        <f t="shared" si="25"/>
        <v>36</v>
      </c>
      <c r="AE21" s="2">
        <f t="shared" si="26"/>
        <v>9</v>
      </c>
      <c r="AF21" s="55">
        <f t="shared" si="0"/>
        <v>8.25</v>
      </c>
      <c r="AG21" s="169" t="str">
        <f t="shared" si="27"/>
        <v>#5 @ 6.5</v>
      </c>
      <c r="AH21" s="55">
        <v>8</v>
      </c>
      <c r="AI21" s="55">
        <f t="shared" si="28"/>
        <v>1800</v>
      </c>
      <c r="AJ21" s="47">
        <v>36000</v>
      </c>
      <c r="AK21" s="43">
        <f t="shared" si="29"/>
        <v>0.2857142857142857</v>
      </c>
      <c r="AL21" s="155">
        <f t="shared" si="30"/>
        <v>0.90476190476190477</v>
      </c>
      <c r="AM21" s="253">
        <f t="shared" si="1"/>
        <v>-6.3703124999999998</v>
      </c>
      <c r="AN21" s="108">
        <f t="shared" si="1"/>
        <v>7.2822500000000003</v>
      </c>
      <c r="AO21" s="195">
        <f t="shared" si="31"/>
        <v>1.6908520342088784</v>
      </c>
      <c r="AP21" s="253">
        <f t="shared" si="32"/>
        <v>0.7630769230769231</v>
      </c>
      <c r="AQ21" s="157">
        <f t="shared" si="33"/>
        <v>-4.1492307692307691</v>
      </c>
      <c r="AR21" s="111">
        <f t="shared" si="34"/>
        <v>0.7630769230769231</v>
      </c>
      <c r="AS21" s="111">
        <f t="shared" si="35"/>
        <v>-4.5307692307692307</v>
      </c>
      <c r="AT21" s="102">
        <f t="shared" si="36"/>
        <v>1.7809464120276788</v>
      </c>
      <c r="AU21" s="253">
        <f t="shared" si="37"/>
        <v>-15.684364070079138</v>
      </c>
      <c r="AV21" s="108">
        <f t="shared" si="38"/>
        <v>16.352813129520172</v>
      </c>
      <c r="AW21" s="260">
        <f t="shared" si="39"/>
        <v>-1.5460020306091413</v>
      </c>
      <c r="AX21" s="118">
        <f t="shared" si="40"/>
        <v>1.5303486037050229</v>
      </c>
      <c r="AY21" s="253">
        <f t="shared" si="41"/>
        <v>-27.405474853632906</v>
      </c>
      <c r="AZ21" s="108">
        <f t="shared" si="42"/>
        <v>28.573463801580957</v>
      </c>
      <c r="BA21" s="155"/>
      <c r="BB21" s="2">
        <f t="shared" si="2"/>
        <v>9</v>
      </c>
      <c r="BC21" s="119">
        <f t="shared" si="2"/>
        <v>8.25</v>
      </c>
      <c r="BD21" s="169" t="str">
        <f t="shared" si="43"/>
        <v>#5 @ 6.5</v>
      </c>
      <c r="BE21" s="66">
        <f t="shared" si="44"/>
        <v>0.76670078459568247</v>
      </c>
      <c r="BF21" s="129">
        <f t="shared" si="45"/>
        <v>1.7378551117502136E-2</v>
      </c>
      <c r="BG21" s="191">
        <f t="shared" si="46"/>
        <v>2.625</v>
      </c>
      <c r="BH21" s="27">
        <f t="shared" si="47"/>
        <v>27.405474853632906</v>
      </c>
      <c r="BI21" s="56">
        <f t="shared" si="3"/>
        <v>8.25</v>
      </c>
      <c r="BJ21" s="88">
        <f t="shared" si="48"/>
        <v>1.6666666666666667</v>
      </c>
      <c r="BK21" s="69">
        <f t="shared" si="49"/>
        <v>6.5</v>
      </c>
      <c r="BM21" s="66">
        <f t="shared" si="50"/>
        <v>0.57952980091521356</v>
      </c>
      <c r="BN21" s="129">
        <f t="shared" si="51"/>
        <v>1.3136008820744843E-2</v>
      </c>
      <c r="BO21" s="43">
        <f t="shared" si="52"/>
        <v>1.8125</v>
      </c>
      <c r="BP21" s="22">
        <f t="shared" si="53"/>
        <v>28.573463801580957</v>
      </c>
      <c r="BQ21" s="87">
        <f t="shared" si="54"/>
        <v>1.4022191400832178</v>
      </c>
      <c r="BR21" s="69">
        <f t="shared" si="55"/>
        <v>6.5</v>
      </c>
      <c r="BT21" s="1"/>
      <c r="BU21" s="1"/>
      <c r="BV21" s="156"/>
      <c r="BW21" s="156"/>
      <c r="BX21" s="156"/>
      <c r="BY21" s="156"/>
      <c r="BZ21" s="156"/>
    </row>
    <row r="22" spans="1:78" x14ac:dyDescent="0.2">
      <c r="A22" s="2">
        <v>9.25</v>
      </c>
      <c r="B22" s="221">
        <v>8.25</v>
      </c>
      <c r="C22" s="43">
        <f t="shared" si="9"/>
        <v>0.10312499999999999</v>
      </c>
      <c r="D22" s="157">
        <f t="shared" si="10"/>
        <v>-0.88236328125000008</v>
      </c>
      <c r="E22" s="99">
        <f t="shared" si="11"/>
        <v>0.70589062499999999</v>
      </c>
      <c r="F22" s="253">
        <f t="shared" si="12"/>
        <v>-0.4278125000000001</v>
      </c>
      <c r="G22" s="108">
        <f t="shared" si="13"/>
        <v>0.34225</v>
      </c>
      <c r="H22" s="294">
        <v>-5.19</v>
      </c>
      <c r="I22" s="99">
        <v>6.44</v>
      </c>
      <c r="J22" s="253">
        <f t="shared" si="14"/>
        <v>-6.5001757812500003</v>
      </c>
      <c r="K22" s="99">
        <f t="shared" si="14"/>
        <v>7.4881406250000007</v>
      </c>
      <c r="L22" s="236">
        <v>5</v>
      </c>
      <c r="M22" s="236">
        <v>6.5</v>
      </c>
      <c r="N22" s="297">
        <v>0.31</v>
      </c>
      <c r="O22" s="236">
        <v>0.625</v>
      </c>
      <c r="P22" s="43">
        <f t="shared" si="15"/>
        <v>0.5723076923076923</v>
      </c>
      <c r="Q22" s="195">
        <f t="shared" si="16"/>
        <v>5.4375</v>
      </c>
      <c r="R22" s="197">
        <f t="shared" si="57"/>
        <v>5.9375</v>
      </c>
      <c r="S22" s="253">
        <f t="shared" si="18"/>
        <v>-27.704045247643581</v>
      </c>
      <c r="T22" s="99">
        <f t="shared" si="19"/>
        <v>29.227234608167279</v>
      </c>
      <c r="U22" s="131">
        <v>2</v>
      </c>
      <c r="V22" s="69">
        <v>1.5</v>
      </c>
      <c r="W22" s="23">
        <f t="shared" si="20"/>
        <v>1.8461538461538463</v>
      </c>
      <c r="X22" s="201">
        <f t="shared" si="21"/>
        <v>26</v>
      </c>
      <c r="Y22" s="24">
        <f t="shared" si="22"/>
        <v>19.5</v>
      </c>
      <c r="Z22" s="3">
        <v>130</v>
      </c>
      <c r="AA22" s="87">
        <f t="shared" si="23"/>
        <v>34.875001814422049</v>
      </c>
      <c r="AB22" s="63">
        <f t="shared" si="24"/>
        <v>42.239954086110011</v>
      </c>
      <c r="AC22" s="24">
        <f t="shared" si="25"/>
        <v>36</v>
      </c>
      <c r="AE22" s="2">
        <f t="shared" si="26"/>
        <v>9.25</v>
      </c>
      <c r="AF22" s="55">
        <f t="shared" si="0"/>
        <v>8.25</v>
      </c>
      <c r="AG22" s="169" t="str">
        <f t="shared" si="27"/>
        <v>#5 @ 6.5</v>
      </c>
      <c r="AH22" s="55">
        <v>8</v>
      </c>
      <c r="AI22" s="55">
        <f t="shared" si="28"/>
        <v>1800</v>
      </c>
      <c r="AJ22" s="47">
        <v>36000</v>
      </c>
      <c r="AK22" s="43">
        <f t="shared" si="29"/>
        <v>0.2857142857142857</v>
      </c>
      <c r="AL22" s="155">
        <f t="shared" si="30"/>
        <v>0.90476190476190477</v>
      </c>
      <c r="AM22" s="253">
        <f t="shared" si="1"/>
        <v>-6.5001757812500003</v>
      </c>
      <c r="AN22" s="108">
        <f t="shared" si="1"/>
        <v>7.4881406250000007</v>
      </c>
      <c r="AO22" s="195">
        <f t="shared" si="31"/>
        <v>1.6908520342088784</v>
      </c>
      <c r="AP22" s="253">
        <f t="shared" si="32"/>
        <v>0.7630769230769231</v>
      </c>
      <c r="AQ22" s="157">
        <f t="shared" si="33"/>
        <v>-4.1492307692307691</v>
      </c>
      <c r="AR22" s="111">
        <f t="shared" si="34"/>
        <v>0.7630769230769231</v>
      </c>
      <c r="AS22" s="111">
        <f t="shared" si="35"/>
        <v>-4.5307692307692307</v>
      </c>
      <c r="AT22" s="102">
        <f t="shared" si="36"/>
        <v>1.7809464120276788</v>
      </c>
      <c r="AU22" s="253">
        <f t="shared" si="37"/>
        <v>-16.00410081493429</v>
      </c>
      <c r="AV22" s="108">
        <f t="shared" si="38"/>
        <v>16.815155251219526</v>
      </c>
      <c r="AW22" s="260">
        <f t="shared" si="39"/>
        <v>-1.5775183646216511</v>
      </c>
      <c r="AX22" s="118">
        <f t="shared" si="40"/>
        <v>1.5736160595716444</v>
      </c>
      <c r="AY22" s="253">
        <f t="shared" si="41"/>
        <v>-27.964154649750775</v>
      </c>
      <c r="AZ22" s="108">
        <f t="shared" si="42"/>
        <v>29.381319659388964</v>
      </c>
      <c r="BA22" s="155"/>
      <c r="BB22" s="2">
        <f t="shared" si="2"/>
        <v>9.25</v>
      </c>
      <c r="BC22" s="162">
        <f t="shared" si="2"/>
        <v>8.25</v>
      </c>
      <c r="BD22" s="169" t="str">
        <f t="shared" si="43"/>
        <v>#5 @ 6.5</v>
      </c>
      <c r="BE22" s="66">
        <f t="shared" si="44"/>
        <v>0.78233051698707523</v>
      </c>
      <c r="BF22" s="129">
        <f t="shared" si="45"/>
        <v>1.7732825051707039E-2</v>
      </c>
      <c r="BG22" s="191">
        <f t="shared" si="46"/>
        <v>2.625</v>
      </c>
      <c r="BH22" s="22">
        <f t="shared" si="47"/>
        <v>27.964154649750775</v>
      </c>
      <c r="BI22" s="55">
        <f t="shared" si="3"/>
        <v>8.25</v>
      </c>
      <c r="BJ22" s="87">
        <f t="shared" si="48"/>
        <v>1.6666666666666667</v>
      </c>
      <c r="BK22" s="69">
        <f t="shared" si="49"/>
        <v>6.5</v>
      </c>
      <c r="BM22" s="66">
        <f t="shared" si="50"/>
        <v>0.59591481281628234</v>
      </c>
      <c r="BN22" s="129">
        <f t="shared" si="51"/>
        <v>1.3507402423835734E-2</v>
      </c>
      <c r="BO22" s="43">
        <f t="shared" si="52"/>
        <v>1.8125</v>
      </c>
      <c r="BP22" s="22">
        <f t="shared" si="53"/>
        <v>29.381319659388964</v>
      </c>
      <c r="BQ22" s="87">
        <f t="shared" si="54"/>
        <v>1.4022191400832178</v>
      </c>
      <c r="BR22" s="69">
        <f t="shared" si="55"/>
        <v>6.5</v>
      </c>
      <c r="BT22" s="1"/>
      <c r="BU22" s="1"/>
      <c r="BV22" s="156"/>
      <c r="BW22" s="156"/>
      <c r="BX22" s="156"/>
      <c r="BY22" s="156"/>
      <c r="BZ22" s="156"/>
    </row>
    <row r="23" spans="1:78" x14ac:dyDescent="0.2">
      <c r="A23" s="2">
        <v>9.5</v>
      </c>
      <c r="B23" s="221">
        <v>8.5</v>
      </c>
      <c r="C23" s="43">
        <f t="shared" si="9"/>
        <v>0.10625</v>
      </c>
      <c r="D23" s="157">
        <f t="shared" si="10"/>
        <v>-0.95890625000000007</v>
      </c>
      <c r="E23" s="99">
        <f t="shared" si="11"/>
        <v>0.76712500000000006</v>
      </c>
      <c r="F23" s="253">
        <f t="shared" si="12"/>
        <v>-0.4512500000000001</v>
      </c>
      <c r="G23" s="108">
        <f t="shared" si="13"/>
        <v>0.36099999999999999</v>
      </c>
      <c r="H23" s="294">
        <v>-5.46</v>
      </c>
      <c r="I23" s="99">
        <v>6.59</v>
      </c>
      <c r="J23" s="253">
        <f t="shared" si="14"/>
        <v>-6.87015625</v>
      </c>
      <c r="K23" s="99">
        <f t="shared" si="14"/>
        <v>7.7181249999999997</v>
      </c>
      <c r="L23" s="236">
        <v>5</v>
      </c>
      <c r="M23" s="236">
        <v>6.5</v>
      </c>
      <c r="N23" s="297">
        <v>0.31</v>
      </c>
      <c r="O23" s="236">
        <v>0.625</v>
      </c>
      <c r="P23" s="43">
        <f t="shared" si="15"/>
        <v>0.5723076923076923</v>
      </c>
      <c r="Q23" s="195">
        <f t="shared" si="16"/>
        <v>5.6875</v>
      </c>
      <c r="R23" s="197">
        <f t="shared" si="57"/>
        <v>6.1875</v>
      </c>
      <c r="S23" s="253">
        <f t="shared" si="18"/>
        <v>-27.993845500848892</v>
      </c>
      <c r="T23" s="99">
        <f t="shared" si="19"/>
        <v>28.907727529968614</v>
      </c>
      <c r="U23" s="131">
        <v>2</v>
      </c>
      <c r="V23" s="69">
        <v>1.5</v>
      </c>
      <c r="W23" s="23">
        <f t="shared" si="20"/>
        <v>1.8461538461538463</v>
      </c>
      <c r="X23" s="201">
        <f t="shared" si="21"/>
        <v>26</v>
      </c>
      <c r="Y23" s="24">
        <f t="shared" si="22"/>
        <v>19.5</v>
      </c>
      <c r="Z23" s="3">
        <v>130</v>
      </c>
      <c r="AA23" s="87">
        <f t="shared" si="23"/>
        <v>34.875001814422049</v>
      </c>
      <c r="AB23" s="63">
        <f t="shared" si="24"/>
        <v>42.239954086110011</v>
      </c>
      <c r="AC23" s="24">
        <f t="shared" si="25"/>
        <v>36</v>
      </c>
      <c r="AE23" s="2">
        <f t="shared" si="26"/>
        <v>9.5</v>
      </c>
      <c r="AF23" s="55">
        <f t="shared" si="0"/>
        <v>8.5</v>
      </c>
      <c r="AG23" s="169" t="str">
        <f t="shared" si="27"/>
        <v>#5 @ 6.5</v>
      </c>
      <c r="AH23" s="55">
        <v>8</v>
      </c>
      <c r="AI23" s="55">
        <f t="shared" si="28"/>
        <v>1800</v>
      </c>
      <c r="AJ23" s="47">
        <v>36000</v>
      </c>
      <c r="AK23" s="43">
        <f t="shared" si="29"/>
        <v>0.2857142857142857</v>
      </c>
      <c r="AL23" s="155">
        <f t="shared" si="30"/>
        <v>0.90476190476190477</v>
      </c>
      <c r="AM23" s="253">
        <f t="shared" si="1"/>
        <v>-6.87015625</v>
      </c>
      <c r="AN23" s="108">
        <f t="shared" si="1"/>
        <v>7.7181249999999997</v>
      </c>
      <c r="AO23" s="195">
        <f t="shared" si="31"/>
        <v>1.7363783445786098</v>
      </c>
      <c r="AP23" s="253">
        <f t="shared" si="32"/>
        <v>0.7630769230769231</v>
      </c>
      <c r="AQ23" s="157">
        <f t="shared" si="33"/>
        <v>-4.34</v>
      </c>
      <c r="AR23" s="111">
        <f t="shared" si="34"/>
        <v>0.7630769230769231</v>
      </c>
      <c r="AS23" s="111">
        <f t="shared" si="35"/>
        <v>-4.7215384615384615</v>
      </c>
      <c r="AT23" s="102">
        <f t="shared" si="36"/>
        <v>1.8246143117688627</v>
      </c>
      <c r="AU23" s="253">
        <f t="shared" si="37"/>
        <v>-16.137521974615947</v>
      </c>
      <c r="AV23" s="108">
        <f t="shared" si="38"/>
        <v>16.600214936069591</v>
      </c>
      <c r="AW23" s="260">
        <f t="shared" si="39"/>
        <v>-1.5489636830399669</v>
      </c>
      <c r="AX23" s="118">
        <f t="shared" si="40"/>
        <v>1.516321817438101</v>
      </c>
      <c r="AY23" s="253">
        <f t="shared" si="41"/>
        <v>-28.197283020162267</v>
      </c>
      <c r="AZ23" s="108">
        <f t="shared" si="42"/>
        <v>29.00575190442267</v>
      </c>
      <c r="BA23" s="155"/>
      <c r="BB23" s="2">
        <f t="shared" si="2"/>
        <v>9.5</v>
      </c>
      <c r="BC23" s="162">
        <f t="shared" si="2"/>
        <v>8.5</v>
      </c>
      <c r="BD23" s="169" t="str">
        <f t="shared" si="43"/>
        <v>#5 @ 6.5</v>
      </c>
      <c r="BE23" s="66">
        <f t="shared" si="44"/>
        <v>0.77542528305446234</v>
      </c>
      <c r="BF23" s="129">
        <f t="shared" si="45"/>
        <v>1.7576306415901147E-2</v>
      </c>
      <c r="BG23" s="191">
        <f t="shared" si="46"/>
        <v>2.625</v>
      </c>
      <c r="BH23" s="22">
        <f t="shared" si="47"/>
        <v>28.197283020162267</v>
      </c>
      <c r="BI23" s="55">
        <f t="shared" si="3"/>
        <v>8.5</v>
      </c>
      <c r="BJ23" s="87">
        <f t="shared" si="48"/>
        <v>1.6382978723404256</v>
      </c>
      <c r="BK23" s="69">
        <f t="shared" si="49"/>
        <v>6.5</v>
      </c>
      <c r="BM23" s="66">
        <f t="shared" si="50"/>
        <v>0.58198909844657343</v>
      </c>
      <c r="BN23" s="129">
        <f t="shared" si="51"/>
        <v>1.3191752898122333E-2</v>
      </c>
      <c r="BO23" s="43">
        <f t="shared" si="52"/>
        <v>1.8125</v>
      </c>
      <c r="BP23" s="22">
        <f t="shared" si="53"/>
        <v>29.00575190442267</v>
      </c>
      <c r="BQ23" s="87">
        <f t="shared" si="54"/>
        <v>1.3871829105473965</v>
      </c>
      <c r="BR23" s="69">
        <f t="shared" si="55"/>
        <v>6.5</v>
      </c>
      <c r="BT23" s="1"/>
      <c r="BU23" s="1"/>
      <c r="BV23" s="156"/>
      <c r="BW23" s="156"/>
      <c r="BX23" s="156"/>
      <c r="BY23" s="156"/>
      <c r="BZ23" s="156"/>
    </row>
    <row r="24" spans="1:78" x14ac:dyDescent="0.2">
      <c r="A24" s="2">
        <v>9.75</v>
      </c>
      <c r="B24" s="222">
        <v>8.5</v>
      </c>
      <c r="C24" s="43">
        <f t="shared" si="9"/>
        <v>0.10625</v>
      </c>
      <c r="D24" s="157">
        <f t="shared" si="10"/>
        <v>-1.0100390625</v>
      </c>
      <c r="E24" s="99">
        <f t="shared" si="11"/>
        <v>0.80803125000000009</v>
      </c>
      <c r="F24" s="253">
        <f t="shared" si="12"/>
        <v>-0.47531250000000008</v>
      </c>
      <c r="G24" s="108">
        <f t="shared" si="13"/>
        <v>0.38025000000000003</v>
      </c>
      <c r="H24" s="294">
        <v>-5.8</v>
      </c>
      <c r="I24" s="99">
        <v>6.74</v>
      </c>
      <c r="J24" s="253">
        <f t="shared" si="14"/>
        <v>-7.2853515624999998</v>
      </c>
      <c r="K24" s="99">
        <f t="shared" si="14"/>
        <v>7.9282812500000004</v>
      </c>
      <c r="L24" s="238">
        <v>5</v>
      </c>
      <c r="M24" s="238">
        <v>6.5</v>
      </c>
      <c r="N24" s="298">
        <v>0.31</v>
      </c>
      <c r="O24" s="238">
        <v>0.625</v>
      </c>
      <c r="P24" s="44">
        <f t="shared" si="15"/>
        <v>0.5723076923076923</v>
      </c>
      <c r="Q24" s="257">
        <f t="shared" si="16"/>
        <v>5.6875</v>
      </c>
      <c r="R24" s="254">
        <f t="shared" si="57"/>
        <v>6.1875</v>
      </c>
      <c r="S24" s="61">
        <f t="shared" si="18"/>
        <v>-29.685643039049232</v>
      </c>
      <c r="T24" s="110">
        <f t="shared" si="19"/>
        <v>29.694853886916704</v>
      </c>
      <c r="U24" s="131">
        <v>2</v>
      </c>
      <c r="V24" s="69">
        <v>1.5</v>
      </c>
      <c r="W24" s="132">
        <f t="shared" si="20"/>
        <v>1.8461538461538463</v>
      </c>
      <c r="X24" s="201">
        <f t="shared" si="21"/>
        <v>26</v>
      </c>
      <c r="Y24" s="24">
        <f t="shared" si="22"/>
        <v>19.5</v>
      </c>
      <c r="Z24" s="3">
        <v>130</v>
      </c>
      <c r="AA24" s="87">
        <f t="shared" si="23"/>
        <v>34.875001814422049</v>
      </c>
      <c r="AB24" s="63">
        <f t="shared" si="24"/>
        <v>42.239954086110011</v>
      </c>
      <c r="AC24" s="245">
        <f t="shared" si="25"/>
        <v>36</v>
      </c>
      <c r="AE24" s="57">
        <f t="shared" si="26"/>
        <v>9.75</v>
      </c>
      <c r="AF24" s="55">
        <f t="shared" si="0"/>
        <v>8.5</v>
      </c>
      <c r="AG24" s="175" t="str">
        <f t="shared" si="27"/>
        <v>#5 @ 6.5</v>
      </c>
      <c r="AH24" s="55">
        <v>8</v>
      </c>
      <c r="AI24" s="57">
        <f t="shared" si="28"/>
        <v>1800</v>
      </c>
      <c r="AJ24" s="47">
        <v>36000</v>
      </c>
      <c r="AK24" s="43">
        <f t="shared" si="29"/>
        <v>0.2857142857142857</v>
      </c>
      <c r="AL24" s="155">
        <f t="shared" si="30"/>
        <v>0.90476190476190477</v>
      </c>
      <c r="AM24" s="253">
        <f t="shared" si="1"/>
        <v>-7.2853515624999998</v>
      </c>
      <c r="AN24" s="108">
        <f t="shared" si="1"/>
        <v>7.9282812500000004</v>
      </c>
      <c r="AO24" s="195">
        <f t="shared" si="31"/>
        <v>1.7363783445786098</v>
      </c>
      <c r="AP24" s="253">
        <f t="shared" si="32"/>
        <v>0.7630769230769231</v>
      </c>
      <c r="AQ24" s="157">
        <f t="shared" si="33"/>
        <v>-4.34</v>
      </c>
      <c r="AR24" s="111">
        <f t="shared" si="34"/>
        <v>0.7630769230769231</v>
      </c>
      <c r="AS24" s="111">
        <f t="shared" si="35"/>
        <v>-4.7215384615384615</v>
      </c>
      <c r="AT24" s="102">
        <f t="shared" si="36"/>
        <v>1.8246143117688627</v>
      </c>
      <c r="AU24" s="253">
        <f t="shared" si="37"/>
        <v>-17.1127870538092</v>
      </c>
      <c r="AV24" s="108">
        <f t="shared" si="38"/>
        <v>17.052220950504235</v>
      </c>
      <c r="AW24" s="308">
        <f t="shared" si="39"/>
        <v>-1.642574721425146</v>
      </c>
      <c r="AX24" s="118">
        <f t="shared" si="40"/>
        <v>1.5576096311164203</v>
      </c>
      <c r="AY24" s="253">
        <f t="shared" si="41"/>
        <v>-29.901375228430044</v>
      </c>
      <c r="AZ24" s="108">
        <f t="shared" si="42"/>
        <v>29.795547359752021</v>
      </c>
      <c r="BA24" s="155"/>
      <c r="BB24" s="2">
        <f t="shared" si="2"/>
        <v>9.75</v>
      </c>
      <c r="BC24" s="120">
        <f t="shared" si="2"/>
        <v>8.5</v>
      </c>
      <c r="BD24" s="175" t="str">
        <f t="shared" si="43"/>
        <v>#5 @ 6.5</v>
      </c>
      <c r="BE24" s="66">
        <f t="shared" si="44"/>
        <v>0.82228781878182633</v>
      </c>
      <c r="BF24" s="235">
        <f t="shared" si="45"/>
        <v>1.8638523892388067E-2</v>
      </c>
      <c r="BG24" s="234">
        <f t="shared" si="46"/>
        <v>2.625</v>
      </c>
      <c r="BH24" s="25">
        <f t="shared" si="47"/>
        <v>29.901375228430044</v>
      </c>
      <c r="BI24" s="57">
        <f t="shared" si="3"/>
        <v>8.5</v>
      </c>
      <c r="BJ24" s="89">
        <f t="shared" si="48"/>
        <v>1.6382978723404256</v>
      </c>
      <c r="BK24" s="132">
        <f t="shared" si="49"/>
        <v>6.5</v>
      </c>
      <c r="BM24" s="66">
        <f t="shared" si="50"/>
        <v>0.59783603620288239</v>
      </c>
      <c r="BN24" s="44">
        <f t="shared" si="51"/>
        <v>1.3550950153932003E-2</v>
      </c>
      <c r="BO24" s="44">
        <f t="shared" si="52"/>
        <v>1.8125</v>
      </c>
      <c r="BP24" s="22">
        <f t="shared" si="53"/>
        <v>29.795547359752021</v>
      </c>
      <c r="BQ24" s="87">
        <f t="shared" si="54"/>
        <v>1.3871829105473965</v>
      </c>
      <c r="BR24" s="69">
        <f t="shared" si="55"/>
        <v>6.5</v>
      </c>
      <c r="BT24" s="1"/>
      <c r="BU24" s="1"/>
      <c r="BV24" s="156"/>
      <c r="BW24" s="156"/>
      <c r="BX24" s="156"/>
      <c r="BY24" s="156"/>
      <c r="BZ24" s="156"/>
    </row>
    <row r="25" spans="1:78" x14ac:dyDescent="0.2">
      <c r="A25" s="17">
        <v>10</v>
      </c>
      <c r="B25" s="221">
        <v>8.75</v>
      </c>
      <c r="C25" s="42">
        <f t="shared" si="9"/>
        <v>0.10937499999999999</v>
      </c>
      <c r="D25" s="160">
        <f t="shared" si="10"/>
        <v>-1.09375</v>
      </c>
      <c r="E25" s="100">
        <f t="shared" si="11"/>
        <v>0.87499999999999989</v>
      </c>
      <c r="F25" s="255">
        <f t="shared" si="12"/>
        <v>-0.50000000000000011</v>
      </c>
      <c r="G25" s="109">
        <f t="shared" si="13"/>
        <v>0.4</v>
      </c>
      <c r="H25" s="295">
        <v>-6.13</v>
      </c>
      <c r="I25" s="100">
        <v>6.89</v>
      </c>
      <c r="J25" s="255">
        <f t="shared" si="14"/>
        <v>-7.7237499999999999</v>
      </c>
      <c r="K25" s="100">
        <f t="shared" si="14"/>
        <v>8.1649999999999991</v>
      </c>
      <c r="L25" s="236">
        <v>5</v>
      </c>
      <c r="M25" s="236">
        <v>6.5</v>
      </c>
      <c r="N25" s="297">
        <v>0.31</v>
      </c>
      <c r="O25" s="236">
        <v>0.625</v>
      </c>
      <c r="P25" s="43">
        <f t="shared" si="15"/>
        <v>0.5723076923076923</v>
      </c>
      <c r="Q25" s="195">
        <f t="shared" si="16"/>
        <v>5.9375</v>
      </c>
      <c r="R25" s="197">
        <f t="shared" si="57"/>
        <v>6.4375</v>
      </c>
      <c r="S25" s="253">
        <f t="shared" si="18"/>
        <v>-30.146850147439906</v>
      </c>
      <c r="T25" s="99">
        <f t="shared" si="19"/>
        <v>29.393838495392881</v>
      </c>
      <c r="U25" s="130">
        <v>2</v>
      </c>
      <c r="V25" s="71">
        <v>1.5</v>
      </c>
      <c r="W25" s="23">
        <f t="shared" si="20"/>
        <v>1.8461538461538463</v>
      </c>
      <c r="X25" s="244">
        <f t="shared" si="21"/>
        <v>26</v>
      </c>
      <c r="Y25" s="28">
        <f t="shared" si="22"/>
        <v>19.5</v>
      </c>
      <c r="Z25" s="18">
        <v>130</v>
      </c>
      <c r="AA25" s="88">
        <f t="shared" si="23"/>
        <v>34.875001814422049</v>
      </c>
      <c r="AB25" s="65">
        <f t="shared" si="24"/>
        <v>42.239954086110011</v>
      </c>
      <c r="AC25" s="24">
        <f t="shared" si="25"/>
        <v>36</v>
      </c>
      <c r="AE25" s="2">
        <f t="shared" si="26"/>
        <v>10</v>
      </c>
      <c r="AF25" s="56">
        <f t="shared" si="0"/>
        <v>8.75</v>
      </c>
      <c r="AG25" s="169" t="str">
        <f t="shared" si="27"/>
        <v>#5 @ 6.5</v>
      </c>
      <c r="AH25" s="56">
        <v>8</v>
      </c>
      <c r="AI25" s="55">
        <f t="shared" si="28"/>
        <v>1800</v>
      </c>
      <c r="AJ25" s="48">
        <v>36000</v>
      </c>
      <c r="AK25" s="42">
        <f t="shared" si="29"/>
        <v>0.2857142857142857</v>
      </c>
      <c r="AL25" s="19">
        <f t="shared" si="30"/>
        <v>0.90476190476190477</v>
      </c>
      <c r="AM25" s="255">
        <f t="shared" si="1"/>
        <v>-7.7237499999999999</v>
      </c>
      <c r="AN25" s="109">
        <f t="shared" si="1"/>
        <v>8.1649999999999991</v>
      </c>
      <c r="AO25" s="256">
        <f t="shared" si="31"/>
        <v>1.7809464120276788</v>
      </c>
      <c r="AP25" s="255">
        <f t="shared" si="32"/>
        <v>0.7630769230769231</v>
      </c>
      <c r="AQ25" s="160">
        <f t="shared" si="33"/>
        <v>-4.5307692307692307</v>
      </c>
      <c r="AR25" s="112">
        <f t="shared" si="34"/>
        <v>0.7630769230769231</v>
      </c>
      <c r="AS25" s="112">
        <f t="shared" si="35"/>
        <v>-4.9123076923076923</v>
      </c>
      <c r="AT25" s="103">
        <f t="shared" si="36"/>
        <v>1.8674344795928515</v>
      </c>
      <c r="AU25" s="255">
        <f t="shared" si="37"/>
        <v>-17.34423295123505</v>
      </c>
      <c r="AV25" s="109">
        <f t="shared" si="38"/>
        <v>16.849463801448636</v>
      </c>
      <c r="AW25" s="310">
        <f t="shared" si="39"/>
        <v>-1.6231288445008991</v>
      </c>
      <c r="AX25" s="106">
        <f t="shared" si="40"/>
        <v>1.503797856147743</v>
      </c>
      <c r="AY25" s="255">
        <f t="shared" si="41"/>
        <v>-30.305783382534376</v>
      </c>
      <c r="AZ25" s="109">
        <f t="shared" si="42"/>
        <v>29.441267395004335</v>
      </c>
      <c r="BA25" s="155"/>
      <c r="BB25" s="56">
        <f t="shared" si="2"/>
        <v>10</v>
      </c>
      <c r="BC25" s="165">
        <f t="shared" si="2"/>
        <v>8.75</v>
      </c>
      <c r="BD25" s="169" t="str">
        <f t="shared" si="43"/>
        <v>#5 @ 6.5</v>
      </c>
      <c r="BE25" s="88">
        <f t="shared" si="44"/>
        <v>0.82015578498068598</v>
      </c>
      <c r="BF25" s="129">
        <f t="shared" si="45"/>
        <v>1.8590197792895551E-2</v>
      </c>
      <c r="BG25" s="191">
        <f t="shared" si="46"/>
        <v>2.625</v>
      </c>
      <c r="BH25" s="22">
        <f t="shared" si="47"/>
        <v>30.305783382534376</v>
      </c>
      <c r="BI25" s="55">
        <f t="shared" si="3"/>
        <v>8.75</v>
      </c>
      <c r="BJ25" s="87">
        <f t="shared" si="48"/>
        <v>1.6122448979591837</v>
      </c>
      <c r="BK25" s="69">
        <f t="shared" si="49"/>
        <v>6.5</v>
      </c>
      <c r="BM25" s="88">
        <f t="shared" si="50"/>
        <v>0.58478590208403192</v>
      </c>
      <c r="BN25" s="129">
        <f t="shared" si="51"/>
        <v>1.3255147113904726E-2</v>
      </c>
      <c r="BO25" s="43">
        <f t="shared" si="52"/>
        <v>1.8125</v>
      </c>
      <c r="BP25" s="27">
        <f t="shared" si="53"/>
        <v>29.441267395004335</v>
      </c>
      <c r="BQ25" s="88">
        <f t="shared" si="54"/>
        <v>1.3732303732303732</v>
      </c>
      <c r="BR25" s="130">
        <f t="shared" si="55"/>
        <v>6.5</v>
      </c>
      <c r="BT25" s="1"/>
      <c r="BU25" s="1"/>
      <c r="BV25" s="156"/>
      <c r="BW25" s="156"/>
      <c r="BX25" s="156"/>
      <c r="BY25" s="156"/>
      <c r="BZ25" s="156"/>
    </row>
    <row r="26" spans="1:78" x14ac:dyDescent="0.2">
      <c r="A26" s="2">
        <v>10.25</v>
      </c>
      <c r="B26" s="221">
        <v>8.75</v>
      </c>
      <c r="C26" s="43">
        <f t="shared" si="9"/>
        <v>0.10937499999999999</v>
      </c>
      <c r="D26" s="157">
        <f t="shared" si="10"/>
        <v>-1.1491210937499998</v>
      </c>
      <c r="E26" s="99">
        <f t="shared" si="11"/>
        <v>0.9192968749999999</v>
      </c>
      <c r="F26" s="253">
        <f t="shared" si="12"/>
        <v>-0.52531250000000007</v>
      </c>
      <c r="G26" s="108">
        <f t="shared" si="13"/>
        <v>0.42025000000000001</v>
      </c>
      <c r="H26" s="294">
        <v>-6.45</v>
      </c>
      <c r="I26" s="99">
        <v>7.03</v>
      </c>
      <c r="J26" s="253">
        <f t="shared" si="14"/>
        <v>-8.1244335937500001</v>
      </c>
      <c r="K26" s="99">
        <f t="shared" si="14"/>
        <v>8.3695468750000011</v>
      </c>
      <c r="L26" s="236">
        <v>5</v>
      </c>
      <c r="M26" s="236">
        <v>6</v>
      </c>
      <c r="N26" s="297">
        <v>0.31</v>
      </c>
      <c r="O26" s="236">
        <v>0.625</v>
      </c>
      <c r="P26" s="43">
        <f t="shared" si="15"/>
        <v>0.62</v>
      </c>
      <c r="Q26" s="195">
        <f t="shared" si="16"/>
        <v>5.9375</v>
      </c>
      <c r="R26" s="197">
        <f t="shared" si="57"/>
        <v>6.4375</v>
      </c>
      <c r="S26" s="253">
        <f t="shared" si="18"/>
        <v>-29.27148266464123</v>
      </c>
      <c r="T26" s="99">
        <f t="shared" si="19"/>
        <v>27.812495261015052</v>
      </c>
      <c r="U26" s="131">
        <v>2</v>
      </c>
      <c r="V26" s="69">
        <v>1.5</v>
      </c>
      <c r="W26" s="23">
        <f t="shared" si="20"/>
        <v>2</v>
      </c>
      <c r="X26" s="201">
        <f t="shared" si="21"/>
        <v>24</v>
      </c>
      <c r="Y26" s="24">
        <f t="shared" si="22"/>
        <v>18</v>
      </c>
      <c r="Z26" s="3">
        <v>130</v>
      </c>
      <c r="AA26" s="87">
        <f t="shared" si="23"/>
        <v>35.817067077850069</v>
      </c>
      <c r="AB26" s="63">
        <f t="shared" si="24"/>
        <v>43.380966025982168</v>
      </c>
      <c r="AC26" s="24">
        <f t="shared" si="25"/>
        <v>36</v>
      </c>
      <c r="AE26" s="2">
        <f t="shared" si="26"/>
        <v>10.25</v>
      </c>
      <c r="AF26" s="55">
        <f t="shared" si="0"/>
        <v>8.75</v>
      </c>
      <c r="AG26" s="169" t="str">
        <f t="shared" si="27"/>
        <v>#5 @ 6</v>
      </c>
      <c r="AH26" s="55">
        <v>8</v>
      </c>
      <c r="AI26" s="55">
        <f t="shared" si="28"/>
        <v>1800</v>
      </c>
      <c r="AJ26" s="47">
        <v>36000</v>
      </c>
      <c r="AK26" s="43">
        <f t="shared" si="29"/>
        <v>0.2857142857142857</v>
      </c>
      <c r="AL26" s="4">
        <f t="shared" si="30"/>
        <v>0.90476190476190477</v>
      </c>
      <c r="AM26" s="253">
        <f t="shared" si="1"/>
        <v>-8.1244335937500001</v>
      </c>
      <c r="AN26" s="108">
        <f t="shared" si="1"/>
        <v>8.3695468750000011</v>
      </c>
      <c r="AO26" s="195">
        <f t="shared" si="31"/>
        <v>1.8403697921421089</v>
      </c>
      <c r="AP26" s="253">
        <f t="shared" si="32"/>
        <v>0.82666666666666666</v>
      </c>
      <c r="AQ26" s="157">
        <f t="shared" si="33"/>
        <v>-4.9083333333333332</v>
      </c>
      <c r="AR26" s="111">
        <f t="shared" si="34"/>
        <v>0.82666666666666666</v>
      </c>
      <c r="AS26" s="111">
        <f t="shared" si="35"/>
        <v>-5.3216666666666663</v>
      </c>
      <c r="AT26" s="102">
        <f t="shared" si="36"/>
        <v>1.93027736623072</v>
      </c>
      <c r="AU26" s="253">
        <f t="shared" si="37"/>
        <v>-18.311872340679226</v>
      </c>
      <c r="AV26" s="108">
        <f t="shared" si="38"/>
        <v>17.334013828280099</v>
      </c>
      <c r="AW26" s="308">
        <f t="shared" si="39"/>
        <v>-1.6583508034513921</v>
      </c>
      <c r="AX26" s="105">
        <f t="shared" si="40"/>
        <v>1.4966772937687942</v>
      </c>
      <c r="AY26" s="253">
        <f t="shared" si="41"/>
        <v>-29.53527796883747</v>
      </c>
      <c r="AZ26" s="108">
        <f t="shared" si="42"/>
        <v>27.95808681980661</v>
      </c>
      <c r="BA26" s="155"/>
      <c r="BB26" s="55">
        <f t="shared" si="2"/>
        <v>10.25</v>
      </c>
      <c r="BC26" s="165">
        <f t="shared" si="2"/>
        <v>8.75</v>
      </c>
      <c r="BD26" s="169" t="str">
        <f t="shared" si="43"/>
        <v>#5 @ 6</v>
      </c>
      <c r="BE26" s="87">
        <f t="shared" si="44"/>
        <v>0.76529091238496494</v>
      </c>
      <c r="BF26" s="129">
        <f t="shared" si="45"/>
        <v>1.7346594014059209E-2</v>
      </c>
      <c r="BG26" s="191">
        <f t="shared" si="46"/>
        <v>2.625</v>
      </c>
      <c r="BH26" s="22">
        <f t="shared" si="47"/>
        <v>29.53527796883747</v>
      </c>
      <c r="BI26" s="55">
        <f t="shared" si="3"/>
        <v>8.75</v>
      </c>
      <c r="BJ26" s="87">
        <f t="shared" si="48"/>
        <v>1.6122448979591837</v>
      </c>
      <c r="BK26" s="69">
        <f t="shared" si="49"/>
        <v>6</v>
      </c>
      <c r="BM26" s="87">
        <f t="shared" si="50"/>
        <v>0.52790229247759046</v>
      </c>
      <c r="BN26" s="129">
        <f t="shared" si="51"/>
        <v>1.1965785296158717E-2</v>
      </c>
      <c r="BO26" s="43">
        <f t="shared" si="52"/>
        <v>1.8125</v>
      </c>
      <c r="BP26" s="22">
        <f t="shared" si="53"/>
        <v>27.95808681980661</v>
      </c>
      <c r="BQ26" s="87">
        <f t="shared" si="54"/>
        <v>1.3732303732303732</v>
      </c>
      <c r="BR26" s="131">
        <f t="shared" si="55"/>
        <v>6</v>
      </c>
      <c r="BT26" s="1"/>
      <c r="BU26" s="1"/>
      <c r="BV26" s="156"/>
      <c r="BW26" s="156"/>
      <c r="BX26" s="156"/>
      <c r="BY26" s="156"/>
      <c r="BZ26" s="156"/>
    </row>
    <row r="27" spans="1:78" x14ac:dyDescent="0.2">
      <c r="A27" s="2">
        <v>10.5</v>
      </c>
      <c r="B27" s="221">
        <v>8.75</v>
      </c>
      <c r="C27" s="43">
        <f t="shared" si="9"/>
        <v>0.10937499999999999</v>
      </c>
      <c r="D27" s="157">
        <f t="shared" si="10"/>
        <v>-1.205859375</v>
      </c>
      <c r="E27" s="99">
        <f t="shared" si="11"/>
        <v>0.96468749999999992</v>
      </c>
      <c r="F27" s="253">
        <f t="shared" si="12"/>
        <v>-0.55125000000000013</v>
      </c>
      <c r="G27" s="108">
        <f t="shared" si="13"/>
        <v>0.441</v>
      </c>
      <c r="H27" s="294">
        <v>-6.77</v>
      </c>
      <c r="I27" s="99">
        <v>7.17</v>
      </c>
      <c r="J27" s="253">
        <f t="shared" si="14"/>
        <v>-8.5271093750000002</v>
      </c>
      <c r="K27" s="99">
        <f t="shared" si="14"/>
        <v>8.5756875000000008</v>
      </c>
      <c r="L27" s="236">
        <v>5</v>
      </c>
      <c r="M27" s="236">
        <v>6</v>
      </c>
      <c r="N27" s="297">
        <v>0.31</v>
      </c>
      <c r="O27" s="236">
        <v>0.625</v>
      </c>
      <c r="P27" s="43">
        <f t="shared" si="15"/>
        <v>0.62</v>
      </c>
      <c r="Q27" s="195">
        <f t="shared" si="16"/>
        <v>5.9375</v>
      </c>
      <c r="R27" s="197">
        <f t="shared" si="57"/>
        <v>6.4375</v>
      </c>
      <c r="S27" s="253">
        <f t="shared" si="18"/>
        <v>-30.722281297471181</v>
      </c>
      <c r="T27" s="99">
        <f t="shared" si="19"/>
        <v>28.497512651029393</v>
      </c>
      <c r="U27" s="131">
        <v>2</v>
      </c>
      <c r="V27" s="69">
        <v>1.5</v>
      </c>
      <c r="W27" s="23">
        <f t="shared" si="20"/>
        <v>2</v>
      </c>
      <c r="X27" s="201">
        <f t="shared" si="21"/>
        <v>24</v>
      </c>
      <c r="Y27" s="24">
        <f t="shared" si="22"/>
        <v>18</v>
      </c>
      <c r="Z27" s="3">
        <v>130</v>
      </c>
      <c r="AA27" s="87">
        <f t="shared" si="23"/>
        <v>35.817067077850069</v>
      </c>
      <c r="AB27" s="63">
        <f t="shared" si="24"/>
        <v>43.380966025982168</v>
      </c>
      <c r="AC27" s="24">
        <f t="shared" si="25"/>
        <v>36</v>
      </c>
      <c r="AE27" s="2">
        <f t="shared" si="26"/>
        <v>10.5</v>
      </c>
      <c r="AF27" s="246">
        <f t="shared" si="0"/>
        <v>8.75</v>
      </c>
      <c r="AG27" s="169" t="str">
        <f t="shared" si="27"/>
        <v>#5 @ 6</v>
      </c>
      <c r="AH27" s="55">
        <v>8</v>
      </c>
      <c r="AI27" s="55">
        <f t="shared" si="28"/>
        <v>1800</v>
      </c>
      <c r="AJ27" s="47">
        <v>36000</v>
      </c>
      <c r="AK27" s="43">
        <f t="shared" si="29"/>
        <v>0.2857142857142857</v>
      </c>
      <c r="AL27" s="4">
        <f t="shared" si="30"/>
        <v>0.90476190476190477</v>
      </c>
      <c r="AM27" s="253">
        <f t="shared" si="1"/>
        <v>-8.5271093750000002</v>
      </c>
      <c r="AN27" s="108">
        <f t="shared" si="1"/>
        <v>8.5756875000000008</v>
      </c>
      <c r="AO27" s="195">
        <f t="shared" si="31"/>
        <v>1.8403697921421089</v>
      </c>
      <c r="AP27" s="253">
        <f t="shared" si="32"/>
        <v>0.82666666666666666</v>
      </c>
      <c r="AQ27" s="157">
        <f t="shared" si="33"/>
        <v>-4.9083333333333332</v>
      </c>
      <c r="AR27" s="111">
        <f t="shared" si="34"/>
        <v>0.82666666666666666</v>
      </c>
      <c r="AS27" s="111">
        <f t="shared" si="35"/>
        <v>-5.3216666666666663</v>
      </c>
      <c r="AT27" s="102">
        <f t="shared" si="36"/>
        <v>1.93027736623072</v>
      </c>
      <c r="AU27" s="253">
        <f t="shared" si="37"/>
        <v>-19.219473764931834</v>
      </c>
      <c r="AV27" s="108">
        <f t="shared" si="38"/>
        <v>17.760947866369264</v>
      </c>
      <c r="AW27" s="308">
        <f t="shared" si="39"/>
        <v>-1.7405445585803727</v>
      </c>
      <c r="AX27" s="105">
        <f t="shared" si="40"/>
        <v>1.5335402204443567</v>
      </c>
      <c r="AY27" s="253">
        <f t="shared" si="41"/>
        <v>-30.99915123376103</v>
      </c>
      <c r="AZ27" s="108">
        <f t="shared" si="42"/>
        <v>28.646690107047196</v>
      </c>
      <c r="BA27" s="155"/>
      <c r="BB27" s="55">
        <f t="shared" si="2"/>
        <v>10.5</v>
      </c>
      <c r="BC27" s="165">
        <f t="shared" si="2"/>
        <v>8.75</v>
      </c>
      <c r="BD27" s="169" t="str">
        <f t="shared" si="43"/>
        <v>#5 @ 6</v>
      </c>
      <c r="BE27" s="87">
        <f t="shared" si="44"/>
        <v>0.80322144778440574</v>
      </c>
      <c r="BF27" s="129">
        <f t="shared" si="45"/>
        <v>1.820635281644653E-2</v>
      </c>
      <c r="BG27" s="191">
        <f t="shared" si="46"/>
        <v>2.625</v>
      </c>
      <c r="BH27" s="22">
        <f t="shared" si="47"/>
        <v>30.99915123376103</v>
      </c>
      <c r="BI27" s="55">
        <f t="shared" si="3"/>
        <v>8.75</v>
      </c>
      <c r="BJ27" s="87">
        <f t="shared" si="48"/>
        <v>1.6122448979591837</v>
      </c>
      <c r="BK27" s="69">
        <f t="shared" si="49"/>
        <v>6</v>
      </c>
      <c r="BM27" s="87">
        <f t="shared" si="50"/>
        <v>0.54090444302833485</v>
      </c>
      <c r="BN27" s="129">
        <f t="shared" si="51"/>
        <v>1.2260500708642257E-2</v>
      </c>
      <c r="BO27" s="43">
        <f t="shared" si="52"/>
        <v>1.8125</v>
      </c>
      <c r="BP27" s="22">
        <f t="shared" si="53"/>
        <v>28.646690107047196</v>
      </c>
      <c r="BQ27" s="87">
        <f t="shared" si="54"/>
        <v>1.3732303732303732</v>
      </c>
      <c r="BR27" s="131">
        <f t="shared" si="55"/>
        <v>6</v>
      </c>
      <c r="BT27" s="1"/>
      <c r="BU27" s="1"/>
      <c r="BV27" s="156"/>
      <c r="BW27" s="156"/>
      <c r="BX27" s="156"/>
      <c r="BY27" s="156"/>
      <c r="BZ27" s="156"/>
    </row>
    <row r="28" spans="1:78" x14ac:dyDescent="0.2">
      <c r="A28" s="8">
        <v>10.75</v>
      </c>
      <c r="B28" s="222">
        <v>9</v>
      </c>
      <c r="C28" s="43">
        <f t="shared" si="9"/>
        <v>0.11249999999999999</v>
      </c>
      <c r="D28" s="158">
        <f t="shared" si="10"/>
        <v>-1.300078125</v>
      </c>
      <c r="E28" s="101">
        <f t="shared" si="11"/>
        <v>1.0400624999999999</v>
      </c>
      <c r="F28" s="61">
        <f t="shared" si="12"/>
        <v>-0.57781250000000006</v>
      </c>
      <c r="G28" s="110">
        <f t="shared" si="13"/>
        <v>0.46224999999999999</v>
      </c>
      <c r="H28" s="296">
        <v>-7.08</v>
      </c>
      <c r="I28" s="101">
        <v>7.32</v>
      </c>
      <c r="J28" s="61">
        <f t="shared" si="14"/>
        <v>-8.957890625000001</v>
      </c>
      <c r="K28" s="101">
        <f t="shared" si="14"/>
        <v>8.8223125000000007</v>
      </c>
      <c r="L28" s="238">
        <v>5</v>
      </c>
      <c r="M28" s="238">
        <v>6</v>
      </c>
      <c r="N28" s="298">
        <v>0.31</v>
      </c>
      <c r="O28" s="238">
        <v>0.625</v>
      </c>
      <c r="P28" s="44">
        <f t="shared" si="15"/>
        <v>0.62</v>
      </c>
      <c r="Q28" s="257">
        <f t="shared" si="16"/>
        <v>6.1875</v>
      </c>
      <c r="R28" s="254">
        <f t="shared" si="57"/>
        <v>6.6875</v>
      </c>
      <c r="S28" s="61">
        <f t="shared" si="18"/>
        <v>-30.970327210989353</v>
      </c>
      <c r="T28" s="110">
        <f t="shared" si="19"/>
        <v>28.221097059803562</v>
      </c>
      <c r="U28" s="132">
        <v>2</v>
      </c>
      <c r="V28" s="73">
        <v>1.5</v>
      </c>
      <c r="W28" s="132">
        <f t="shared" si="20"/>
        <v>2</v>
      </c>
      <c r="X28" s="245">
        <f t="shared" si="21"/>
        <v>24</v>
      </c>
      <c r="Y28" s="26">
        <f t="shared" si="22"/>
        <v>18</v>
      </c>
      <c r="Z28" s="9">
        <v>130</v>
      </c>
      <c r="AA28" s="89">
        <f t="shared" si="23"/>
        <v>35.817067077850069</v>
      </c>
      <c r="AB28" s="64">
        <f t="shared" si="24"/>
        <v>43.380966025982168</v>
      </c>
      <c r="AC28" s="245">
        <f t="shared" si="25"/>
        <v>36</v>
      </c>
      <c r="AE28" s="57">
        <f t="shared" si="26"/>
        <v>10.75</v>
      </c>
      <c r="AF28" s="60">
        <f t="shared" si="0"/>
        <v>9</v>
      </c>
      <c r="AG28" s="175" t="str">
        <f t="shared" si="27"/>
        <v>#5 @ 6</v>
      </c>
      <c r="AH28" s="57">
        <v>8</v>
      </c>
      <c r="AI28" s="57">
        <f t="shared" si="28"/>
        <v>1800</v>
      </c>
      <c r="AJ28" s="49">
        <v>36000</v>
      </c>
      <c r="AK28" s="44">
        <f t="shared" si="29"/>
        <v>0.2857142857142857</v>
      </c>
      <c r="AL28" s="10">
        <f t="shared" si="30"/>
        <v>0.90476190476190477</v>
      </c>
      <c r="AM28" s="61">
        <f t="shared" si="1"/>
        <v>-8.957890625000001</v>
      </c>
      <c r="AN28" s="110">
        <f t="shared" si="1"/>
        <v>8.8223125000000007</v>
      </c>
      <c r="AO28" s="257">
        <f t="shared" si="31"/>
        <v>1.8857631075417431</v>
      </c>
      <c r="AP28" s="61">
        <f t="shared" si="32"/>
        <v>0.82666666666666666</v>
      </c>
      <c r="AQ28" s="158">
        <f t="shared" si="33"/>
        <v>-5.1150000000000002</v>
      </c>
      <c r="AR28" s="113">
        <f t="shared" si="34"/>
        <v>0.82666666666666666</v>
      </c>
      <c r="AS28" s="113">
        <f t="shared" si="35"/>
        <v>-5.5283333333333333</v>
      </c>
      <c r="AT28" s="104">
        <f t="shared" si="36"/>
        <v>1.9739617422234732</v>
      </c>
      <c r="AU28" s="61">
        <f t="shared" si="37"/>
        <v>-19.337359855202696</v>
      </c>
      <c r="AV28" s="110">
        <f t="shared" si="38"/>
        <v>17.558259571552593</v>
      </c>
      <c r="AW28" s="309">
        <f t="shared" si="39"/>
        <v>-1.7090658398772962</v>
      </c>
      <c r="AX28" s="137">
        <f t="shared" si="40"/>
        <v>1.4824890131672415</v>
      </c>
      <c r="AY28" s="61">
        <f t="shared" si="41"/>
        <v>-31.189290089036611</v>
      </c>
      <c r="AZ28" s="110">
        <f t="shared" si="42"/>
        <v>28.31977350250418</v>
      </c>
      <c r="BA28" s="155"/>
      <c r="BB28" s="57">
        <f t="shared" si="2"/>
        <v>10.75</v>
      </c>
      <c r="BC28" s="138">
        <f t="shared" si="2"/>
        <v>9</v>
      </c>
      <c r="BD28" s="175" t="str">
        <f t="shared" si="43"/>
        <v>#5 @ 6</v>
      </c>
      <c r="BE28" s="89">
        <f t="shared" si="44"/>
        <v>0.79611318189452696</v>
      </c>
      <c r="BF28" s="235">
        <f t="shared" si="45"/>
        <v>1.8045232122942612E-2</v>
      </c>
      <c r="BG28" s="234">
        <f t="shared" si="46"/>
        <v>2.625</v>
      </c>
      <c r="BH28" s="22">
        <f t="shared" si="47"/>
        <v>31.189290089036611</v>
      </c>
      <c r="BI28" s="55">
        <f t="shared" si="3"/>
        <v>9</v>
      </c>
      <c r="BJ28" s="87">
        <f t="shared" si="48"/>
        <v>1.5882352941176472</v>
      </c>
      <c r="BK28" s="132">
        <f t="shared" si="49"/>
        <v>6</v>
      </c>
      <c r="BM28" s="89">
        <f t="shared" si="50"/>
        <v>0.52967650906469388</v>
      </c>
      <c r="BN28" s="235">
        <f t="shared" si="51"/>
        <v>1.2006000872133063E-2</v>
      </c>
      <c r="BO28" s="44">
        <f t="shared" si="52"/>
        <v>1.8125</v>
      </c>
      <c r="BP28" s="25">
        <f t="shared" si="53"/>
        <v>28.31977350250418</v>
      </c>
      <c r="BQ28" s="89">
        <f t="shared" si="54"/>
        <v>1.360248447204969</v>
      </c>
      <c r="BR28" s="132">
        <f t="shared" si="55"/>
        <v>6</v>
      </c>
      <c r="BT28" s="1"/>
      <c r="BU28" s="1"/>
      <c r="BV28" s="156"/>
      <c r="BW28" s="156"/>
      <c r="BX28" s="156"/>
      <c r="BY28" s="156"/>
      <c r="BZ28" s="156"/>
    </row>
    <row r="29" spans="1:78" x14ac:dyDescent="0.2">
      <c r="A29" s="2">
        <v>11</v>
      </c>
      <c r="B29" s="221">
        <v>9</v>
      </c>
      <c r="C29" s="42">
        <f t="shared" si="9"/>
        <v>0.11249999999999999</v>
      </c>
      <c r="D29" s="157">
        <f t="shared" si="10"/>
        <v>-1.3612499999999998</v>
      </c>
      <c r="E29" s="99">
        <f t="shared" si="11"/>
        <v>1.089</v>
      </c>
      <c r="F29" s="253">
        <f t="shared" si="12"/>
        <v>-0.60500000000000009</v>
      </c>
      <c r="G29" s="108">
        <f t="shared" si="13"/>
        <v>0.48399999999999999</v>
      </c>
      <c r="H29" s="294">
        <v>-7.38</v>
      </c>
      <c r="I29" s="99">
        <v>7.46</v>
      </c>
      <c r="J29" s="253">
        <f t="shared" si="14"/>
        <v>-9.3462499999999995</v>
      </c>
      <c r="K29" s="99">
        <f t="shared" si="14"/>
        <v>9.0329999999999995</v>
      </c>
      <c r="L29" s="236">
        <v>5</v>
      </c>
      <c r="M29" s="236">
        <v>6</v>
      </c>
      <c r="N29" s="297">
        <v>0.31</v>
      </c>
      <c r="O29" s="236">
        <v>0.625</v>
      </c>
      <c r="P29" s="43">
        <f t="shared" si="15"/>
        <v>0.62</v>
      </c>
      <c r="Q29" s="195">
        <f t="shared" si="16"/>
        <v>6.1875</v>
      </c>
      <c r="R29" s="197">
        <f t="shared" si="57"/>
        <v>6.6875</v>
      </c>
      <c r="S29" s="253">
        <f t="shared" si="18"/>
        <v>-32.313011267170857</v>
      </c>
      <c r="T29" s="99">
        <f t="shared" si="19"/>
        <v>28.895051013122188</v>
      </c>
      <c r="U29" s="131">
        <v>2</v>
      </c>
      <c r="V29" s="69">
        <v>1.5</v>
      </c>
      <c r="W29" s="23">
        <f t="shared" si="20"/>
        <v>2</v>
      </c>
      <c r="X29" s="201">
        <f t="shared" si="21"/>
        <v>24</v>
      </c>
      <c r="Y29" s="24">
        <f t="shared" si="22"/>
        <v>18</v>
      </c>
      <c r="Z29" s="3">
        <v>130</v>
      </c>
      <c r="AA29" s="87">
        <f t="shared" si="23"/>
        <v>35.817067077850069</v>
      </c>
      <c r="AB29" s="63">
        <f t="shared" si="24"/>
        <v>43.380966025982168</v>
      </c>
      <c r="AC29" s="24">
        <f t="shared" si="25"/>
        <v>36</v>
      </c>
      <c r="AE29" s="2">
        <f t="shared" si="26"/>
        <v>11</v>
      </c>
      <c r="AF29" s="246">
        <f t="shared" si="0"/>
        <v>9</v>
      </c>
      <c r="AG29" s="169" t="str">
        <f t="shared" si="27"/>
        <v>#5 @ 6</v>
      </c>
      <c r="AH29" s="55">
        <v>8</v>
      </c>
      <c r="AI29" s="55">
        <f t="shared" si="28"/>
        <v>1800</v>
      </c>
      <c r="AJ29" s="47">
        <v>36000</v>
      </c>
      <c r="AK29" s="43">
        <f t="shared" si="29"/>
        <v>0.2857142857142857</v>
      </c>
      <c r="AL29" s="155">
        <f t="shared" si="30"/>
        <v>0.90476190476190477</v>
      </c>
      <c r="AM29" s="253">
        <f t="shared" si="1"/>
        <v>-9.3462499999999995</v>
      </c>
      <c r="AN29" s="108">
        <f t="shared" si="1"/>
        <v>9.0329999999999995</v>
      </c>
      <c r="AO29" s="195">
        <f t="shared" si="31"/>
        <v>1.8857631075417431</v>
      </c>
      <c r="AP29" s="253">
        <f t="shared" si="32"/>
        <v>0.82666666666666666</v>
      </c>
      <c r="AQ29" s="157">
        <f t="shared" si="33"/>
        <v>-5.1150000000000002</v>
      </c>
      <c r="AR29" s="111">
        <f t="shared" si="34"/>
        <v>0.82666666666666666</v>
      </c>
      <c r="AS29" s="111">
        <f t="shared" si="35"/>
        <v>-5.5283333333333333</v>
      </c>
      <c r="AT29" s="102">
        <f t="shared" si="36"/>
        <v>1.9739617422234732</v>
      </c>
      <c r="AU29" s="253">
        <f t="shared" si="37"/>
        <v>-20.175709562951731</v>
      </c>
      <c r="AV29" s="108">
        <f t="shared" si="38"/>
        <v>17.977572060594607</v>
      </c>
      <c r="AW29" s="308">
        <f t="shared" si="39"/>
        <v>-1.7831604866188213</v>
      </c>
      <c r="AX29" s="118">
        <f t="shared" si="40"/>
        <v>1.5178926450337926</v>
      </c>
      <c r="AY29" s="253">
        <f t="shared" si="41"/>
        <v>-32.541467037018926</v>
      </c>
      <c r="AZ29" s="108">
        <f t="shared" si="42"/>
        <v>28.996083968700976</v>
      </c>
      <c r="BA29" s="155"/>
      <c r="BB29" s="2">
        <f t="shared" si="2"/>
        <v>11</v>
      </c>
      <c r="BC29" s="119">
        <f t="shared" si="2"/>
        <v>9</v>
      </c>
      <c r="BD29" s="169" t="str">
        <f t="shared" si="43"/>
        <v>#5 @ 6</v>
      </c>
      <c r="BE29" s="88">
        <f t="shared" si="44"/>
        <v>0.83062778256256298</v>
      </c>
      <c r="BF29" s="129">
        <f t="shared" si="45"/>
        <v>1.8827563071418096E-2</v>
      </c>
      <c r="BG29" s="191">
        <f t="shared" si="46"/>
        <v>2.625</v>
      </c>
      <c r="BH29" s="27">
        <f t="shared" si="47"/>
        <v>32.541467037018926</v>
      </c>
      <c r="BI29" s="56">
        <f t="shared" si="3"/>
        <v>9</v>
      </c>
      <c r="BJ29" s="88">
        <f t="shared" si="48"/>
        <v>1.5882352941176472</v>
      </c>
      <c r="BK29" s="69">
        <f t="shared" si="49"/>
        <v>6</v>
      </c>
      <c r="BM29" s="88">
        <f t="shared" si="50"/>
        <v>0.54232582515994299</v>
      </c>
      <c r="BN29" s="129">
        <f t="shared" si="51"/>
        <v>1.2292718703625374E-2</v>
      </c>
      <c r="BO29" s="43">
        <f t="shared" si="52"/>
        <v>1.8125</v>
      </c>
      <c r="BP29" s="22">
        <f t="shared" si="53"/>
        <v>28.996083968700976</v>
      </c>
      <c r="BQ29" s="87">
        <f t="shared" si="54"/>
        <v>1.360248447204969</v>
      </c>
      <c r="BR29" s="130">
        <f t="shared" si="55"/>
        <v>6</v>
      </c>
      <c r="BT29" s="1"/>
      <c r="BU29" s="1"/>
      <c r="BV29" s="156"/>
      <c r="BW29" s="156"/>
      <c r="BX29" s="156"/>
      <c r="BY29" s="156"/>
      <c r="BZ29" s="156"/>
    </row>
    <row r="30" spans="1:78" x14ac:dyDescent="0.2">
      <c r="A30" s="2">
        <v>11.25</v>
      </c>
      <c r="B30" s="221">
        <v>9</v>
      </c>
      <c r="C30" s="43">
        <f t="shared" si="9"/>
        <v>0.11249999999999999</v>
      </c>
      <c r="D30" s="157">
        <f t="shared" si="10"/>
        <v>-1.423828125</v>
      </c>
      <c r="E30" s="99">
        <f t="shared" si="11"/>
        <v>1.1390624999999999</v>
      </c>
      <c r="F30" s="253">
        <f t="shared" si="12"/>
        <v>-0.63281250000000011</v>
      </c>
      <c r="G30" s="108">
        <f t="shared" si="13"/>
        <v>0.50624999999999998</v>
      </c>
      <c r="H30" s="294">
        <v>-7.67</v>
      </c>
      <c r="I30" s="99">
        <v>7.6</v>
      </c>
      <c r="J30" s="253">
        <f t="shared" si="14"/>
        <v>-9.7266406249999999</v>
      </c>
      <c r="K30" s="99">
        <f t="shared" si="14"/>
        <v>9.2453124999999989</v>
      </c>
      <c r="L30" s="236">
        <v>5</v>
      </c>
      <c r="M30" s="236">
        <v>5.5</v>
      </c>
      <c r="N30" s="297">
        <v>0.31</v>
      </c>
      <c r="O30" s="236">
        <v>0.625</v>
      </c>
      <c r="P30" s="43">
        <f t="shared" si="15"/>
        <v>0.67636363636363628</v>
      </c>
      <c r="Q30" s="195">
        <f t="shared" si="16"/>
        <v>6.1875</v>
      </c>
      <c r="R30" s="197">
        <f t="shared" si="57"/>
        <v>6.6875</v>
      </c>
      <c r="S30" s="253">
        <f t="shared" si="18"/>
        <v>-30.825799377475949</v>
      </c>
      <c r="T30" s="99">
        <f t="shared" si="19"/>
        <v>27.10968614632753</v>
      </c>
      <c r="U30" s="131">
        <v>2</v>
      </c>
      <c r="V30" s="69">
        <v>1.5</v>
      </c>
      <c r="W30" s="23">
        <f t="shared" si="20"/>
        <v>2.1818181818181817</v>
      </c>
      <c r="X30" s="201">
        <f t="shared" si="21"/>
        <v>22</v>
      </c>
      <c r="Y30" s="24">
        <f t="shared" si="22"/>
        <v>16.5</v>
      </c>
      <c r="Z30" s="3">
        <v>130</v>
      </c>
      <c r="AA30" s="87">
        <f t="shared" si="23"/>
        <v>36.870040192552679</v>
      </c>
      <c r="AB30" s="63">
        <f t="shared" si="24"/>
        <v>44.656307494224144</v>
      </c>
      <c r="AC30" s="24">
        <f t="shared" si="25"/>
        <v>36</v>
      </c>
      <c r="AE30" s="2">
        <f t="shared" si="26"/>
        <v>11.25</v>
      </c>
      <c r="AF30" s="246">
        <f t="shared" si="0"/>
        <v>9</v>
      </c>
      <c r="AG30" s="169" t="str">
        <f t="shared" si="27"/>
        <v>#5 @ 5.5</v>
      </c>
      <c r="AH30" s="55">
        <v>8</v>
      </c>
      <c r="AI30" s="55">
        <f t="shared" si="28"/>
        <v>1800</v>
      </c>
      <c r="AJ30" s="47">
        <v>36000</v>
      </c>
      <c r="AK30" s="43">
        <f t="shared" si="29"/>
        <v>0.2857142857142857</v>
      </c>
      <c r="AL30" s="155">
        <f t="shared" si="30"/>
        <v>0.90476190476190477</v>
      </c>
      <c r="AM30" s="253">
        <f t="shared" si="1"/>
        <v>-9.7266406249999999</v>
      </c>
      <c r="AN30" s="108">
        <f t="shared" si="1"/>
        <v>9.2453124999999989</v>
      </c>
      <c r="AO30" s="195">
        <f t="shared" si="31"/>
        <v>1.9539441287832175</v>
      </c>
      <c r="AP30" s="253">
        <f t="shared" si="32"/>
        <v>0.90181818181818174</v>
      </c>
      <c r="AQ30" s="157">
        <f t="shared" si="33"/>
        <v>-5.5799999999999992</v>
      </c>
      <c r="AR30" s="111">
        <f t="shared" si="34"/>
        <v>0.90181818181818174</v>
      </c>
      <c r="AS30" s="111">
        <f t="shared" si="35"/>
        <v>-6.0309090909090903</v>
      </c>
      <c r="AT30" s="102">
        <f t="shared" si="36"/>
        <v>2.0459345363878918</v>
      </c>
      <c r="AU30" s="253">
        <f t="shared" si="37"/>
        <v>-21.083052928571476</v>
      </c>
      <c r="AV30" s="108">
        <f t="shared" si="38"/>
        <v>18.473623658860852</v>
      </c>
      <c r="AW30" s="308">
        <f t="shared" si="39"/>
        <v>-1.7983329732923801</v>
      </c>
      <c r="AX30" s="118">
        <f t="shared" si="40"/>
        <v>1.504905079667255</v>
      </c>
      <c r="AY30" s="253">
        <f t="shared" si="41"/>
        <v>-31.171180405146</v>
      </c>
      <c r="AZ30" s="108">
        <f t="shared" si="42"/>
        <v>27.313153259068464</v>
      </c>
      <c r="BA30" s="155"/>
      <c r="BB30" s="2">
        <f t="shared" si="2"/>
        <v>11.25</v>
      </c>
      <c r="BC30" s="149">
        <f t="shared" si="2"/>
        <v>9</v>
      </c>
      <c r="BD30" s="169" t="str">
        <f t="shared" si="43"/>
        <v>#5 @ 5.5</v>
      </c>
      <c r="BE30" s="87">
        <f t="shared" si="44"/>
        <v>0.76028866492383418</v>
      </c>
      <c r="BF30" s="129">
        <f t="shared" si="45"/>
        <v>1.7233209738273577E-2</v>
      </c>
      <c r="BG30" s="191">
        <f t="shared" si="46"/>
        <v>2.625</v>
      </c>
      <c r="BH30" s="22">
        <f t="shared" si="47"/>
        <v>31.171180405146</v>
      </c>
      <c r="BI30" s="55">
        <f t="shared" si="3"/>
        <v>9</v>
      </c>
      <c r="BJ30" s="87">
        <f t="shared" si="48"/>
        <v>1.5882352941176472</v>
      </c>
      <c r="BK30" s="69">
        <f t="shared" si="49"/>
        <v>5.5</v>
      </c>
      <c r="BM30" s="87">
        <f t="shared" si="50"/>
        <v>0.48431164724126835</v>
      </c>
      <c r="BN30" s="129">
        <f t="shared" si="51"/>
        <v>1.0977730670802084E-2</v>
      </c>
      <c r="BO30" s="43">
        <f t="shared" si="52"/>
        <v>1.8125</v>
      </c>
      <c r="BP30" s="22">
        <f t="shared" si="53"/>
        <v>27.313153259068464</v>
      </c>
      <c r="BQ30" s="87">
        <f t="shared" si="54"/>
        <v>1.360248447204969</v>
      </c>
      <c r="BR30" s="131">
        <f t="shared" si="55"/>
        <v>5.5</v>
      </c>
      <c r="BT30" s="1"/>
      <c r="BU30" s="1"/>
      <c r="BV30" s="156"/>
      <c r="BW30" s="156"/>
      <c r="BX30" s="156"/>
      <c r="BY30" s="156"/>
      <c r="BZ30" s="156"/>
    </row>
    <row r="31" spans="1:78" x14ac:dyDescent="0.2">
      <c r="A31" s="2">
        <v>11.5</v>
      </c>
      <c r="B31" s="221">
        <v>9.25</v>
      </c>
      <c r="C31" s="43">
        <f t="shared" si="9"/>
        <v>0.11562500000000001</v>
      </c>
      <c r="D31" s="157">
        <f t="shared" si="10"/>
        <v>-1.5291406250000001</v>
      </c>
      <c r="E31" s="99">
        <f t="shared" si="11"/>
        <v>1.2233125000000002</v>
      </c>
      <c r="F31" s="253">
        <f t="shared" si="12"/>
        <v>-0.66125000000000012</v>
      </c>
      <c r="G31" s="108">
        <f t="shared" si="13"/>
        <v>0.52900000000000003</v>
      </c>
      <c r="H31" s="294">
        <v>-7.96</v>
      </c>
      <c r="I31" s="99">
        <v>7.74</v>
      </c>
      <c r="J31" s="253">
        <f t="shared" si="14"/>
        <v>-10.150390625</v>
      </c>
      <c r="K31" s="99">
        <f t="shared" si="14"/>
        <v>9.4923125000000006</v>
      </c>
      <c r="L31" s="236">
        <v>5</v>
      </c>
      <c r="M31" s="236">
        <v>5.5</v>
      </c>
      <c r="N31" s="297">
        <v>0.31</v>
      </c>
      <c r="O31" s="236">
        <v>0.625</v>
      </c>
      <c r="P31" s="43">
        <f t="shared" si="15"/>
        <v>0.67636363636363628</v>
      </c>
      <c r="Q31" s="195">
        <f t="shared" si="16"/>
        <v>6.4375</v>
      </c>
      <c r="R31" s="197">
        <f t="shared" si="57"/>
        <v>6.9375</v>
      </c>
      <c r="S31" s="253">
        <f t="shared" si="18"/>
        <v>-30.919481555046403</v>
      </c>
      <c r="T31" s="99">
        <f t="shared" si="19"/>
        <v>26.830929656311664</v>
      </c>
      <c r="U31" s="131">
        <v>2</v>
      </c>
      <c r="V31" s="69">
        <v>1.5</v>
      </c>
      <c r="W31" s="23">
        <f t="shared" si="20"/>
        <v>2.1818181818181817</v>
      </c>
      <c r="X31" s="201">
        <f t="shared" si="21"/>
        <v>22</v>
      </c>
      <c r="Y31" s="24">
        <f t="shared" si="22"/>
        <v>16.5</v>
      </c>
      <c r="Z31" s="3">
        <v>130</v>
      </c>
      <c r="AA31" s="87">
        <f t="shared" si="23"/>
        <v>36.870040192552679</v>
      </c>
      <c r="AB31" s="63">
        <f t="shared" si="24"/>
        <v>44.656307494224144</v>
      </c>
      <c r="AC31" s="24">
        <f t="shared" si="25"/>
        <v>36</v>
      </c>
      <c r="AE31" s="2">
        <f t="shared" si="26"/>
        <v>11.5</v>
      </c>
      <c r="AF31" s="246">
        <f t="shared" si="0"/>
        <v>9.25</v>
      </c>
      <c r="AG31" s="169" t="str">
        <f t="shared" si="27"/>
        <v>#5 @ 5.5</v>
      </c>
      <c r="AH31" s="55">
        <v>8</v>
      </c>
      <c r="AI31" s="55">
        <f t="shared" si="28"/>
        <v>1800</v>
      </c>
      <c r="AJ31" s="47">
        <v>36000</v>
      </c>
      <c r="AK31" s="43">
        <f t="shared" si="29"/>
        <v>0.2857142857142857</v>
      </c>
      <c r="AL31" s="155">
        <f t="shared" si="30"/>
        <v>0.90476190476190477</v>
      </c>
      <c r="AM31" s="253">
        <f t="shared" si="1"/>
        <v>-10.150390625</v>
      </c>
      <c r="AN31" s="108">
        <f t="shared" si="1"/>
        <v>9.4923125000000006</v>
      </c>
      <c r="AO31" s="195">
        <f t="shared" si="31"/>
        <v>2.0003708918180982</v>
      </c>
      <c r="AP31" s="253">
        <f t="shared" si="32"/>
        <v>0.90181818181818174</v>
      </c>
      <c r="AQ31" s="157">
        <f t="shared" si="33"/>
        <v>-5.8054545454545448</v>
      </c>
      <c r="AR31" s="111">
        <f t="shared" si="34"/>
        <v>0.90181818181818174</v>
      </c>
      <c r="AS31" s="111">
        <f t="shared" si="35"/>
        <v>-6.256363636363635</v>
      </c>
      <c r="AT31" s="102">
        <f t="shared" si="36"/>
        <v>2.0906814828513838</v>
      </c>
      <c r="AU31" s="253">
        <f t="shared" si="37"/>
        <v>-21.107401649823725</v>
      </c>
      <c r="AV31" s="108">
        <f t="shared" si="38"/>
        <v>18.252673995690746</v>
      </c>
      <c r="AW31" s="308">
        <f t="shared" si="39"/>
        <v>-1.7586240078574977</v>
      </c>
      <c r="AX31" s="118">
        <f t="shared" si="40"/>
        <v>1.4550816839235252</v>
      </c>
      <c r="AY31" s="253">
        <f t="shared" si="41"/>
        <v>-31.207179858610338</v>
      </c>
      <c r="AZ31" s="108">
        <f t="shared" si="42"/>
        <v>26.986480369972877</v>
      </c>
      <c r="BA31" s="155"/>
      <c r="BB31" s="2">
        <f t="shared" si="2"/>
        <v>11.5</v>
      </c>
      <c r="BC31" s="149">
        <f t="shared" si="2"/>
        <v>9.25</v>
      </c>
      <c r="BD31" s="169" t="str">
        <f t="shared" si="43"/>
        <v>#5 @ 5.5</v>
      </c>
      <c r="BE31" s="87">
        <f t="shared" si="44"/>
        <v>0.75052846978019061</v>
      </c>
      <c r="BF31" s="129">
        <f t="shared" si="45"/>
        <v>1.7011978648350988E-2</v>
      </c>
      <c r="BG31" s="191">
        <f t="shared" si="46"/>
        <v>2.625</v>
      </c>
      <c r="BH31" s="22">
        <f t="shared" si="47"/>
        <v>31.207179858610338</v>
      </c>
      <c r="BI31" s="55">
        <f t="shared" si="3"/>
        <v>9.25</v>
      </c>
      <c r="BJ31" s="87">
        <f t="shared" si="48"/>
        <v>1.5660377358490567</v>
      </c>
      <c r="BK31" s="69">
        <f t="shared" si="49"/>
        <v>5.5</v>
      </c>
      <c r="BM31" s="87">
        <f t="shared" si="50"/>
        <v>0.47425927676427848</v>
      </c>
      <c r="BN31" s="129">
        <f t="shared" si="51"/>
        <v>1.0749876939990313E-2</v>
      </c>
      <c r="BO31" s="43">
        <f t="shared" si="52"/>
        <v>1.8125</v>
      </c>
      <c r="BP31" s="22">
        <f t="shared" si="53"/>
        <v>26.986480369972877</v>
      </c>
      <c r="BQ31" s="87">
        <f t="shared" si="54"/>
        <v>1.3481392557022809</v>
      </c>
      <c r="BR31" s="131">
        <f t="shared" si="55"/>
        <v>5.5</v>
      </c>
      <c r="BT31" s="1"/>
      <c r="BU31" s="1"/>
      <c r="BV31" s="156"/>
      <c r="BW31" s="156"/>
      <c r="BX31" s="156"/>
      <c r="BY31" s="156"/>
      <c r="BZ31" s="156"/>
    </row>
    <row r="32" spans="1:78" x14ac:dyDescent="0.2">
      <c r="A32" s="2">
        <v>11.75</v>
      </c>
      <c r="B32" s="222">
        <v>9.25</v>
      </c>
      <c r="C32" s="44">
        <f t="shared" si="9"/>
        <v>0.11562500000000001</v>
      </c>
      <c r="D32" s="157">
        <f t="shared" si="10"/>
        <v>-1.5963476562500003</v>
      </c>
      <c r="E32" s="99">
        <f t="shared" si="11"/>
        <v>1.2770781250000003</v>
      </c>
      <c r="F32" s="253">
        <f t="shared" si="12"/>
        <v>-0.69031250000000011</v>
      </c>
      <c r="G32" s="108">
        <f t="shared" si="13"/>
        <v>0.55225000000000002</v>
      </c>
      <c r="H32" s="294">
        <v>-8.24</v>
      </c>
      <c r="I32" s="99">
        <v>7.88</v>
      </c>
      <c r="J32" s="253">
        <f t="shared" si="14"/>
        <v>-10.526660156250001</v>
      </c>
      <c r="K32" s="99">
        <f t="shared" si="14"/>
        <v>9.7093281250000008</v>
      </c>
      <c r="L32" s="238">
        <v>5</v>
      </c>
      <c r="M32" s="238">
        <v>5.5</v>
      </c>
      <c r="N32" s="298">
        <v>0.31</v>
      </c>
      <c r="O32" s="238">
        <v>0.625</v>
      </c>
      <c r="P32" s="44">
        <f t="shared" si="15"/>
        <v>0.67636363636363628</v>
      </c>
      <c r="Q32" s="257">
        <f t="shared" si="16"/>
        <v>6.4375</v>
      </c>
      <c r="R32" s="254">
        <f t="shared" si="57"/>
        <v>6.9375</v>
      </c>
      <c r="S32" s="61">
        <f t="shared" si="18"/>
        <v>-32.065650137224523</v>
      </c>
      <c r="T32" s="110">
        <f t="shared" si="19"/>
        <v>27.444345087872257</v>
      </c>
      <c r="U32" s="131">
        <v>2</v>
      </c>
      <c r="V32" s="69">
        <v>1.5</v>
      </c>
      <c r="W32" s="132">
        <f t="shared" si="20"/>
        <v>2.1818181818181817</v>
      </c>
      <c r="X32" s="201">
        <f t="shared" si="21"/>
        <v>22</v>
      </c>
      <c r="Y32" s="24">
        <f t="shared" si="22"/>
        <v>16.5</v>
      </c>
      <c r="Z32" s="3">
        <v>130</v>
      </c>
      <c r="AA32" s="87">
        <f t="shared" si="23"/>
        <v>36.870040192552679</v>
      </c>
      <c r="AB32" s="63">
        <f t="shared" si="24"/>
        <v>44.656307494224144</v>
      </c>
      <c r="AC32" s="245">
        <f t="shared" si="25"/>
        <v>36</v>
      </c>
      <c r="AE32" s="57">
        <f t="shared" si="26"/>
        <v>11.75</v>
      </c>
      <c r="AF32" s="246">
        <f t="shared" si="0"/>
        <v>9.25</v>
      </c>
      <c r="AG32" s="175" t="str">
        <f t="shared" si="27"/>
        <v>#5 @ 5.5</v>
      </c>
      <c r="AH32" s="55">
        <v>8</v>
      </c>
      <c r="AI32" s="57">
        <f t="shared" si="28"/>
        <v>1800</v>
      </c>
      <c r="AJ32" s="47">
        <v>36000</v>
      </c>
      <c r="AK32" s="43">
        <f t="shared" si="29"/>
        <v>0.2857142857142857</v>
      </c>
      <c r="AL32" s="155">
        <f t="shared" si="30"/>
        <v>0.90476190476190477</v>
      </c>
      <c r="AM32" s="253">
        <f t="shared" si="1"/>
        <v>-10.526660156250001</v>
      </c>
      <c r="AN32" s="108">
        <f t="shared" si="1"/>
        <v>9.7093281250000008</v>
      </c>
      <c r="AO32" s="195">
        <f t="shared" si="31"/>
        <v>2.0003708918180982</v>
      </c>
      <c r="AP32" s="253">
        <f t="shared" si="32"/>
        <v>0.90181818181818174</v>
      </c>
      <c r="AQ32" s="157">
        <f t="shared" si="33"/>
        <v>-5.8054545454545448</v>
      </c>
      <c r="AR32" s="111">
        <f t="shared" si="34"/>
        <v>0.90181818181818174</v>
      </c>
      <c r="AS32" s="111">
        <f t="shared" si="35"/>
        <v>-6.256363636363635</v>
      </c>
      <c r="AT32" s="102">
        <f t="shared" si="36"/>
        <v>2.0906814828513838</v>
      </c>
      <c r="AU32" s="253">
        <f t="shared" si="37"/>
        <v>-21.889841697512498</v>
      </c>
      <c r="AV32" s="108">
        <f t="shared" si="38"/>
        <v>18.66997119856898</v>
      </c>
      <c r="AW32" s="308">
        <f t="shared" si="39"/>
        <v>-1.8238152557146747</v>
      </c>
      <c r="AX32" s="118">
        <f t="shared" si="40"/>
        <v>1.4883481256955085</v>
      </c>
      <c r="AY32" s="253">
        <f t="shared" si="41"/>
        <v>-32.364013262451266</v>
      </c>
      <c r="AZ32" s="108">
        <f t="shared" si="42"/>
        <v>27.603452040894997</v>
      </c>
      <c r="BA32" s="155"/>
      <c r="BB32" s="2">
        <f t="shared" si="2"/>
        <v>11.75</v>
      </c>
      <c r="BC32" s="149">
        <f t="shared" si="2"/>
        <v>9.25</v>
      </c>
      <c r="BD32" s="175" t="str">
        <f t="shared" si="43"/>
        <v>#5 @ 5.5</v>
      </c>
      <c r="BE32" s="87">
        <f t="shared" si="44"/>
        <v>0.77835015723509826</v>
      </c>
      <c r="BF32" s="235">
        <f t="shared" si="45"/>
        <v>1.7642603563995562E-2</v>
      </c>
      <c r="BG32" s="234">
        <f t="shared" si="46"/>
        <v>2.625</v>
      </c>
      <c r="BH32" s="22">
        <f t="shared" si="47"/>
        <v>32.364013262451266</v>
      </c>
      <c r="BI32" s="55">
        <f t="shared" si="3"/>
        <v>9.25</v>
      </c>
      <c r="BJ32" s="87">
        <f t="shared" si="48"/>
        <v>1.5660377358490567</v>
      </c>
      <c r="BK32" s="132">
        <f t="shared" si="49"/>
        <v>5.5</v>
      </c>
      <c r="BM32" s="87">
        <f t="shared" si="50"/>
        <v>0.48510191109169326</v>
      </c>
      <c r="BN32" s="235">
        <f t="shared" si="51"/>
        <v>1.0995643318078382E-2</v>
      </c>
      <c r="BO32" s="44">
        <f t="shared" si="52"/>
        <v>1.8125</v>
      </c>
      <c r="BP32" s="22">
        <f t="shared" si="53"/>
        <v>27.603452040894997</v>
      </c>
      <c r="BQ32" s="87">
        <f t="shared" si="54"/>
        <v>1.3481392557022809</v>
      </c>
      <c r="BR32" s="131">
        <f t="shared" si="55"/>
        <v>5.5</v>
      </c>
      <c r="BT32" s="1"/>
      <c r="BU32" s="1"/>
      <c r="BV32" s="156"/>
      <c r="BW32" s="156"/>
      <c r="BX32" s="156"/>
      <c r="BY32" s="156"/>
      <c r="BZ32" s="156"/>
    </row>
    <row r="33" spans="1:78" x14ac:dyDescent="0.2">
      <c r="A33" s="17">
        <v>12</v>
      </c>
      <c r="B33" s="221">
        <v>9.5</v>
      </c>
      <c r="C33" s="43">
        <f t="shared" si="9"/>
        <v>0.11874999999999999</v>
      </c>
      <c r="D33" s="160">
        <f t="shared" si="10"/>
        <v>-1.71</v>
      </c>
      <c r="E33" s="100">
        <f t="shared" si="11"/>
        <v>1.3679999999999999</v>
      </c>
      <c r="F33" s="255">
        <f t="shared" si="12"/>
        <v>-0.7200000000000002</v>
      </c>
      <c r="G33" s="109">
        <f t="shared" si="13"/>
        <v>0.57600000000000007</v>
      </c>
      <c r="H33" s="295">
        <v>-8.51</v>
      </c>
      <c r="I33" s="100">
        <v>8.01</v>
      </c>
      <c r="J33" s="255">
        <f t="shared" si="14"/>
        <v>-10.94</v>
      </c>
      <c r="K33" s="100">
        <f t="shared" si="14"/>
        <v>9.9540000000000006</v>
      </c>
      <c r="L33" s="236">
        <v>5</v>
      </c>
      <c r="M33" s="236">
        <v>5.5</v>
      </c>
      <c r="N33" s="297">
        <v>0.31</v>
      </c>
      <c r="O33" s="236">
        <v>0.625</v>
      </c>
      <c r="P33" s="43">
        <f t="shared" si="15"/>
        <v>0.67636363636363628</v>
      </c>
      <c r="Q33" s="195">
        <f t="shared" si="16"/>
        <v>6.6875</v>
      </c>
      <c r="R33" s="197">
        <f t="shared" si="57"/>
        <v>7.1875</v>
      </c>
      <c r="S33" s="253">
        <f t="shared" si="18"/>
        <v>-32.07895530203259</v>
      </c>
      <c r="T33" s="99">
        <f t="shared" si="19"/>
        <v>27.157292389458924</v>
      </c>
      <c r="U33" s="130">
        <v>2</v>
      </c>
      <c r="V33" s="71">
        <v>1.5</v>
      </c>
      <c r="W33" s="23">
        <f t="shared" si="20"/>
        <v>2.1818181818181817</v>
      </c>
      <c r="X33" s="244">
        <f t="shared" si="21"/>
        <v>22</v>
      </c>
      <c r="Y33" s="28">
        <f t="shared" si="22"/>
        <v>16.5</v>
      </c>
      <c r="Z33" s="18">
        <v>130</v>
      </c>
      <c r="AA33" s="88">
        <f t="shared" si="23"/>
        <v>36.870040192552679</v>
      </c>
      <c r="AB33" s="65">
        <f t="shared" si="24"/>
        <v>44.656307494224144</v>
      </c>
      <c r="AC33" s="24">
        <f t="shared" si="25"/>
        <v>36</v>
      </c>
      <c r="AE33" s="2">
        <f t="shared" si="26"/>
        <v>12</v>
      </c>
      <c r="AF33" s="56">
        <f t="shared" si="0"/>
        <v>9.5</v>
      </c>
      <c r="AG33" s="169" t="str">
        <f t="shared" si="27"/>
        <v>#5 @ 5.5</v>
      </c>
      <c r="AH33" s="56">
        <v>8</v>
      </c>
      <c r="AI33" s="55">
        <f t="shared" si="28"/>
        <v>1800</v>
      </c>
      <c r="AJ33" s="48">
        <v>36000</v>
      </c>
      <c r="AK33" s="42">
        <f t="shared" si="29"/>
        <v>0.2857142857142857</v>
      </c>
      <c r="AL33" s="19">
        <f t="shared" si="30"/>
        <v>0.90476190476190477</v>
      </c>
      <c r="AM33" s="255">
        <f t="shared" si="1"/>
        <v>-10.94</v>
      </c>
      <c r="AN33" s="109">
        <f t="shared" si="1"/>
        <v>9.9540000000000006</v>
      </c>
      <c r="AO33" s="256">
        <f t="shared" si="31"/>
        <v>2.0459345363878918</v>
      </c>
      <c r="AP33" s="255">
        <f t="shared" si="32"/>
        <v>0.90181818181818174</v>
      </c>
      <c r="AQ33" s="160">
        <f t="shared" si="33"/>
        <v>-6.0309090909090903</v>
      </c>
      <c r="AR33" s="112">
        <f t="shared" si="34"/>
        <v>0.90181818181818174</v>
      </c>
      <c r="AS33" s="112">
        <f t="shared" si="35"/>
        <v>-6.4818181818181806</v>
      </c>
      <c r="AT33" s="103">
        <f t="shared" si="36"/>
        <v>2.1346541340155376</v>
      </c>
      <c r="AU33" s="255">
        <f t="shared" si="37"/>
        <v>-21.85988227309112</v>
      </c>
      <c r="AV33" s="109">
        <f t="shared" si="38"/>
        <v>18.444865296538719</v>
      </c>
      <c r="AW33" s="310">
        <f t="shared" si="39"/>
        <v>-1.7807577160382377</v>
      </c>
      <c r="AX33" s="106">
        <f t="shared" si="40"/>
        <v>1.4401134905667161</v>
      </c>
      <c r="AY33" s="255">
        <f t="shared" si="41"/>
        <v>-32.319718414516437</v>
      </c>
      <c r="AZ33" s="109">
        <f t="shared" si="42"/>
        <v>27.270634174990036</v>
      </c>
      <c r="BA33" s="155"/>
      <c r="BB33" s="56">
        <f t="shared" si="2"/>
        <v>12</v>
      </c>
      <c r="BC33" s="119">
        <f t="shared" si="2"/>
        <v>9.5</v>
      </c>
      <c r="BD33" s="169" t="str">
        <f t="shared" si="43"/>
        <v>#5 @ 5.5</v>
      </c>
      <c r="BE33" s="88">
        <f t="shared" si="44"/>
        <v>0.76706864159128296</v>
      </c>
      <c r="BF33" s="129">
        <f t="shared" si="45"/>
        <v>1.7386889209402415E-2</v>
      </c>
      <c r="BG33" s="191">
        <f t="shared" si="46"/>
        <v>2.625</v>
      </c>
      <c r="BH33" s="27">
        <f t="shared" si="47"/>
        <v>32.319718414516437</v>
      </c>
      <c r="BI33" s="56">
        <f t="shared" si="3"/>
        <v>9.5</v>
      </c>
      <c r="BJ33" s="88">
        <f t="shared" si="48"/>
        <v>1.5454545454545454</v>
      </c>
      <c r="BK33" s="69">
        <f t="shared" si="49"/>
        <v>5.5</v>
      </c>
      <c r="BM33" s="88">
        <f t="shared" si="50"/>
        <v>0.47522824275866671</v>
      </c>
      <c r="BN33" s="129">
        <f t="shared" si="51"/>
        <v>1.0771840169196446E-2</v>
      </c>
      <c r="BO33" s="43">
        <f t="shared" si="52"/>
        <v>1.8125</v>
      </c>
      <c r="BP33" s="27">
        <f t="shared" si="53"/>
        <v>27.270634174990036</v>
      </c>
      <c r="BQ33" s="88">
        <f t="shared" si="54"/>
        <v>1.3368176538908245</v>
      </c>
      <c r="BR33" s="130">
        <f t="shared" si="55"/>
        <v>5.5</v>
      </c>
      <c r="BT33" s="1"/>
      <c r="BU33" s="1"/>
      <c r="BV33" s="156"/>
      <c r="BW33" s="156"/>
      <c r="BX33" s="156"/>
      <c r="BY33" s="156"/>
      <c r="BZ33" s="156"/>
    </row>
    <row r="34" spans="1:78" x14ac:dyDescent="0.2">
      <c r="A34" s="2">
        <v>12.25</v>
      </c>
      <c r="B34" s="221">
        <v>9.5</v>
      </c>
      <c r="C34" s="43">
        <f t="shared" si="9"/>
        <v>0.11874999999999999</v>
      </c>
      <c r="D34" s="157">
        <f t="shared" si="10"/>
        <v>-1.7819921875</v>
      </c>
      <c r="E34" s="99">
        <f t="shared" si="11"/>
        <v>1.42559375</v>
      </c>
      <c r="F34" s="253">
        <f t="shared" si="12"/>
        <v>-0.75031250000000016</v>
      </c>
      <c r="G34" s="108">
        <f t="shared" si="13"/>
        <v>0.60025000000000006</v>
      </c>
      <c r="H34" s="294">
        <v>-8.7799999999999994</v>
      </c>
      <c r="I34" s="99">
        <v>8.15</v>
      </c>
      <c r="J34" s="253">
        <f t="shared" si="14"/>
        <v>-11.312304687499999</v>
      </c>
      <c r="K34" s="99">
        <f t="shared" si="14"/>
        <v>10.17584375</v>
      </c>
      <c r="L34" s="236">
        <v>5</v>
      </c>
      <c r="M34" s="236">
        <v>5.5</v>
      </c>
      <c r="N34" s="297">
        <v>0.31</v>
      </c>
      <c r="O34" s="236">
        <v>0.625</v>
      </c>
      <c r="P34" s="43">
        <f t="shared" si="15"/>
        <v>0.67636363636363628</v>
      </c>
      <c r="Q34" s="260">
        <f t="shared" si="16"/>
        <v>6.6875</v>
      </c>
      <c r="R34" s="306">
        <f t="shared" si="57"/>
        <v>7.1875</v>
      </c>
      <c r="S34" s="253">
        <f t="shared" si="18"/>
        <v>-33.170650496644079</v>
      </c>
      <c r="T34" s="99">
        <f t="shared" si="19"/>
        <v>27.762544105706066</v>
      </c>
      <c r="U34" s="131">
        <v>2</v>
      </c>
      <c r="V34" s="69">
        <v>1.5</v>
      </c>
      <c r="W34" s="23">
        <f t="shared" si="20"/>
        <v>2.1818181818181817</v>
      </c>
      <c r="X34" s="201">
        <f t="shared" si="21"/>
        <v>22</v>
      </c>
      <c r="Y34" s="24">
        <f t="shared" si="22"/>
        <v>16.5</v>
      </c>
      <c r="Z34" s="3">
        <v>130</v>
      </c>
      <c r="AA34" s="87">
        <f t="shared" si="23"/>
        <v>36.870040192552679</v>
      </c>
      <c r="AB34" s="63">
        <f t="shared" si="24"/>
        <v>44.656307494224144</v>
      </c>
      <c r="AC34" s="24">
        <f t="shared" si="25"/>
        <v>36</v>
      </c>
      <c r="AE34" s="2">
        <f t="shared" si="26"/>
        <v>12.25</v>
      </c>
      <c r="AF34" s="55">
        <f t="shared" si="0"/>
        <v>9.5</v>
      </c>
      <c r="AG34" s="169" t="str">
        <f t="shared" si="27"/>
        <v>#5 @ 5.5</v>
      </c>
      <c r="AH34" s="55">
        <v>8</v>
      </c>
      <c r="AI34" s="55">
        <f t="shared" si="28"/>
        <v>1800</v>
      </c>
      <c r="AJ34" s="47">
        <v>36000</v>
      </c>
      <c r="AK34" s="43">
        <f t="shared" si="29"/>
        <v>0.2857142857142857</v>
      </c>
      <c r="AL34" s="4">
        <f t="shared" si="30"/>
        <v>0.90476190476190477</v>
      </c>
      <c r="AM34" s="253">
        <f t="shared" si="1"/>
        <v>-11.312304687499999</v>
      </c>
      <c r="AN34" s="108">
        <f t="shared" si="1"/>
        <v>10.17584375</v>
      </c>
      <c r="AO34" s="195">
        <f t="shared" si="31"/>
        <v>2.0459345363878918</v>
      </c>
      <c r="AP34" s="253">
        <f t="shared" si="32"/>
        <v>0.90181818181818174</v>
      </c>
      <c r="AQ34" s="157">
        <f t="shared" si="33"/>
        <v>-6.0309090909090903</v>
      </c>
      <c r="AR34" s="111">
        <f t="shared" si="34"/>
        <v>0.90181818181818174</v>
      </c>
      <c r="AS34" s="111">
        <f t="shared" si="35"/>
        <v>-6.4818181818181806</v>
      </c>
      <c r="AT34" s="102">
        <f t="shared" si="36"/>
        <v>2.1346541340155376</v>
      </c>
      <c r="AU34" s="253">
        <f t="shared" si="37"/>
        <v>-22.603807011525298</v>
      </c>
      <c r="AV34" s="108">
        <f t="shared" si="38"/>
        <v>18.855944067447801</v>
      </c>
      <c r="AW34" s="308">
        <f t="shared" si="39"/>
        <v>-1.8413595848666495</v>
      </c>
      <c r="AX34" s="105">
        <f t="shared" si="40"/>
        <v>1.4722091483096245</v>
      </c>
      <c r="AY34" s="253">
        <f t="shared" si="41"/>
        <v>-33.419607140696002</v>
      </c>
      <c r="AZ34" s="108">
        <f t="shared" si="42"/>
        <v>27.878411927678201</v>
      </c>
      <c r="BA34" s="155"/>
      <c r="BB34" s="55">
        <f t="shared" si="2"/>
        <v>12.25</v>
      </c>
      <c r="BC34" s="162">
        <f t="shared" si="2"/>
        <v>9.5</v>
      </c>
      <c r="BD34" s="169" t="str">
        <f t="shared" si="43"/>
        <v>#5 @ 5.5</v>
      </c>
      <c r="BE34" s="87">
        <f t="shared" si="44"/>
        <v>0.79317314350158363</v>
      </c>
      <c r="BF34" s="129">
        <f t="shared" si="45"/>
        <v>1.7978591252702566E-2</v>
      </c>
      <c r="BG34" s="191">
        <f t="shared" si="46"/>
        <v>2.625</v>
      </c>
      <c r="BH34" s="22">
        <f t="shared" si="47"/>
        <v>33.419607140696002</v>
      </c>
      <c r="BI34" s="55">
        <f t="shared" si="3"/>
        <v>9.5</v>
      </c>
      <c r="BJ34" s="87">
        <f t="shared" si="48"/>
        <v>1.5454545454545454</v>
      </c>
      <c r="BK34" s="69">
        <f t="shared" si="49"/>
        <v>5.5</v>
      </c>
      <c r="BM34" s="87">
        <f t="shared" si="50"/>
        <v>0.48581960457095258</v>
      </c>
      <c r="BN34" s="129">
        <f t="shared" si="51"/>
        <v>1.1011911036941593E-2</v>
      </c>
      <c r="BO34" s="43">
        <f t="shared" si="52"/>
        <v>1.8125</v>
      </c>
      <c r="BP34" s="22">
        <f t="shared" si="53"/>
        <v>27.878411927678201</v>
      </c>
      <c r="BQ34" s="87">
        <f t="shared" si="54"/>
        <v>1.3368176538908245</v>
      </c>
      <c r="BR34" s="131">
        <f t="shared" si="55"/>
        <v>5.5</v>
      </c>
      <c r="BT34" s="1"/>
      <c r="BU34" s="1"/>
      <c r="BV34" s="156"/>
      <c r="BW34" s="156"/>
      <c r="BX34" s="156"/>
      <c r="BY34" s="156"/>
      <c r="BZ34" s="156"/>
    </row>
    <row r="35" spans="1:78" x14ac:dyDescent="0.2">
      <c r="A35" s="2">
        <v>12.5</v>
      </c>
      <c r="B35" s="221">
        <v>9.75</v>
      </c>
      <c r="C35" s="43">
        <f t="shared" si="9"/>
        <v>0.121875</v>
      </c>
      <c r="D35" s="157">
        <f t="shared" si="10"/>
        <v>-1.904296875</v>
      </c>
      <c r="E35" s="99">
        <f t="shared" si="11"/>
        <v>1.5234375</v>
      </c>
      <c r="F35" s="253">
        <f t="shared" si="12"/>
        <v>-0.78125000000000011</v>
      </c>
      <c r="G35" s="108">
        <f t="shared" si="13"/>
        <v>0.625</v>
      </c>
      <c r="H35" s="294">
        <v>-9.0399999999999991</v>
      </c>
      <c r="I35" s="99">
        <v>8.2799999999999994</v>
      </c>
      <c r="J35" s="253">
        <f t="shared" si="14"/>
        <v>-11.725546874999999</v>
      </c>
      <c r="K35" s="99">
        <f t="shared" si="14"/>
        <v>10.428437499999999</v>
      </c>
      <c r="L35" s="236">
        <v>5</v>
      </c>
      <c r="M35" s="236">
        <v>5.5</v>
      </c>
      <c r="N35" s="297">
        <v>0.31</v>
      </c>
      <c r="O35" s="236">
        <v>0.625</v>
      </c>
      <c r="P35" s="43">
        <f t="shared" si="15"/>
        <v>0.67636363636363628</v>
      </c>
      <c r="Q35" s="260">
        <f t="shared" si="16"/>
        <v>6.9375</v>
      </c>
      <c r="R35" s="306">
        <f t="shared" si="57"/>
        <v>7.4375</v>
      </c>
      <c r="S35" s="253">
        <f t="shared" si="18"/>
        <v>-33.143380328545859</v>
      </c>
      <c r="T35" s="99">
        <f t="shared" si="19"/>
        <v>27.495331069609506</v>
      </c>
      <c r="U35" s="131">
        <v>2</v>
      </c>
      <c r="V35" s="69">
        <v>1.5</v>
      </c>
      <c r="W35" s="23">
        <f t="shared" si="20"/>
        <v>2.1818181818181817</v>
      </c>
      <c r="X35" s="201">
        <f t="shared" si="21"/>
        <v>22</v>
      </c>
      <c r="Y35" s="24">
        <f t="shared" si="22"/>
        <v>16.5</v>
      </c>
      <c r="Z35" s="3">
        <v>130</v>
      </c>
      <c r="AA35" s="87">
        <f t="shared" si="23"/>
        <v>36.870040192552679</v>
      </c>
      <c r="AB35" s="63">
        <f t="shared" si="24"/>
        <v>44.656307494224144</v>
      </c>
      <c r="AC35" s="24">
        <f t="shared" si="25"/>
        <v>36</v>
      </c>
      <c r="AE35" s="2">
        <f t="shared" si="26"/>
        <v>12.5</v>
      </c>
      <c r="AF35" s="55">
        <f t="shared" si="0"/>
        <v>9.75</v>
      </c>
      <c r="AG35" s="169" t="str">
        <f t="shared" si="27"/>
        <v>#5 @ 5.5</v>
      </c>
      <c r="AH35" s="55">
        <v>8</v>
      </c>
      <c r="AI35" s="55">
        <f t="shared" si="28"/>
        <v>1800</v>
      </c>
      <c r="AJ35" s="47">
        <v>36000</v>
      </c>
      <c r="AK35" s="43">
        <f t="shared" si="29"/>
        <v>0.2857142857142857</v>
      </c>
      <c r="AL35" s="4">
        <f t="shared" si="30"/>
        <v>0.90476190476190477</v>
      </c>
      <c r="AM35" s="253">
        <f t="shared" si="1"/>
        <v>-11.725546874999999</v>
      </c>
      <c r="AN35" s="108">
        <f t="shared" si="1"/>
        <v>10.428437499999999</v>
      </c>
      <c r="AO35" s="195">
        <f t="shared" si="31"/>
        <v>2.0906814828513838</v>
      </c>
      <c r="AP35" s="253">
        <f t="shared" si="32"/>
        <v>0.90181818181818174</v>
      </c>
      <c r="AQ35" s="157">
        <f t="shared" si="33"/>
        <v>-6.256363636363635</v>
      </c>
      <c r="AR35" s="111">
        <f t="shared" si="34"/>
        <v>0.90181818181818174</v>
      </c>
      <c r="AS35" s="111">
        <f t="shared" si="35"/>
        <v>-6.7072727272727262</v>
      </c>
      <c r="AT35" s="102">
        <f t="shared" si="36"/>
        <v>2.1778913457040026</v>
      </c>
      <c r="AU35" s="253">
        <f t="shared" si="37"/>
        <v>-22.546938328312027</v>
      </c>
      <c r="AV35" s="108">
        <f t="shared" si="38"/>
        <v>18.645693911706502</v>
      </c>
      <c r="AW35" s="308">
        <f t="shared" si="39"/>
        <v>-1.7974153813203291</v>
      </c>
      <c r="AX35" s="105">
        <f t="shared" si="40"/>
        <v>1.4268919604648818</v>
      </c>
      <c r="AY35" s="253">
        <f t="shared" si="41"/>
        <v>-33.335527098310791</v>
      </c>
      <c r="AZ35" s="108">
        <f t="shared" si="42"/>
        <v>27.567558202791865</v>
      </c>
      <c r="BA35" s="155"/>
      <c r="BB35" s="55">
        <f t="shared" si="2"/>
        <v>12.5</v>
      </c>
      <c r="BC35" s="162">
        <f t="shared" si="2"/>
        <v>9.75</v>
      </c>
      <c r="BD35" s="169" t="str">
        <f t="shared" si="43"/>
        <v>#5 @ 5.5</v>
      </c>
      <c r="BE35" s="87">
        <f t="shared" si="44"/>
        <v>0.78137974232318719</v>
      </c>
      <c r="BF35" s="129">
        <f t="shared" si="45"/>
        <v>1.7711274159325576E-2</v>
      </c>
      <c r="BG35" s="191">
        <f t="shared" si="46"/>
        <v>2.625</v>
      </c>
      <c r="BH35" s="22">
        <f t="shared" si="47"/>
        <v>33.335527098310791</v>
      </c>
      <c r="BI35" s="55">
        <f t="shared" si="3"/>
        <v>9.75</v>
      </c>
      <c r="BJ35" s="87">
        <f t="shared" si="48"/>
        <v>1.5263157894736841</v>
      </c>
      <c r="BK35" s="69">
        <f t="shared" si="49"/>
        <v>5.5</v>
      </c>
      <c r="BM35" s="87">
        <f t="shared" si="50"/>
        <v>0.47659027636182055</v>
      </c>
      <c r="BN35" s="129">
        <f t="shared" si="51"/>
        <v>1.0802712930867932E-2</v>
      </c>
      <c r="BO35" s="43">
        <f t="shared" si="52"/>
        <v>1.8125</v>
      </c>
      <c r="BP35" s="22">
        <f t="shared" si="53"/>
        <v>27.567558202791865</v>
      </c>
      <c r="BQ35" s="87">
        <f t="shared" si="54"/>
        <v>1.3262092238470191</v>
      </c>
      <c r="BR35" s="131">
        <f t="shared" si="55"/>
        <v>5.5</v>
      </c>
      <c r="BT35" s="1"/>
      <c r="BU35" s="1"/>
      <c r="BV35" s="156"/>
      <c r="BW35" s="156"/>
      <c r="BX35" s="156"/>
      <c r="BY35" s="156"/>
      <c r="BZ35" s="156"/>
    </row>
    <row r="36" spans="1:78" x14ac:dyDescent="0.2">
      <c r="A36" s="8">
        <v>12.75</v>
      </c>
      <c r="B36" s="222">
        <v>9.75</v>
      </c>
      <c r="C36" s="43">
        <f t="shared" si="9"/>
        <v>0.121875</v>
      </c>
      <c r="D36" s="158">
        <f t="shared" si="10"/>
        <v>-1.98123046875</v>
      </c>
      <c r="E36" s="101">
        <f t="shared" si="11"/>
        <v>1.5849843749999999</v>
      </c>
      <c r="F36" s="61">
        <f t="shared" si="12"/>
        <v>-0.81281250000000016</v>
      </c>
      <c r="G36" s="110">
        <f t="shared" si="13"/>
        <v>0.65024999999999999</v>
      </c>
      <c r="H36" s="296">
        <v>-9.3000000000000007</v>
      </c>
      <c r="I36" s="101">
        <v>8.41</v>
      </c>
      <c r="J36" s="61">
        <f t="shared" si="14"/>
        <v>-12.094042968750001</v>
      </c>
      <c r="K36" s="101">
        <f t="shared" si="14"/>
        <v>10.645234375000001</v>
      </c>
      <c r="L36" s="238">
        <v>5</v>
      </c>
      <c r="M36" s="238">
        <v>5</v>
      </c>
      <c r="N36" s="298">
        <v>0.31</v>
      </c>
      <c r="O36" s="238">
        <v>0.625</v>
      </c>
      <c r="P36" s="44">
        <f t="shared" si="15"/>
        <v>0.74399999999999999</v>
      </c>
      <c r="Q36" s="262">
        <f t="shared" si="16"/>
        <v>6.9375</v>
      </c>
      <c r="R36" s="307">
        <f t="shared" si="57"/>
        <v>7.4375</v>
      </c>
      <c r="S36" s="61">
        <f t="shared" si="18"/>
        <v>-31.077245273711743</v>
      </c>
      <c r="T36" s="110">
        <f t="shared" si="19"/>
        <v>25.515392489763311</v>
      </c>
      <c r="U36" s="132">
        <v>2</v>
      </c>
      <c r="V36" s="73">
        <v>1.5</v>
      </c>
      <c r="W36" s="132">
        <f t="shared" si="20"/>
        <v>2.4</v>
      </c>
      <c r="X36" s="245">
        <f t="shared" si="21"/>
        <v>20</v>
      </c>
      <c r="Y36" s="26">
        <f t="shared" si="22"/>
        <v>15</v>
      </c>
      <c r="Z36" s="9">
        <v>130</v>
      </c>
      <c r="AA36" s="89">
        <f t="shared" si="23"/>
        <v>38.059000190924671</v>
      </c>
      <c r="AB36" s="64">
        <f t="shared" si="24"/>
        <v>46.096353748807744</v>
      </c>
      <c r="AC36" s="245">
        <f t="shared" si="25"/>
        <v>36</v>
      </c>
      <c r="AE36" s="57">
        <f t="shared" si="26"/>
        <v>12.75</v>
      </c>
      <c r="AF36" s="57">
        <f t="shared" si="0"/>
        <v>9.75</v>
      </c>
      <c r="AG36" s="175" t="str">
        <f t="shared" si="27"/>
        <v>#5 @ 5</v>
      </c>
      <c r="AH36" s="57">
        <v>8</v>
      </c>
      <c r="AI36" s="57">
        <f t="shared" si="28"/>
        <v>1800</v>
      </c>
      <c r="AJ36" s="49">
        <v>36000</v>
      </c>
      <c r="AK36" s="44">
        <f t="shared" si="29"/>
        <v>0.2857142857142857</v>
      </c>
      <c r="AL36" s="10">
        <f t="shared" si="30"/>
        <v>0.90476190476190477</v>
      </c>
      <c r="AM36" s="61">
        <f t="shared" si="1"/>
        <v>-12.094042968750001</v>
      </c>
      <c r="AN36" s="110">
        <f t="shared" si="1"/>
        <v>10.645234375000001</v>
      </c>
      <c r="AO36" s="257">
        <f t="shared" si="31"/>
        <v>2.1738344517965906</v>
      </c>
      <c r="AP36" s="61">
        <f t="shared" si="32"/>
        <v>0.99199999999999999</v>
      </c>
      <c r="AQ36" s="158">
        <f t="shared" si="33"/>
        <v>-6.8820000000000006</v>
      </c>
      <c r="AR36" s="113">
        <f t="shared" si="34"/>
        <v>0.99199999999999999</v>
      </c>
      <c r="AS36" s="113">
        <f t="shared" si="35"/>
        <v>-7.3780000000000001</v>
      </c>
      <c r="AT36" s="104">
        <f t="shared" si="36"/>
        <v>2.2651620741999192</v>
      </c>
      <c r="AU36" s="61">
        <f t="shared" si="37"/>
        <v>-23.359266024115502</v>
      </c>
      <c r="AV36" s="110">
        <f t="shared" si="38"/>
        <v>19.116175869255994</v>
      </c>
      <c r="AW36" s="309">
        <f t="shared" si="39"/>
        <v>-1.7909418082879591</v>
      </c>
      <c r="AX36" s="107">
        <f t="shared" si="40"/>
        <v>1.406534811716732</v>
      </c>
      <c r="AY36" s="61">
        <f t="shared" si="41"/>
        <v>-31.396862935639106</v>
      </c>
      <c r="AZ36" s="110">
        <f t="shared" si="42"/>
        <v>25.693784770505367</v>
      </c>
      <c r="BA36" s="155"/>
      <c r="BB36" s="57">
        <f t="shared" si="2"/>
        <v>12.75</v>
      </c>
      <c r="BC36" s="120">
        <f t="shared" si="2"/>
        <v>9.75</v>
      </c>
      <c r="BD36" s="175" t="str">
        <f t="shared" si="43"/>
        <v>#5 @ 5</v>
      </c>
      <c r="BE36" s="89">
        <f t="shared" si="44"/>
        <v>0.70170808327960332</v>
      </c>
      <c r="BF36" s="235">
        <f t="shared" si="45"/>
        <v>1.5905383221004345E-2</v>
      </c>
      <c r="BG36" s="234">
        <f t="shared" si="46"/>
        <v>2.625</v>
      </c>
      <c r="BH36" s="25">
        <f t="shared" si="47"/>
        <v>31.396862935639106</v>
      </c>
      <c r="BI36" s="57">
        <f t="shared" si="3"/>
        <v>9.75</v>
      </c>
      <c r="BJ36" s="89">
        <f t="shared" si="48"/>
        <v>1.5263157894736841</v>
      </c>
      <c r="BK36" s="132">
        <f t="shared" si="49"/>
        <v>5</v>
      </c>
      <c r="BM36" s="89">
        <f t="shared" si="50"/>
        <v>0.41985679834191353</v>
      </c>
      <c r="BN36" s="235">
        <f t="shared" si="51"/>
        <v>9.5167540957500404E-3</v>
      </c>
      <c r="BO36" s="44">
        <f t="shared" si="52"/>
        <v>1.8125</v>
      </c>
      <c r="BP36" s="25">
        <f t="shared" si="53"/>
        <v>25.693784770505367</v>
      </c>
      <c r="BQ36" s="89">
        <f t="shared" si="54"/>
        <v>1.3262092238470191</v>
      </c>
      <c r="BR36" s="132">
        <f t="shared" si="55"/>
        <v>5</v>
      </c>
      <c r="BT36" s="1"/>
      <c r="BU36" s="1"/>
      <c r="BV36" s="156"/>
      <c r="BW36" s="156"/>
      <c r="BX36" s="156"/>
      <c r="BY36" s="156"/>
      <c r="BZ36" s="156"/>
    </row>
    <row r="37" spans="1:78" x14ac:dyDescent="0.2">
      <c r="A37" s="2">
        <v>13</v>
      </c>
      <c r="B37" s="221">
        <v>10</v>
      </c>
      <c r="C37" s="42">
        <f t="shared" si="9"/>
        <v>0.125</v>
      </c>
      <c r="D37" s="157">
        <f t="shared" si="10"/>
        <v>-2.1125000000000003</v>
      </c>
      <c r="E37" s="99">
        <f t="shared" si="11"/>
        <v>1.69</v>
      </c>
      <c r="F37" s="253">
        <f t="shared" si="12"/>
        <v>-0.8450000000000002</v>
      </c>
      <c r="G37" s="108">
        <f t="shared" si="13"/>
        <v>0.67600000000000005</v>
      </c>
      <c r="H37" s="294">
        <v>-9.5500000000000007</v>
      </c>
      <c r="I37" s="99">
        <v>8.5399999999999991</v>
      </c>
      <c r="J37" s="253">
        <f t="shared" si="14"/>
        <v>-12.5075</v>
      </c>
      <c r="K37" s="99">
        <f t="shared" si="14"/>
        <v>10.905999999999999</v>
      </c>
      <c r="L37" s="236">
        <v>5</v>
      </c>
      <c r="M37" s="236">
        <v>5</v>
      </c>
      <c r="N37" s="297">
        <v>0.31</v>
      </c>
      <c r="O37" s="236">
        <v>0.625</v>
      </c>
      <c r="P37" s="43">
        <f t="shared" si="15"/>
        <v>0.74399999999999999</v>
      </c>
      <c r="Q37" s="260">
        <f t="shared" si="16"/>
        <v>7.1875</v>
      </c>
      <c r="R37" s="306">
        <f t="shared" si="57"/>
        <v>7.6875</v>
      </c>
      <c r="S37" s="253">
        <f t="shared" si="18"/>
        <v>-31.021776038975418</v>
      </c>
      <c r="T37" s="99">
        <f t="shared" si="19"/>
        <v>25.29032258064516</v>
      </c>
      <c r="U37" s="131">
        <v>2</v>
      </c>
      <c r="V37" s="69">
        <v>1.5</v>
      </c>
      <c r="W37" s="23">
        <f t="shared" si="20"/>
        <v>2.4</v>
      </c>
      <c r="X37" s="201">
        <f t="shared" si="21"/>
        <v>20</v>
      </c>
      <c r="Y37" s="24">
        <f t="shared" si="22"/>
        <v>15</v>
      </c>
      <c r="Z37" s="3">
        <v>130</v>
      </c>
      <c r="AA37" s="87">
        <f t="shared" si="23"/>
        <v>38.059000190924671</v>
      </c>
      <c r="AB37" s="63">
        <f t="shared" si="24"/>
        <v>46.096353748807744</v>
      </c>
      <c r="AC37" s="24">
        <f t="shared" si="25"/>
        <v>36</v>
      </c>
      <c r="AE37" s="2">
        <f t="shared" si="26"/>
        <v>13</v>
      </c>
      <c r="AF37" s="55">
        <f t="shared" si="0"/>
        <v>10</v>
      </c>
      <c r="AG37" s="169" t="str">
        <f t="shared" si="27"/>
        <v>#5 @ 5</v>
      </c>
      <c r="AH37" s="55">
        <v>8</v>
      </c>
      <c r="AI37" s="55">
        <f t="shared" si="28"/>
        <v>1800</v>
      </c>
      <c r="AJ37" s="47">
        <v>36000</v>
      </c>
      <c r="AK37" s="43">
        <f t="shared" si="29"/>
        <v>0.2857142857142857</v>
      </c>
      <c r="AL37" s="155">
        <f t="shared" si="30"/>
        <v>0.90476190476190477</v>
      </c>
      <c r="AM37" s="253">
        <f t="shared" si="1"/>
        <v>-12.5075</v>
      </c>
      <c r="AN37" s="108">
        <f t="shared" si="1"/>
        <v>10.905999999999999</v>
      </c>
      <c r="AO37" s="195">
        <f t="shared" si="31"/>
        <v>2.219882177120355</v>
      </c>
      <c r="AP37" s="253">
        <f t="shared" si="32"/>
        <v>0.99199999999999999</v>
      </c>
      <c r="AQ37" s="157">
        <f t="shared" si="33"/>
        <v>-7.13</v>
      </c>
      <c r="AR37" s="111">
        <f t="shared" si="34"/>
        <v>0.99199999999999999</v>
      </c>
      <c r="AS37" s="111">
        <f t="shared" si="35"/>
        <v>-7.6260000000000003</v>
      </c>
      <c r="AT37" s="102">
        <f t="shared" si="36"/>
        <v>2.3097113180083229</v>
      </c>
      <c r="AU37" s="253">
        <f t="shared" si="37"/>
        <v>-23.278648429241713</v>
      </c>
      <c r="AV37" s="108">
        <f t="shared" si="38"/>
        <v>18.918710444957895</v>
      </c>
      <c r="AW37" s="308">
        <f t="shared" si="39"/>
        <v>-1.7477390368707857</v>
      </c>
      <c r="AX37" s="118">
        <f t="shared" si="40"/>
        <v>1.3651569280146814</v>
      </c>
      <c r="AY37" s="253">
        <f t="shared" si="41"/>
        <v>-31.288505953281881</v>
      </c>
      <c r="AZ37" s="108">
        <f t="shared" si="42"/>
        <v>25.428374253975669</v>
      </c>
      <c r="BA37" s="155"/>
      <c r="BB37" s="2">
        <f t="shared" si="2"/>
        <v>13</v>
      </c>
      <c r="BC37" s="162">
        <f t="shared" si="2"/>
        <v>10</v>
      </c>
      <c r="BD37" s="169" t="str">
        <f t="shared" si="43"/>
        <v>#5 @ 5</v>
      </c>
      <c r="BE37" s="87">
        <f t="shared" si="44"/>
        <v>0.69111233791480375</v>
      </c>
      <c r="BF37" s="129">
        <f t="shared" si="45"/>
        <v>1.5665212992735555E-2</v>
      </c>
      <c r="BG37" s="191">
        <f t="shared" si="46"/>
        <v>2.625</v>
      </c>
      <c r="BH37" s="22">
        <f t="shared" si="47"/>
        <v>31.288505953281881</v>
      </c>
      <c r="BI37" s="55">
        <f t="shared" si="3"/>
        <v>10</v>
      </c>
      <c r="BJ37" s="87">
        <f t="shared" si="48"/>
        <v>1.5084745762711864</v>
      </c>
      <c r="BK37" s="69">
        <f t="shared" si="49"/>
        <v>5</v>
      </c>
      <c r="BM37" s="87">
        <f t="shared" si="50"/>
        <v>0.41239898991156237</v>
      </c>
      <c r="BN37" s="129">
        <f t="shared" si="51"/>
        <v>9.3477104379954146E-3</v>
      </c>
      <c r="BO37" s="43">
        <f t="shared" si="52"/>
        <v>1.8125</v>
      </c>
      <c r="BP37" s="22">
        <f t="shared" si="53"/>
        <v>25.428374253975669</v>
      </c>
      <c r="BQ37" s="87">
        <f t="shared" si="54"/>
        <v>1.3162486368593238</v>
      </c>
      <c r="BR37" s="131">
        <f t="shared" si="55"/>
        <v>5</v>
      </c>
      <c r="BT37" s="1"/>
      <c r="BU37" s="1"/>
      <c r="BV37" s="156"/>
      <c r="BW37" s="156"/>
      <c r="BX37" s="156"/>
      <c r="BY37" s="156"/>
      <c r="BZ37" s="156"/>
    </row>
    <row r="38" spans="1:78" x14ac:dyDescent="0.2">
      <c r="A38" s="2">
        <v>13.25</v>
      </c>
      <c r="B38" s="221">
        <v>10</v>
      </c>
      <c r="C38" s="43">
        <f t="shared" si="9"/>
        <v>0.125</v>
      </c>
      <c r="D38" s="157">
        <f t="shared" si="10"/>
        <v>-2.1945312500000003</v>
      </c>
      <c r="E38" s="99">
        <f t="shared" si="11"/>
        <v>1.755625</v>
      </c>
      <c r="F38" s="253">
        <f t="shared" si="12"/>
        <v>-0.87781250000000022</v>
      </c>
      <c r="G38" s="108">
        <f t="shared" si="13"/>
        <v>0.70225000000000004</v>
      </c>
      <c r="H38" s="294">
        <v>-9.8000000000000007</v>
      </c>
      <c r="I38" s="99">
        <v>8.66</v>
      </c>
      <c r="J38" s="253">
        <f t="shared" si="14"/>
        <v>-12.872343750000001</v>
      </c>
      <c r="K38" s="99">
        <f t="shared" si="14"/>
        <v>11.117875</v>
      </c>
      <c r="L38" s="236">
        <v>5</v>
      </c>
      <c r="M38" s="236">
        <v>5</v>
      </c>
      <c r="N38" s="297">
        <v>0.31</v>
      </c>
      <c r="O38" s="236">
        <v>0.625</v>
      </c>
      <c r="P38" s="43">
        <f t="shared" si="15"/>
        <v>0.74399999999999999</v>
      </c>
      <c r="Q38" s="260">
        <f t="shared" si="16"/>
        <v>7.1875</v>
      </c>
      <c r="R38" s="306">
        <f t="shared" si="57"/>
        <v>7.6875</v>
      </c>
      <c r="S38" s="253">
        <f t="shared" si="18"/>
        <v>-31.926681184025988</v>
      </c>
      <c r="T38" s="99">
        <f t="shared" si="19"/>
        <v>25.781647273179015</v>
      </c>
      <c r="U38" s="131">
        <v>2</v>
      </c>
      <c r="V38" s="69">
        <v>1.5</v>
      </c>
      <c r="W38" s="23">
        <f t="shared" si="20"/>
        <v>2.4</v>
      </c>
      <c r="X38" s="201">
        <f t="shared" si="21"/>
        <v>20</v>
      </c>
      <c r="Y38" s="24">
        <f t="shared" si="22"/>
        <v>15</v>
      </c>
      <c r="Z38" s="3">
        <v>130</v>
      </c>
      <c r="AA38" s="87">
        <f t="shared" si="23"/>
        <v>38.059000190924671</v>
      </c>
      <c r="AB38" s="63">
        <f t="shared" si="24"/>
        <v>46.096353748807744</v>
      </c>
      <c r="AC38" s="24">
        <f t="shared" si="25"/>
        <v>36</v>
      </c>
      <c r="AE38" s="2">
        <f t="shared" si="26"/>
        <v>13.25</v>
      </c>
      <c r="AF38" s="55">
        <f t="shared" si="0"/>
        <v>10</v>
      </c>
      <c r="AG38" s="169" t="str">
        <f t="shared" si="27"/>
        <v>#5 @ 5</v>
      </c>
      <c r="AH38" s="55">
        <v>8</v>
      </c>
      <c r="AI38" s="55">
        <f t="shared" si="28"/>
        <v>1800</v>
      </c>
      <c r="AJ38" s="47">
        <v>36000</v>
      </c>
      <c r="AK38" s="43">
        <f t="shared" si="29"/>
        <v>0.2857142857142857</v>
      </c>
      <c r="AL38" s="155">
        <f t="shared" si="30"/>
        <v>0.90476190476190477</v>
      </c>
      <c r="AM38" s="253">
        <f t="shared" si="1"/>
        <v>-12.872343750000001</v>
      </c>
      <c r="AN38" s="108">
        <f t="shared" si="1"/>
        <v>11.117875</v>
      </c>
      <c r="AO38" s="195">
        <f t="shared" si="31"/>
        <v>2.219882177120355</v>
      </c>
      <c r="AP38" s="253">
        <f t="shared" si="32"/>
        <v>0.99199999999999999</v>
      </c>
      <c r="AQ38" s="157">
        <f t="shared" si="33"/>
        <v>-7.13</v>
      </c>
      <c r="AR38" s="111">
        <f t="shared" si="34"/>
        <v>0.99199999999999999</v>
      </c>
      <c r="AS38" s="111">
        <f t="shared" si="35"/>
        <v>-7.6260000000000003</v>
      </c>
      <c r="AT38" s="102">
        <f t="shared" si="36"/>
        <v>2.3097113180083229</v>
      </c>
      <c r="AU38" s="253">
        <f t="shared" si="37"/>
        <v>-23.957686557393316</v>
      </c>
      <c r="AV38" s="108">
        <f t="shared" si="38"/>
        <v>19.286251410988108</v>
      </c>
      <c r="AW38" s="308">
        <f t="shared" si="39"/>
        <v>-1.7987205810829245</v>
      </c>
      <c r="AX38" s="118">
        <f t="shared" si="40"/>
        <v>1.3916783496287572</v>
      </c>
      <c r="AY38" s="253">
        <f t="shared" si="41"/>
        <v>-32.201191609399622</v>
      </c>
      <c r="AZ38" s="108">
        <f t="shared" si="42"/>
        <v>25.922380928747454</v>
      </c>
      <c r="BA38" s="155"/>
      <c r="BB38" s="2">
        <f t="shared" si="2"/>
        <v>13.25</v>
      </c>
      <c r="BC38" s="162">
        <f t="shared" si="2"/>
        <v>10</v>
      </c>
      <c r="BD38" s="169" t="str">
        <f t="shared" si="43"/>
        <v>#5 @ 5</v>
      </c>
      <c r="BE38" s="87">
        <f t="shared" si="44"/>
        <v>0.71127208343038273</v>
      </c>
      <c r="BF38" s="129">
        <f t="shared" si="45"/>
        <v>1.6122167224422012E-2</v>
      </c>
      <c r="BG38" s="191">
        <f t="shared" si="46"/>
        <v>2.625</v>
      </c>
      <c r="BH38" s="22">
        <f t="shared" si="47"/>
        <v>32.201191609399622</v>
      </c>
      <c r="BI38" s="55">
        <f t="shared" si="3"/>
        <v>10</v>
      </c>
      <c r="BJ38" s="87">
        <f t="shared" si="48"/>
        <v>1.5084745762711864</v>
      </c>
      <c r="BK38" s="69">
        <f t="shared" si="49"/>
        <v>5</v>
      </c>
      <c r="BM38" s="87">
        <f t="shared" si="50"/>
        <v>0.42041082156271892</v>
      </c>
      <c r="BN38" s="129">
        <f t="shared" si="51"/>
        <v>9.5293119554216293E-3</v>
      </c>
      <c r="BO38" s="43">
        <f t="shared" si="52"/>
        <v>1.8125</v>
      </c>
      <c r="BP38" s="22">
        <f t="shared" si="53"/>
        <v>25.922380928747454</v>
      </c>
      <c r="BQ38" s="87">
        <f t="shared" si="54"/>
        <v>1.3162486368593238</v>
      </c>
      <c r="BR38" s="131">
        <f t="shared" si="55"/>
        <v>5</v>
      </c>
      <c r="BT38" s="1"/>
      <c r="BU38" s="1"/>
      <c r="BV38" s="156"/>
      <c r="BW38" s="156"/>
      <c r="BX38" s="156"/>
      <c r="BY38" s="156"/>
      <c r="BZ38" s="156"/>
    </row>
    <row r="39" spans="1:78" x14ac:dyDescent="0.2">
      <c r="A39" s="2">
        <v>13.5</v>
      </c>
      <c r="B39" s="221">
        <v>10.25</v>
      </c>
      <c r="C39" s="43">
        <f t="shared" si="9"/>
        <v>0.12812499999999999</v>
      </c>
      <c r="D39" s="157">
        <f t="shared" si="10"/>
        <v>-2.3350781249999999</v>
      </c>
      <c r="E39" s="99">
        <f t="shared" si="11"/>
        <v>1.8680624999999997</v>
      </c>
      <c r="F39" s="253">
        <f t="shared" si="12"/>
        <v>-0.91125000000000023</v>
      </c>
      <c r="G39" s="108">
        <f t="shared" si="13"/>
        <v>0.72899999999999998</v>
      </c>
      <c r="H39" s="294">
        <v>-10.029999999999999</v>
      </c>
      <c r="I39" s="99">
        <v>8.7799999999999994</v>
      </c>
      <c r="J39" s="253">
        <f t="shared" si="14"/>
        <v>-13.276328124999999</v>
      </c>
      <c r="K39" s="99">
        <f t="shared" si="14"/>
        <v>11.377062499999999</v>
      </c>
      <c r="L39" s="236">
        <v>5</v>
      </c>
      <c r="M39" s="236">
        <v>5</v>
      </c>
      <c r="N39" s="297">
        <v>0.31</v>
      </c>
      <c r="O39" s="236">
        <v>0.625</v>
      </c>
      <c r="P39" s="43">
        <f t="shared" si="15"/>
        <v>0.74399999999999999</v>
      </c>
      <c r="Q39" s="260">
        <f t="shared" si="16"/>
        <v>7.4375</v>
      </c>
      <c r="R39" s="306">
        <f t="shared" si="57"/>
        <v>7.9375</v>
      </c>
      <c r="S39" s="253">
        <f t="shared" si="18"/>
        <v>-31.821819135124336</v>
      </c>
      <c r="T39" s="99">
        <f t="shared" si="19"/>
        <v>25.551735892945469</v>
      </c>
      <c r="U39" s="131">
        <v>2</v>
      </c>
      <c r="V39" s="69">
        <v>1.5</v>
      </c>
      <c r="W39" s="23">
        <f t="shared" si="20"/>
        <v>2.4</v>
      </c>
      <c r="X39" s="201">
        <f t="shared" si="21"/>
        <v>20</v>
      </c>
      <c r="Y39" s="24">
        <f t="shared" si="22"/>
        <v>15</v>
      </c>
      <c r="Z39" s="3">
        <v>130</v>
      </c>
      <c r="AA39" s="87">
        <f t="shared" si="23"/>
        <v>38.059000190924671</v>
      </c>
      <c r="AB39" s="63">
        <f t="shared" si="24"/>
        <v>46.096353748807744</v>
      </c>
      <c r="AC39" s="24">
        <f t="shared" si="25"/>
        <v>36</v>
      </c>
      <c r="AE39" s="2">
        <f t="shared" si="26"/>
        <v>13.5</v>
      </c>
      <c r="AF39" s="55">
        <f t="shared" si="0"/>
        <v>10.25</v>
      </c>
      <c r="AG39" s="169" t="str">
        <f t="shared" si="27"/>
        <v>#5 @ 5</v>
      </c>
      <c r="AH39" s="55">
        <v>8</v>
      </c>
      <c r="AI39" s="55">
        <f t="shared" si="28"/>
        <v>1800</v>
      </c>
      <c r="AJ39" s="47">
        <v>36000</v>
      </c>
      <c r="AK39" s="43">
        <f t="shared" si="29"/>
        <v>0.2857142857142857</v>
      </c>
      <c r="AL39" s="155">
        <f t="shared" si="30"/>
        <v>0.90476190476190477</v>
      </c>
      <c r="AM39" s="253">
        <f t="shared" si="1"/>
        <v>-13.276328124999999</v>
      </c>
      <c r="AN39" s="108">
        <f t="shared" si="1"/>
        <v>11.377062499999999</v>
      </c>
      <c r="AO39" s="195">
        <f t="shared" si="31"/>
        <v>2.2651620741999192</v>
      </c>
      <c r="AP39" s="253">
        <f t="shared" si="32"/>
        <v>0.99199999999999999</v>
      </c>
      <c r="AQ39" s="157">
        <f t="shared" si="33"/>
        <v>-7.3780000000000001</v>
      </c>
      <c r="AR39" s="111">
        <f t="shared" si="34"/>
        <v>0.99199999999999999</v>
      </c>
      <c r="AS39" s="111">
        <f t="shared" si="35"/>
        <v>-7.8739999999999997</v>
      </c>
      <c r="AT39" s="102">
        <f t="shared" si="36"/>
        <v>2.3535641772032436</v>
      </c>
      <c r="AU39" s="253">
        <f t="shared" si="37"/>
        <v>-23.840961541577112</v>
      </c>
      <c r="AV39" s="108">
        <f t="shared" si="38"/>
        <v>19.086419446992871</v>
      </c>
      <c r="AW39" s="308">
        <f t="shared" si="39"/>
        <v>-1.7541762841258655</v>
      </c>
      <c r="AX39" s="118">
        <f t="shared" si="40"/>
        <v>1.3515968413541339</v>
      </c>
      <c r="AY39" s="253">
        <f t="shared" si="41"/>
        <v>-32.044303147281063</v>
      </c>
      <c r="AZ39" s="108">
        <f t="shared" si="42"/>
        <v>25.653789579291498</v>
      </c>
      <c r="BA39" s="155"/>
      <c r="BB39" s="2">
        <f t="shared" si="2"/>
        <v>13.5</v>
      </c>
      <c r="BC39" s="162">
        <f t="shared" si="2"/>
        <v>10.25</v>
      </c>
      <c r="BD39" s="169" t="str">
        <f t="shared" si="43"/>
        <v>#5 @ 5</v>
      </c>
      <c r="BE39" s="87">
        <f t="shared" si="44"/>
        <v>0.69998416301232813</v>
      </c>
      <c r="BF39" s="129">
        <f t="shared" si="45"/>
        <v>1.5866307694946107E-2</v>
      </c>
      <c r="BG39" s="191">
        <f t="shared" si="46"/>
        <v>2.625</v>
      </c>
      <c r="BH39" s="22">
        <f t="shared" si="47"/>
        <v>32.044303147281063</v>
      </c>
      <c r="BI39" s="55">
        <f t="shared" si="3"/>
        <v>10.25</v>
      </c>
      <c r="BJ39" s="87">
        <f t="shared" si="48"/>
        <v>1.4918032786885247</v>
      </c>
      <c r="BK39" s="69">
        <f t="shared" si="49"/>
        <v>5</v>
      </c>
      <c r="BM39" s="87">
        <f t="shared" si="50"/>
        <v>0.41309290986381803</v>
      </c>
      <c r="BN39" s="129">
        <f t="shared" si="51"/>
        <v>9.3634392902465415E-3</v>
      </c>
      <c r="BO39" s="43">
        <f t="shared" si="52"/>
        <v>1.8125</v>
      </c>
      <c r="BP39" s="22">
        <f t="shared" si="53"/>
        <v>25.653789579291498</v>
      </c>
      <c r="BQ39" s="87">
        <f t="shared" si="54"/>
        <v>1.306878306878307</v>
      </c>
      <c r="BR39" s="131">
        <f t="shared" si="55"/>
        <v>5</v>
      </c>
      <c r="BT39" s="1"/>
      <c r="BU39" s="1"/>
      <c r="BV39" s="156"/>
      <c r="BW39" s="156"/>
      <c r="BX39" s="156"/>
      <c r="BY39" s="156"/>
      <c r="BZ39" s="156"/>
    </row>
    <row r="40" spans="1:78" x14ac:dyDescent="0.2">
      <c r="A40" s="8">
        <v>13.75</v>
      </c>
      <c r="B40" s="222">
        <v>10.25</v>
      </c>
      <c r="C40" s="44">
        <f t="shared" si="9"/>
        <v>0.12812499999999999</v>
      </c>
      <c r="D40" s="158">
        <f t="shared" si="10"/>
        <v>-2.42236328125</v>
      </c>
      <c r="E40" s="101">
        <f t="shared" si="11"/>
        <v>1.9378906249999996</v>
      </c>
      <c r="F40" s="61">
        <f t="shared" si="12"/>
        <v>-0.94531250000000022</v>
      </c>
      <c r="G40" s="110">
        <f t="shared" si="13"/>
        <v>0.75624999999999998</v>
      </c>
      <c r="H40" s="296">
        <v>-10.27</v>
      </c>
      <c r="I40" s="101">
        <v>8.9</v>
      </c>
      <c r="J40" s="61">
        <f t="shared" si="14"/>
        <v>-13.63767578125</v>
      </c>
      <c r="K40" s="101">
        <f t="shared" si="14"/>
        <v>11.594140625</v>
      </c>
      <c r="L40" s="238">
        <v>5</v>
      </c>
      <c r="M40" s="238">
        <v>5</v>
      </c>
      <c r="N40" s="298">
        <v>0.31</v>
      </c>
      <c r="O40" s="238">
        <v>0.625</v>
      </c>
      <c r="P40" s="44">
        <f t="shared" si="15"/>
        <v>0.74399999999999999</v>
      </c>
      <c r="Q40" s="262">
        <f t="shared" si="16"/>
        <v>7.4375</v>
      </c>
      <c r="R40" s="307">
        <f t="shared" si="57"/>
        <v>7.9375</v>
      </c>
      <c r="S40" s="61">
        <f t="shared" si="18"/>
        <v>-32.687927569160095</v>
      </c>
      <c r="T40" s="110">
        <f t="shared" si="19"/>
        <v>26.039271486437709</v>
      </c>
      <c r="U40" s="132">
        <v>2</v>
      </c>
      <c r="V40" s="73">
        <v>1.5</v>
      </c>
      <c r="W40" s="132">
        <f t="shared" si="20"/>
        <v>2.4</v>
      </c>
      <c r="X40" s="245">
        <f t="shared" si="21"/>
        <v>20</v>
      </c>
      <c r="Y40" s="26">
        <f t="shared" si="22"/>
        <v>15</v>
      </c>
      <c r="Z40" s="9">
        <v>130</v>
      </c>
      <c r="AA40" s="89">
        <f t="shared" si="23"/>
        <v>38.059000190924671</v>
      </c>
      <c r="AB40" s="64">
        <f t="shared" si="24"/>
        <v>46.096353748807744</v>
      </c>
      <c r="AC40" s="245">
        <f t="shared" si="25"/>
        <v>36</v>
      </c>
      <c r="AE40" s="57">
        <f t="shared" si="26"/>
        <v>13.75</v>
      </c>
      <c r="AF40" s="55">
        <f t="shared" si="0"/>
        <v>10.25</v>
      </c>
      <c r="AG40" s="175" t="str">
        <f t="shared" si="27"/>
        <v>#5 @ 5</v>
      </c>
      <c r="AH40" s="55">
        <v>8</v>
      </c>
      <c r="AI40" s="57">
        <f t="shared" si="28"/>
        <v>1800</v>
      </c>
      <c r="AJ40" s="47">
        <v>36000</v>
      </c>
      <c r="AK40" s="43">
        <f t="shared" si="29"/>
        <v>0.2857142857142857</v>
      </c>
      <c r="AL40" s="155">
        <f t="shared" si="30"/>
        <v>0.90476190476190477</v>
      </c>
      <c r="AM40" s="253">
        <f t="shared" si="1"/>
        <v>-13.63767578125</v>
      </c>
      <c r="AN40" s="108">
        <f t="shared" si="1"/>
        <v>11.594140625</v>
      </c>
      <c r="AO40" s="195">
        <f t="shared" si="31"/>
        <v>2.2651620741999192</v>
      </c>
      <c r="AP40" s="253">
        <f t="shared" si="32"/>
        <v>0.99199999999999999</v>
      </c>
      <c r="AQ40" s="157">
        <f t="shared" si="33"/>
        <v>-7.3780000000000001</v>
      </c>
      <c r="AR40" s="111">
        <f t="shared" si="34"/>
        <v>0.99199999999999999</v>
      </c>
      <c r="AS40" s="111">
        <f t="shared" si="35"/>
        <v>-7.8739999999999997</v>
      </c>
      <c r="AT40" s="102">
        <f t="shared" si="36"/>
        <v>2.3535641772032436</v>
      </c>
      <c r="AU40" s="253">
        <f t="shared" si="37"/>
        <v>-24.489851467668426</v>
      </c>
      <c r="AV40" s="108">
        <f t="shared" si="38"/>
        <v>19.450594658873509</v>
      </c>
      <c r="AW40" s="308">
        <f t="shared" si="39"/>
        <v>-1.8019204708430203</v>
      </c>
      <c r="AX40" s="118">
        <f t="shared" si="40"/>
        <v>1.3773857572607731</v>
      </c>
      <c r="AY40" s="253">
        <f t="shared" si="41"/>
        <v>-32.916467026436052</v>
      </c>
      <c r="AZ40" s="108">
        <f t="shared" si="42"/>
        <v>26.143272390959019</v>
      </c>
      <c r="BA40" s="155"/>
      <c r="BB40" s="2">
        <f t="shared" si="2"/>
        <v>13.75</v>
      </c>
      <c r="BC40" s="162">
        <f t="shared" si="2"/>
        <v>10.25</v>
      </c>
      <c r="BD40" s="175" t="str">
        <f t="shared" si="43"/>
        <v>#5 @ 5</v>
      </c>
      <c r="BE40" s="87">
        <f t="shared" si="44"/>
        <v>0.71903593955288592</v>
      </c>
      <c r="BF40" s="235">
        <f t="shared" si="45"/>
        <v>1.6298147963198749E-2</v>
      </c>
      <c r="BG40" s="234">
        <f t="shared" si="46"/>
        <v>2.625</v>
      </c>
      <c r="BH40" s="22">
        <f t="shared" si="47"/>
        <v>32.916467026436052</v>
      </c>
      <c r="BI40" s="55">
        <f t="shared" si="3"/>
        <v>10.25</v>
      </c>
      <c r="BJ40" s="87">
        <f t="shared" si="48"/>
        <v>1.4918032786885247</v>
      </c>
      <c r="BK40" s="132">
        <f t="shared" si="49"/>
        <v>5</v>
      </c>
      <c r="BM40" s="87">
        <f t="shared" si="50"/>
        <v>0.4209748595607658</v>
      </c>
      <c r="BN40" s="235">
        <f t="shared" si="51"/>
        <v>9.542096816710692E-3</v>
      </c>
      <c r="BO40" s="44">
        <f t="shared" si="52"/>
        <v>1.8125</v>
      </c>
      <c r="BP40" s="22">
        <f t="shared" si="53"/>
        <v>26.143272390959019</v>
      </c>
      <c r="BQ40" s="87">
        <f t="shared" si="54"/>
        <v>1.306878306878307</v>
      </c>
      <c r="BR40" s="131">
        <f t="shared" si="55"/>
        <v>5</v>
      </c>
      <c r="BT40" s="1"/>
      <c r="BU40" s="1"/>
      <c r="BV40" s="156"/>
      <c r="BW40" s="156"/>
      <c r="BX40" s="156"/>
      <c r="BY40" s="156"/>
      <c r="BZ40" s="156"/>
    </row>
    <row r="41" spans="1:78" x14ac:dyDescent="0.2">
      <c r="A41" s="2">
        <v>14</v>
      </c>
      <c r="B41" s="221">
        <v>10.5</v>
      </c>
      <c r="C41" s="43">
        <f t="shared" si="9"/>
        <v>0.13125000000000001</v>
      </c>
      <c r="D41" s="157">
        <f t="shared" si="10"/>
        <v>-2.5725000000000002</v>
      </c>
      <c r="E41" s="99">
        <f t="shared" si="11"/>
        <v>2.0580000000000003</v>
      </c>
      <c r="F41" s="253">
        <f t="shared" si="12"/>
        <v>-0.9800000000000002</v>
      </c>
      <c r="G41" s="108">
        <f t="shared" si="13"/>
        <v>0.78400000000000003</v>
      </c>
      <c r="H41" s="294">
        <v>-10.5</v>
      </c>
      <c r="I41" s="99">
        <v>9.02</v>
      </c>
      <c r="J41" s="253">
        <f t="shared" si="14"/>
        <v>-14.0525</v>
      </c>
      <c r="K41" s="99">
        <f t="shared" si="14"/>
        <v>11.862</v>
      </c>
      <c r="L41" s="236">
        <v>5</v>
      </c>
      <c r="M41" s="236">
        <v>5</v>
      </c>
      <c r="N41" s="297">
        <v>0.31</v>
      </c>
      <c r="O41" s="236">
        <v>0.625</v>
      </c>
      <c r="P41" s="43">
        <f t="shared" si="15"/>
        <v>0.74399999999999999</v>
      </c>
      <c r="Q41" s="260">
        <f t="shared" si="16"/>
        <v>7.6875</v>
      </c>
      <c r="R41" s="306">
        <f t="shared" si="57"/>
        <v>8.1875</v>
      </c>
      <c r="S41" s="253">
        <f t="shared" si="18"/>
        <v>-32.586856598616919</v>
      </c>
      <c r="T41" s="99">
        <f t="shared" si="19"/>
        <v>25.827395378374522</v>
      </c>
      <c r="U41" s="131">
        <v>2</v>
      </c>
      <c r="V41" s="69">
        <v>1.5</v>
      </c>
      <c r="W41" s="23">
        <f t="shared" si="20"/>
        <v>2.4</v>
      </c>
      <c r="X41" s="201">
        <f t="shared" si="21"/>
        <v>20</v>
      </c>
      <c r="Y41" s="24">
        <f t="shared" si="22"/>
        <v>15</v>
      </c>
      <c r="Z41" s="3">
        <v>130</v>
      </c>
      <c r="AA41" s="87">
        <f t="shared" si="23"/>
        <v>38.059000190924671</v>
      </c>
      <c r="AB41" s="63">
        <f t="shared" si="24"/>
        <v>46.096353748807744</v>
      </c>
      <c r="AC41" s="24">
        <f t="shared" si="25"/>
        <v>36</v>
      </c>
      <c r="AE41" s="2">
        <f t="shared" si="26"/>
        <v>14</v>
      </c>
      <c r="AF41" s="56">
        <f t="shared" si="0"/>
        <v>10.5</v>
      </c>
      <c r="AG41" s="169" t="str">
        <f t="shared" si="27"/>
        <v>#5 @ 5</v>
      </c>
      <c r="AH41" s="56">
        <v>8</v>
      </c>
      <c r="AI41" s="55">
        <f t="shared" si="28"/>
        <v>1800</v>
      </c>
      <c r="AJ41" s="48">
        <v>36000</v>
      </c>
      <c r="AK41" s="42">
        <f t="shared" si="29"/>
        <v>0.2857142857142857</v>
      </c>
      <c r="AL41" s="19">
        <f t="shared" si="30"/>
        <v>0.90476190476190477</v>
      </c>
      <c r="AM41" s="255">
        <f t="shared" si="1"/>
        <v>-14.0525</v>
      </c>
      <c r="AN41" s="109">
        <f t="shared" si="1"/>
        <v>11.862</v>
      </c>
      <c r="AO41" s="256">
        <f t="shared" si="31"/>
        <v>2.3097113180083229</v>
      </c>
      <c r="AP41" s="255">
        <f t="shared" si="32"/>
        <v>0.99199999999999999</v>
      </c>
      <c r="AQ41" s="160">
        <f t="shared" si="33"/>
        <v>-7.6260000000000003</v>
      </c>
      <c r="AR41" s="112">
        <f t="shared" si="34"/>
        <v>0.99199999999999999</v>
      </c>
      <c r="AS41" s="112">
        <f t="shared" si="35"/>
        <v>-8.1219999999999999</v>
      </c>
      <c r="AT41" s="103">
        <f t="shared" si="36"/>
        <v>2.3967523226159546</v>
      </c>
      <c r="AU41" s="255">
        <f t="shared" si="37"/>
        <v>-24.376964838416544</v>
      </c>
      <c r="AV41" s="109">
        <f t="shared" si="38"/>
        <v>19.265400211864062</v>
      </c>
      <c r="AW41" s="310">
        <f t="shared" si="39"/>
        <v>-1.7590195975542187</v>
      </c>
      <c r="AX41" s="106">
        <f t="shared" si="40"/>
        <v>1.339687878890262</v>
      </c>
      <c r="AY41" s="255">
        <f t="shared" si="41"/>
        <v>-32.764737686043738</v>
      </c>
      <c r="AZ41" s="109">
        <f t="shared" si="42"/>
        <v>25.894355123473204</v>
      </c>
      <c r="BA41" s="155"/>
      <c r="BB41" s="56">
        <f t="shared" si="2"/>
        <v>14</v>
      </c>
      <c r="BC41" s="119">
        <f t="shared" si="2"/>
        <v>10.5</v>
      </c>
      <c r="BD41" s="169" t="str">
        <f t="shared" si="43"/>
        <v>#5 @ 5</v>
      </c>
      <c r="BE41" s="88">
        <f t="shared" si="44"/>
        <v>0.70823097957417669</v>
      </c>
      <c r="BF41" s="129">
        <f t="shared" si="45"/>
        <v>1.6053235537014671E-2</v>
      </c>
      <c r="BG41" s="191">
        <f t="shared" si="46"/>
        <v>2.625</v>
      </c>
      <c r="BH41" s="27">
        <f t="shared" si="47"/>
        <v>32.764737686043738</v>
      </c>
      <c r="BI41" s="56">
        <f t="shared" si="3"/>
        <v>10.5</v>
      </c>
      <c r="BJ41" s="88">
        <f t="shared" si="48"/>
        <v>1.4761904761904763</v>
      </c>
      <c r="BK41" s="69">
        <f t="shared" si="49"/>
        <v>5</v>
      </c>
      <c r="BM41" s="88">
        <f t="shared" si="50"/>
        <v>0.41414905409362046</v>
      </c>
      <c r="BN41" s="129">
        <f t="shared" si="51"/>
        <v>9.3873785594553987E-3</v>
      </c>
      <c r="BO41" s="43">
        <f t="shared" si="52"/>
        <v>1.8125</v>
      </c>
      <c r="BP41" s="27">
        <f t="shared" si="53"/>
        <v>25.894355123473204</v>
      </c>
      <c r="BQ41" s="88">
        <f t="shared" si="54"/>
        <v>1.2980472764645428</v>
      </c>
      <c r="BR41" s="130">
        <f t="shared" si="55"/>
        <v>5</v>
      </c>
      <c r="BT41" s="1"/>
      <c r="BU41" s="1"/>
      <c r="BV41" s="156"/>
      <c r="BW41" s="156"/>
      <c r="BX41" s="156"/>
      <c r="BY41" s="156"/>
      <c r="BZ41" s="156"/>
    </row>
    <row r="42" spans="1:78" x14ac:dyDescent="0.2">
      <c r="A42" s="2">
        <v>14.25</v>
      </c>
      <c r="B42" s="221">
        <v>10.5</v>
      </c>
      <c r="C42" s="43">
        <f t="shared" si="9"/>
        <v>0.13125000000000001</v>
      </c>
      <c r="D42" s="157">
        <f t="shared" si="10"/>
        <v>-2.6651953125000003</v>
      </c>
      <c r="E42" s="99">
        <f t="shared" si="11"/>
        <v>2.13215625</v>
      </c>
      <c r="F42" s="253">
        <f t="shared" si="12"/>
        <v>-1.0153125000000003</v>
      </c>
      <c r="G42" s="108">
        <f t="shared" si="13"/>
        <v>0.81225000000000003</v>
      </c>
      <c r="H42" s="294">
        <v>-10.72</v>
      </c>
      <c r="I42" s="99">
        <v>9.14</v>
      </c>
      <c r="J42" s="253">
        <f t="shared" si="14"/>
        <v>-14.400507812500001</v>
      </c>
      <c r="K42" s="99">
        <f t="shared" si="14"/>
        <v>12.084406250000001</v>
      </c>
      <c r="L42" s="236">
        <v>5</v>
      </c>
      <c r="M42" s="236">
        <v>5</v>
      </c>
      <c r="N42" s="297">
        <v>0.31</v>
      </c>
      <c r="O42" s="236">
        <v>0.625</v>
      </c>
      <c r="P42" s="43">
        <f t="shared" si="15"/>
        <v>0.74399999999999999</v>
      </c>
      <c r="Q42" s="260">
        <f t="shared" si="16"/>
        <v>7.6875</v>
      </c>
      <c r="R42" s="306">
        <f t="shared" si="57"/>
        <v>8.1875</v>
      </c>
      <c r="S42" s="253">
        <f t="shared" si="18"/>
        <v>-33.393864652780657</v>
      </c>
      <c r="T42" s="99">
        <f t="shared" si="19"/>
        <v>26.311645433455592</v>
      </c>
      <c r="U42" s="131">
        <v>2</v>
      </c>
      <c r="V42" s="69">
        <v>1.5</v>
      </c>
      <c r="W42" s="23">
        <f t="shared" si="20"/>
        <v>2.4</v>
      </c>
      <c r="X42" s="201">
        <f>12*2*U42/W42</f>
        <v>20</v>
      </c>
      <c r="Y42" s="24">
        <f>12*2*V42/W42</f>
        <v>15</v>
      </c>
      <c r="Z42" s="3">
        <v>130</v>
      </c>
      <c r="AA42" s="87">
        <f>Z42/(U42*X42)^0.333</f>
        <v>38.059000190924671</v>
      </c>
      <c r="AB42" s="63">
        <f>Z42/(V42*Y42)^0.333</f>
        <v>46.096353748807744</v>
      </c>
      <c r="AC42" s="24">
        <f t="shared" si="25"/>
        <v>36</v>
      </c>
      <c r="AE42" s="2">
        <f t="shared" si="26"/>
        <v>14.25</v>
      </c>
      <c r="AF42" s="55">
        <f t="shared" si="0"/>
        <v>10.5</v>
      </c>
      <c r="AG42" s="169" t="str">
        <f t="shared" si="27"/>
        <v>#5 @ 5</v>
      </c>
      <c r="AH42" s="55">
        <v>8</v>
      </c>
      <c r="AI42" s="55">
        <f t="shared" si="28"/>
        <v>1800</v>
      </c>
      <c r="AJ42" s="47">
        <v>36000</v>
      </c>
      <c r="AK42" s="43">
        <f t="shared" si="29"/>
        <v>0.2857142857142857</v>
      </c>
      <c r="AL42" s="4">
        <f t="shared" si="30"/>
        <v>0.90476190476190477</v>
      </c>
      <c r="AM42" s="253">
        <f t="shared" si="1"/>
        <v>-14.400507812500001</v>
      </c>
      <c r="AN42" s="108">
        <f t="shared" si="1"/>
        <v>12.084406250000001</v>
      </c>
      <c r="AO42" s="195">
        <f t="shared" si="31"/>
        <v>2.3097113180083229</v>
      </c>
      <c r="AP42" s="253">
        <f t="shared" si="32"/>
        <v>0.99199999999999999</v>
      </c>
      <c r="AQ42" s="157">
        <f t="shared" si="33"/>
        <v>-7.6260000000000003</v>
      </c>
      <c r="AR42" s="111">
        <f t="shared" si="34"/>
        <v>0.99199999999999999</v>
      </c>
      <c r="AS42" s="111">
        <f t="shared" si="35"/>
        <v>-8.1219999999999999</v>
      </c>
      <c r="AT42" s="102">
        <f t="shared" si="36"/>
        <v>2.3967523226159546</v>
      </c>
      <c r="AU42" s="253">
        <f t="shared" si="37"/>
        <v>-24.980656296079367</v>
      </c>
      <c r="AV42" s="108">
        <f t="shared" si="38"/>
        <v>19.626616315039744</v>
      </c>
      <c r="AW42" s="308">
        <f t="shared" si="39"/>
        <v>-1.8025814237267488</v>
      </c>
      <c r="AX42" s="105">
        <f t="shared" si="40"/>
        <v>1.3648063207478274</v>
      </c>
      <c r="AY42" s="253">
        <f t="shared" si="41"/>
        <v>-33.576150935590547</v>
      </c>
      <c r="AZ42" s="108">
        <f t="shared" si="42"/>
        <v>26.379860638494282</v>
      </c>
      <c r="BA42" s="155"/>
      <c r="BB42" s="55">
        <f t="shared" si="2"/>
        <v>14.25</v>
      </c>
      <c r="BC42" s="162">
        <f t="shared" si="2"/>
        <v>10.5</v>
      </c>
      <c r="BD42" s="169" t="str">
        <f t="shared" si="43"/>
        <v>#5 @ 5</v>
      </c>
      <c r="BE42" s="87">
        <f t="shared" si="44"/>
        <v>0.72577020134584336</v>
      </c>
      <c r="BF42" s="129">
        <f t="shared" si="45"/>
        <v>1.6450791230505784E-2</v>
      </c>
      <c r="BG42" s="191">
        <f t="shared" si="46"/>
        <v>2.625</v>
      </c>
      <c r="BH42" s="22">
        <f t="shared" si="47"/>
        <v>33.576150935590547</v>
      </c>
      <c r="BI42" s="55">
        <f t="shared" si="3"/>
        <v>10.5</v>
      </c>
      <c r="BJ42" s="87">
        <f t="shared" si="48"/>
        <v>1.4761904761904763</v>
      </c>
      <c r="BK42" s="69">
        <f t="shared" si="49"/>
        <v>5</v>
      </c>
      <c r="BM42" s="87">
        <f t="shared" si="50"/>
        <v>0.42191413064580485</v>
      </c>
      <c r="BN42" s="129">
        <f t="shared" si="51"/>
        <v>9.5633869613049108E-3</v>
      </c>
      <c r="BO42" s="43">
        <f t="shared" si="52"/>
        <v>1.8125</v>
      </c>
      <c r="BP42" s="22">
        <f t="shared" si="53"/>
        <v>26.379860638494282</v>
      </c>
      <c r="BQ42" s="87">
        <f t="shared" si="54"/>
        <v>1.2980472764645428</v>
      </c>
      <c r="BR42" s="131">
        <f t="shared" si="55"/>
        <v>5</v>
      </c>
      <c r="BT42" s="1"/>
      <c r="BU42" s="1"/>
      <c r="BV42" s="156"/>
      <c r="BW42" s="156"/>
      <c r="BX42" s="156"/>
      <c r="BY42" s="156"/>
      <c r="BZ42" s="156"/>
    </row>
    <row r="43" spans="1:78" x14ac:dyDescent="0.2">
      <c r="A43" s="2">
        <v>14.5</v>
      </c>
      <c r="B43" s="221">
        <v>10.75</v>
      </c>
      <c r="C43" s="43">
        <f t="shared" si="9"/>
        <v>0.13437499999999999</v>
      </c>
      <c r="D43" s="157">
        <f t="shared" si="10"/>
        <v>-2.825234375</v>
      </c>
      <c r="E43" s="99">
        <f t="shared" si="11"/>
        <v>2.2601874999999998</v>
      </c>
      <c r="F43" s="253">
        <f t="shared" si="12"/>
        <v>-1.0512500000000002</v>
      </c>
      <c r="G43" s="108">
        <f t="shared" si="13"/>
        <v>0.84099999999999997</v>
      </c>
      <c r="H43" s="294">
        <v>-10.94</v>
      </c>
      <c r="I43" s="99">
        <v>9.25</v>
      </c>
      <c r="J43" s="253">
        <f t="shared" si="14"/>
        <v>-14.816484375</v>
      </c>
      <c r="K43" s="99">
        <f t="shared" si="14"/>
        <v>12.3511875</v>
      </c>
      <c r="L43" s="236">
        <v>5</v>
      </c>
      <c r="M43" s="236">
        <v>5</v>
      </c>
      <c r="N43" s="297">
        <v>0.31</v>
      </c>
      <c r="O43" s="236">
        <v>0.625</v>
      </c>
      <c r="P43" s="43">
        <f t="shared" si="15"/>
        <v>0.74399999999999999</v>
      </c>
      <c r="Q43" s="260">
        <f t="shared" si="16"/>
        <v>7.9375</v>
      </c>
      <c r="R43" s="306">
        <f t="shared" si="57"/>
        <v>8.4375</v>
      </c>
      <c r="S43" s="253">
        <f t="shared" si="18"/>
        <v>-33.27633082897745</v>
      </c>
      <c r="T43" s="99">
        <f t="shared" si="19"/>
        <v>26.095698924731181</v>
      </c>
      <c r="U43" s="131">
        <v>2</v>
      </c>
      <c r="V43" s="69">
        <v>1.5</v>
      </c>
      <c r="W43" s="23">
        <f t="shared" si="20"/>
        <v>2.4</v>
      </c>
      <c r="X43" s="201">
        <f>12*2*U43/W43</f>
        <v>20</v>
      </c>
      <c r="Y43" s="24">
        <f>12*2*V43/W43</f>
        <v>15</v>
      </c>
      <c r="Z43" s="3">
        <v>130</v>
      </c>
      <c r="AA43" s="87">
        <f>Z43/(U43*X43)^0.333</f>
        <v>38.059000190924671</v>
      </c>
      <c r="AB43" s="63">
        <f>Z43/(V43*Y43)^0.333</f>
        <v>46.096353748807744</v>
      </c>
      <c r="AC43" s="24">
        <f t="shared" si="25"/>
        <v>36</v>
      </c>
      <c r="AE43" s="2">
        <f t="shared" si="26"/>
        <v>14.5</v>
      </c>
      <c r="AF43" s="55">
        <f t="shared" si="0"/>
        <v>10.75</v>
      </c>
      <c r="AG43" s="169" t="str">
        <f t="shared" si="27"/>
        <v>#5 @ 5</v>
      </c>
      <c r="AH43" s="55">
        <v>8</v>
      </c>
      <c r="AI43" s="55">
        <f t="shared" si="28"/>
        <v>1800</v>
      </c>
      <c r="AJ43" s="47">
        <v>36000</v>
      </c>
      <c r="AK43" s="43">
        <f t="shared" si="29"/>
        <v>0.2857142857142857</v>
      </c>
      <c r="AL43" s="4">
        <f t="shared" si="30"/>
        <v>0.90476190476190477</v>
      </c>
      <c r="AM43" s="253">
        <f t="shared" si="1"/>
        <v>-14.816484375</v>
      </c>
      <c r="AN43" s="108">
        <f t="shared" si="1"/>
        <v>12.3511875</v>
      </c>
      <c r="AO43" s="195">
        <f t="shared" si="31"/>
        <v>2.3535641772032436</v>
      </c>
      <c r="AP43" s="253">
        <f t="shared" si="32"/>
        <v>0.99199999999999999</v>
      </c>
      <c r="AQ43" s="157">
        <f t="shared" si="33"/>
        <v>-7.8739999999999997</v>
      </c>
      <c r="AR43" s="111">
        <f t="shared" si="34"/>
        <v>0.99199999999999999</v>
      </c>
      <c r="AS43" s="111">
        <f t="shared" si="35"/>
        <v>-8.3699999999999992</v>
      </c>
      <c r="AT43" s="102">
        <f t="shared" si="36"/>
        <v>2.4393050948751474</v>
      </c>
      <c r="AU43" s="253">
        <f t="shared" si="37"/>
        <v>-24.85647200330191</v>
      </c>
      <c r="AV43" s="108">
        <f t="shared" si="38"/>
        <v>19.439468419008467</v>
      </c>
      <c r="AW43" s="308">
        <f t="shared" si="39"/>
        <v>-1.7602007092096823</v>
      </c>
      <c r="AX43" s="105">
        <f t="shared" si="40"/>
        <v>1.328210812979058</v>
      </c>
      <c r="AY43" s="253">
        <f t="shared" si="41"/>
        <v>-33.409236563577842</v>
      </c>
      <c r="AZ43" s="108">
        <f t="shared" si="42"/>
        <v>26.128317767484507</v>
      </c>
      <c r="BA43" s="155"/>
      <c r="BB43" s="55">
        <f t="shared" si="2"/>
        <v>14.5</v>
      </c>
      <c r="BC43" s="162">
        <f t="shared" si="2"/>
        <v>10.75</v>
      </c>
      <c r="BD43" s="169" t="str">
        <f t="shared" si="43"/>
        <v>#5 @ 5</v>
      </c>
      <c r="BE43" s="87">
        <f t="shared" si="44"/>
        <v>0.71499437590733905</v>
      </c>
      <c r="BF43" s="129">
        <f t="shared" si="45"/>
        <v>1.620653918723302E-2</v>
      </c>
      <c r="BG43" s="191">
        <f t="shared" si="46"/>
        <v>2.625</v>
      </c>
      <c r="BH43" s="22">
        <f t="shared" si="47"/>
        <v>33.409236563577842</v>
      </c>
      <c r="BI43" s="55">
        <f t="shared" si="3"/>
        <v>10.75</v>
      </c>
      <c r="BJ43" s="87">
        <f t="shared" si="48"/>
        <v>1.4615384615384617</v>
      </c>
      <c r="BK43" s="69">
        <f t="shared" si="49"/>
        <v>5</v>
      </c>
      <c r="BM43" s="87">
        <f t="shared" si="50"/>
        <v>0.41520701056260739</v>
      </c>
      <c r="BN43" s="129">
        <f t="shared" si="51"/>
        <v>9.4113589060857688E-3</v>
      </c>
      <c r="BO43" s="43">
        <f t="shared" si="52"/>
        <v>1.8125</v>
      </c>
      <c r="BP43" s="22">
        <f t="shared" si="53"/>
        <v>26.128317767484507</v>
      </c>
      <c r="BQ43" s="87">
        <f t="shared" si="54"/>
        <v>1.2897102897102897</v>
      </c>
      <c r="BR43" s="131">
        <f t="shared" si="55"/>
        <v>5</v>
      </c>
      <c r="BT43" s="1"/>
      <c r="BU43" s="1"/>
      <c r="BV43" s="156"/>
      <c r="BW43" s="156"/>
      <c r="BX43" s="156"/>
      <c r="BY43" s="156"/>
      <c r="BZ43" s="156"/>
    </row>
    <row r="44" spans="1:78" x14ac:dyDescent="0.2">
      <c r="A44" s="2">
        <v>14.75</v>
      </c>
      <c r="B44" s="221">
        <v>10.75</v>
      </c>
      <c r="C44" s="43">
        <f t="shared" si="9"/>
        <v>0.13437499999999999</v>
      </c>
      <c r="D44" s="157">
        <f t="shared" si="10"/>
        <v>-2.9234960937499999</v>
      </c>
      <c r="E44" s="99">
        <f t="shared" si="11"/>
        <v>2.3387968749999999</v>
      </c>
      <c r="F44" s="253">
        <f t="shared" si="12"/>
        <v>-1.0878125000000003</v>
      </c>
      <c r="G44" s="108">
        <f t="shared" si="13"/>
        <v>0.87024999999999997</v>
      </c>
      <c r="H44" s="294">
        <v>-11.16</v>
      </c>
      <c r="I44" s="99">
        <v>9.36</v>
      </c>
      <c r="J44" s="253">
        <f t="shared" si="14"/>
        <v>-15.17130859375</v>
      </c>
      <c r="K44" s="99">
        <f t="shared" si="14"/>
        <v>12.569046875</v>
      </c>
      <c r="L44" s="236">
        <v>5</v>
      </c>
      <c r="M44" s="236">
        <v>5</v>
      </c>
      <c r="N44" s="297">
        <v>0.31</v>
      </c>
      <c r="O44" s="236">
        <v>0.625</v>
      </c>
      <c r="P44" s="43">
        <f t="shared" si="15"/>
        <v>0.74399999999999999</v>
      </c>
      <c r="Q44" s="260">
        <f t="shared" si="16"/>
        <v>7.9375</v>
      </c>
      <c r="R44" s="306">
        <f t="shared" si="57"/>
        <v>8.4375</v>
      </c>
      <c r="S44" s="253">
        <f t="shared" si="18"/>
        <v>-34.073230268171066</v>
      </c>
      <c r="T44" s="99">
        <f t="shared" si="19"/>
        <v>26.555994152046782</v>
      </c>
      <c r="U44" s="131">
        <v>2</v>
      </c>
      <c r="V44" s="69">
        <v>1.5</v>
      </c>
      <c r="W44" s="23">
        <f t="shared" si="20"/>
        <v>2.4</v>
      </c>
      <c r="X44" s="201">
        <f>12*2*U44/W44</f>
        <v>20</v>
      </c>
      <c r="Y44" s="24">
        <f>12*2*V44/W44</f>
        <v>15</v>
      </c>
      <c r="Z44" s="3">
        <v>130</v>
      </c>
      <c r="AA44" s="87">
        <f>Z44/(U44*X44)^0.333</f>
        <v>38.059000190924671</v>
      </c>
      <c r="AB44" s="63">
        <f>Z44/(V44*Y44)^0.333</f>
        <v>46.096353748807744</v>
      </c>
      <c r="AC44" s="24">
        <f t="shared" si="25"/>
        <v>36</v>
      </c>
      <c r="AE44" s="2">
        <f t="shared" si="26"/>
        <v>14.75</v>
      </c>
      <c r="AF44" s="55">
        <f t="shared" si="0"/>
        <v>10.75</v>
      </c>
      <c r="AG44" s="169" t="str">
        <f t="shared" si="27"/>
        <v>#5 @ 5</v>
      </c>
      <c r="AH44" s="55">
        <v>8</v>
      </c>
      <c r="AI44" s="55">
        <f t="shared" si="28"/>
        <v>1800</v>
      </c>
      <c r="AJ44" s="47">
        <v>36000</v>
      </c>
      <c r="AK44" s="43">
        <f t="shared" si="29"/>
        <v>0.2857142857142857</v>
      </c>
      <c r="AL44" s="4">
        <f t="shared" si="30"/>
        <v>0.90476190476190477</v>
      </c>
      <c r="AM44" s="253">
        <f t="shared" si="1"/>
        <v>-15.17130859375</v>
      </c>
      <c r="AN44" s="108">
        <f t="shared" si="1"/>
        <v>12.569046875</v>
      </c>
      <c r="AO44" s="195">
        <f t="shared" si="31"/>
        <v>2.3535641772032436</v>
      </c>
      <c r="AP44" s="253">
        <f t="shared" si="32"/>
        <v>0.99199999999999999</v>
      </c>
      <c r="AQ44" s="157">
        <f t="shared" si="33"/>
        <v>-7.8739999999999997</v>
      </c>
      <c r="AR44" s="111">
        <f t="shared" si="34"/>
        <v>0.99199999999999999</v>
      </c>
      <c r="AS44" s="111">
        <f t="shared" si="35"/>
        <v>-8.3699999999999992</v>
      </c>
      <c r="AT44" s="102">
        <f t="shared" si="36"/>
        <v>2.4393050948751474</v>
      </c>
      <c r="AU44" s="253">
        <f t="shared" si="37"/>
        <v>-25.451733202668095</v>
      </c>
      <c r="AV44" s="108">
        <f t="shared" si="38"/>
        <v>19.782356132444722</v>
      </c>
      <c r="AW44" s="308">
        <f t="shared" si="39"/>
        <v>-1.8023538830450592</v>
      </c>
      <c r="AX44" s="105">
        <f t="shared" si="40"/>
        <v>1.3516387770986102</v>
      </c>
      <c r="AY44" s="253">
        <f t="shared" si="41"/>
        <v>-34.209318820790457</v>
      </c>
      <c r="AZ44" s="108">
        <f t="shared" si="42"/>
        <v>26.589188350060123</v>
      </c>
      <c r="BA44" s="155"/>
      <c r="BB44" s="55">
        <f t="shared" si="2"/>
        <v>14.75</v>
      </c>
      <c r="BC44" s="162">
        <f t="shared" si="2"/>
        <v>10.75</v>
      </c>
      <c r="BD44" s="169" t="str">
        <f t="shared" si="43"/>
        <v>#5 @ 5</v>
      </c>
      <c r="BE44" s="87">
        <f t="shared" si="44"/>
        <v>0.7321170154229607</v>
      </c>
      <c r="BF44" s="129">
        <f t="shared" si="45"/>
        <v>1.6594652349587111E-2</v>
      </c>
      <c r="BG44" s="191">
        <f t="shared" si="46"/>
        <v>2.625</v>
      </c>
      <c r="BH44" s="22">
        <f t="shared" si="47"/>
        <v>34.209318820790457</v>
      </c>
      <c r="BI44" s="55">
        <f t="shared" si="3"/>
        <v>10.75</v>
      </c>
      <c r="BJ44" s="87">
        <f t="shared" si="48"/>
        <v>1.4615384615384617</v>
      </c>
      <c r="BK44" s="69">
        <f t="shared" si="49"/>
        <v>5</v>
      </c>
      <c r="BM44" s="87">
        <f t="shared" si="50"/>
        <v>0.42253073873180491</v>
      </c>
      <c r="BN44" s="129">
        <f t="shared" si="51"/>
        <v>9.5773634112542461E-3</v>
      </c>
      <c r="BO44" s="43">
        <f t="shared" si="52"/>
        <v>1.8125</v>
      </c>
      <c r="BP44" s="22">
        <f t="shared" si="53"/>
        <v>26.589188350060123</v>
      </c>
      <c r="BQ44" s="87">
        <f t="shared" si="54"/>
        <v>1.2897102897102897</v>
      </c>
      <c r="BR44" s="131">
        <f t="shared" si="55"/>
        <v>5</v>
      </c>
      <c r="BT44" s="1"/>
      <c r="BU44" s="1"/>
      <c r="BV44" s="156"/>
      <c r="BW44" s="156"/>
      <c r="BX44" s="156"/>
      <c r="BY44" s="156"/>
      <c r="BZ44" s="156"/>
    </row>
    <row r="45" spans="1:78" x14ac:dyDescent="0.2">
      <c r="A45" s="8">
        <v>15</v>
      </c>
      <c r="B45" s="222">
        <v>11</v>
      </c>
      <c r="C45" s="44">
        <f t="shared" si="9"/>
        <v>0.13749999999999998</v>
      </c>
      <c r="D45" s="158">
        <f t="shared" si="10"/>
        <v>-3.0937499999999996</v>
      </c>
      <c r="E45" s="101">
        <f t="shared" si="11"/>
        <v>2.4749999999999996</v>
      </c>
      <c r="F45" s="61">
        <f t="shared" si="12"/>
        <v>-1.1250000000000002</v>
      </c>
      <c r="G45" s="110">
        <f t="shared" si="13"/>
        <v>0.9</v>
      </c>
      <c r="H45" s="296">
        <v>-11.37</v>
      </c>
      <c r="I45" s="101">
        <v>9.4700000000000006</v>
      </c>
      <c r="J45" s="61">
        <f t="shared" si="14"/>
        <v>-15.588749999999999</v>
      </c>
      <c r="K45" s="101">
        <f t="shared" si="14"/>
        <v>12.845000000000001</v>
      </c>
      <c r="L45" s="238">
        <v>5</v>
      </c>
      <c r="M45" s="238">
        <v>5</v>
      </c>
      <c r="N45" s="298">
        <v>0.31</v>
      </c>
      <c r="O45" s="238">
        <v>0.625</v>
      </c>
      <c r="P45" s="44">
        <f t="shared" si="15"/>
        <v>0.74399999999999999</v>
      </c>
      <c r="Q45" s="262">
        <f t="shared" si="16"/>
        <v>8.1875</v>
      </c>
      <c r="R45" s="307">
        <f t="shared" si="57"/>
        <v>8.6875</v>
      </c>
      <c r="S45" s="61">
        <f t="shared" si="18"/>
        <v>-33.94173071190658</v>
      </c>
      <c r="T45" s="110">
        <f t="shared" si="19"/>
        <v>26.358051080358127</v>
      </c>
      <c r="U45" s="132">
        <v>2</v>
      </c>
      <c r="V45" s="73">
        <v>1.5</v>
      </c>
      <c r="W45" s="132">
        <f t="shared" si="20"/>
        <v>2.4</v>
      </c>
      <c r="X45" s="245">
        <f>12*2*U45/W45</f>
        <v>20</v>
      </c>
      <c r="Y45" s="26">
        <f>12*2*V45/W45</f>
        <v>15</v>
      </c>
      <c r="Z45" s="9">
        <v>130</v>
      </c>
      <c r="AA45" s="89">
        <f>Z45/(U45*X45)^0.333</f>
        <v>38.059000190924671</v>
      </c>
      <c r="AB45" s="64">
        <f>Z45/(V45*Y45)^0.333</f>
        <v>46.096353748807744</v>
      </c>
      <c r="AC45" s="245">
        <f t="shared" si="25"/>
        <v>36</v>
      </c>
      <c r="AE45" s="57">
        <f t="shared" si="26"/>
        <v>15</v>
      </c>
      <c r="AF45" s="57">
        <f t="shared" si="0"/>
        <v>11</v>
      </c>
      <c r="AG45" s="175" t="str">
        <f t="shared" si="27"/>
        <v>#5 @ 5</v>
      </c>
      <c r="AH45" s="57">
        <v>8</v>
      </c>
      <c r="AI45" s="57">
        <f t="shared" si="28"/>
        <v>1800</v>
      </c>
      <c r="AJ45" s="49">
        <v>36000</v>
      </c>
      <c r="AK45" s="44">
        <f t="shared" si="29"/>
        <v>0.2857142857142857</v>
      </c>
      <c r="AL45" s="10">
        <f t="shared" si="30"/>
        <v>0.90476190476190477</v>
      </c>
      <c r="AM45" s="61">
        <f t="shared" si="1"/>
        <v>-15.588749999999999</v>
      </c>
      <c r="AN45" s="110">
        <f t="shared" si="1"/>
        <v>12.845000000000001</v>
      </c>
      <c r="AO45" s="257">
        <f t="shared" si="31"/>
        <v>2.3967523226159546</v>
      </c>
      <c r="AP45" s="61">
        <f t="shared" si="32"/>
        <v>0.99199999999999999</v>
      </c>
      <c r="AQ45" s="158">
        <f t="shared" si="33"/>
        <v>-8.1219999999999999</v>
      </c>
      <c r="AR45" s="113">
        <f t="shared" si="34"/>
        <v>0.99199999999999999</v>
      </c>
      <c r="AS45" s="113">
        <f t="shared" si="35"/>
        <v>-8.6180000000000003</v>
      </c>
      <c r="AT45" s="104">
        <f t="shared" si="36"/>
        <v>2.4812497375934051</v>
      </c>
      <c r="AU45" s="61">
        <f t="shared" si="37"/>
        <v>-25.318117311810482</v>
      </c>
      <c r="AV45" s="110">
        <f t="shared" si="38"/>
        <v>19.609647277150248</v>
      </c>
      <c r="AW45" s="309">
        <f t="shared" si="39"/>
        <v>-1.7605850128182916</v>
      </c>
      <c r="AX45" s="107">
        <f t="shared" si="40"/>
        <v>1.3171888732819164</v>
      </c>
      <c r="AY45" s="61">
        <f t="shared" si="41"/>
        <v>-34.02972756963775</v>
      </c>
      <c r="AZ45" s="110">
        <f t="shared" si="42"/>
        <v>26.357052791868615</v>
      </c>
      <c r="BA45" s="155"/>
      <c r="BB45" s="57">
        <f t="shared" si="2"/>
        <v>15</v>
      </c>
      <c r="BC45" s="120">
        <f t="shared" si="2"/>
        <v>11</v>
      </c>
      <c r="BD45" s="175" t="str">
        <f t="shared" si="43"/>
        <v>#5 @ 5</v>
      </c>
      <c r="BE45" s="89">
        <f t="shared" si="44"/>
        <v>0.72140845705996437</v>
      </c>
      <c r="BF45" s="235">
        <f t="shared" si="45"/>
        <v>1.6351925026692526E-2</v>
      </c>
      <c r="BG45" s="234">
        <f t="shared" si="46"/>
        <v>2.625</v>
      </c>
      <c r="BH45" s="25">
        <f t="shared" si="47"/>
        <v>34.02972756963775</v>
      </c>
      <c r="BI45" s="57">
        <f t="shared" si="3"/>
        <v>11</v>
      </c>
      <c r="BJ45" s="89">
        <f t="shared" si="48"/>
        <v>1.4477611940298507</v>
      </c>
      <c r="BK45" s="132">
        <f t="shared" si="49"/>
        <v>5</v>
      </c>
      <c r="BM45" s="89">
        <f t="shared" si="50"/>
        <v>0.41628171103025724</v>
      </c>
      <c r="BN45" s="235">
        <f t="shared" si="51"/>
        <v>9.4357187833524984E-3</v>
      </c>
      <c r="BO45" s="44">
        <f t="shared" si="52"/>
        <v>1.8125</v>
      </c>
      <c r="BP45" s="25">
        <f t="shared" si="53"/>
        <v>26.357052791868615</v>
      </c>
      <c r="BQ45" s="89">
        <f t="shared" si="54"/>
        <v>1.281827016520894</v>
      </c>
      <c r="BR45" s="132">
        <f t="shared" si="55"/>
        <v>5</v>
      </c>
      <c r="BT45" s="1"/>
      <c r="BU45" s="1"/>
      <c r="BV45" s="156"/>
      <c r="BW45" s="156"/>
      <c r="BX45" s="156"/>
      <c r="BY45" s="156"/>
      <c r="BZ45" s="156"/>
    </row>
    <row r="46" spans="1:78" x14ac:dyDescent="0.2">
      <c r="M46" s="200"/>
      <c r="S46" s="144">
        <f>MIN(S5:S45)</f>
        <v>-34.073230268171066</v>
      </c>
      <c r="T46" s="153">
        <f>MAX(T5:T45)</f>
        <v>33.200303203661321</v>
      </c>
      <c r="AA46" s="144">
        <f>MAX(AA5:AA45)</f>
        <v>38.059000190924671</v>
      </c>
      <c r="AB46" s="153">
        <f>MAX(AB5:AB45)</f>
        <v>46.096353748807744</v>
      </c>
      <c r="AY46" s="153">
        <f>MAX(AY5:AY45)</f>
        <v>-20.592745984439645</v>
      </c>
      <c r="AZ46" s="153">
        <f>MAX(AZ5:AZ45)</f>
        <v>33.027373980774016</v>
      </c>
      <c r="BF46" s="153">
        <f>MAX(BF5:BF45)</f>
        <v>1.8827563071418096E-2</v>
      </c>
      <c r="BH46" s="153">
        <f>MAX(BH5:BH45)</f>
        <v>34.209318820790457</v>
      </c>
      <c r="BN46" s="153">
        <f>MAX(BN5:BN45)</f>
        <v>1.4457705252242256E-2</v>
      </c>
      <c r="BP46" s="153">
        <f>MAX(BP5:BP45)</f>
        <v>33.027373980774016</v>
      </c>
    </row>
    <row r="47" spans="1:78" x14ac:dyDescent="0.2">
      <c r="R47" s="140" t="s">
        <v>113</v>
      </c>
      <c r="S47" s="140" t="s">
        <v>113</v>
      </c>
      <c r="T47" s="140" t="s">
        <v>113</v>
      </c>
      <c r="AA47" s="133" t="s">
        <v>88</v>
      </c>
      <c r="AO47" s="154" t="s">
        <v>89</v>
      </c>
      <c r="AW47" s="141" t="s">
        <v>150</v>
      </c>
    </row>
    <row r="48" spans="1:78" x14ac:dyDescent="0.2">
      <c r="AA48" s="154" t="s">
        <v>87</v>
      </c>
      <c r="AO48" s="154" t="s">
        <v>90</v>
      </c>
    </row>
    <row r="49" spans="41:51" x14ac:dyDescent="0.2">
      <c r="AO49" s="154" t="s">
        <v>91</v>
      </c>
      <c r="AX49" s="144"/>
      <c r="AY49" s="144"/>
    </row>
    <row r="50" spans="41:51" x14ac:dyDescent="0.2">
      <c r="AX50" s="144"/>
      <c r="AY50" s="144"/>
    </row>
    <row r="51" spans="41:51" x14ac:dyDescent="0.2">
      <c r="AX51" s="144"/>
      <c r="AY51" s="144"/>
    </row>
    <row r="52" spans="41:51" x14ac:dyDescent="0.2">
      <c r="AX52" s="144"/>
      <c r="AY52" s="144"/>
    </row>
    <row r="53" spans="41:51" x14ac:dyDescent="0.2">
      <c r="AX53" s="144"/>
      <c r="AY53" s="144"/>
    </row>
    <row r="54" spans="41:51" x14ac:dyDescent="0.2">
      <c r="AX54" s="144"/>
      <c r="AY54" s="144"/>
    </row>
    <row r="55" spans="41:51" x14ac:dyDescent="0.2">
      <c r="AX55" s="144"/>
      <c r="AY55" s="144"/>
    </row>
    <row r="56" spans="41:51" x14ac:dyDescent="0.2">
      <c r="AX56" s="144"/>
      <c r="AY56" s="144"/>
    </row>
    <row r="57" spans="41:51" x14ac:dyDescent="0.2">
      <c r="AX57" s="144"/>
      <c r="AY57" s="144"/>
    </row>
    <row r="58" spans="41:51" x14ac:dyDescent="0.2">
      <c r="AX58" s="144"/>
      <c r="AY58" s="144"/>
    </row>
    <row r="59" spans="41:51" x14ac:dyDescent="0.2">
      <c r="AX59" s="144"/>
      <c r="AY59" s="144"/>
    </row>
    <row r="60" spans="41:51" x14ac:dyDescent="0.2">
      <c r="AX60" s="144"/>
      <c r="AY60" s="144"/>
    </row>
    <row r="61" spans="41:51" x14ac:dyDescent="0.2">
      <c r="AX61" s="144"/>
      <c r="AY61" s="144"/>
    </row>
    <row r="62" spans="41:51" x14ac:dyDescent="0.2">
      <c r="AX62" s="144"/>
      <c r="AY62" s="144"/>
    </row>
    <row r="63" spans="41:51" x14ac:dyDescent="0.2">
      <c r="AX63" s="144"/>
      <c r="AY63" s="144"/>
    </row>
    <row r="64" spans="41:51" x14ac:dyDescent="0.2">
      <c r="AX64" s="144"/>
      <c r="AY64" s="144"/>
    </row>
    <row r="65" spans="50:51" x14ac:dyDescent="0.2">
      <c r="AX65" s="144"/>
      <c r="AY65" s="144"/>
    </row>
    <row r="66" spans="50:51" x14ac:dyDescent="0.2">
      <c r="AX66" s="144"/>
      <c r="AY66" s="144"/>
    </row>
    <row r="67" spans="50:51" x14ac:dyDescent="0.2">
      <c r="AX67" s="144"/>
      <c r="AY67" s="144"/>
    </row>
    <row r="68" spans="50:51" x14ac:dyDescent="0.2">
      <c r="AX68" s="144"/>
      <c r="AY68" s="144"/>
    </row>
    <row r="69" spans="50:51" x14ac:dyDescent="0.2">
      <c r="AX69" s="144"/>
      <c r="AY69" s="144"/>
    </row>
    <row r="70" spans="50:51" x14ac:dyDescent="0.2">
      <c r="AX70" s="144"/>
      <c r="AY70" s="144"/>
    </row>
    <row r="71" spans="50:51" x14ac:dyDescent="0.2">
      <c r="AX71" s="144"/>
      <c r="AY71" s="144"/>
    </row>
    <row r="72" spans="50:51" x14ac:dyDescent="0.2">
      <c r="AX72" s="144"/>
      <c r="AY72" s="144"/>
    </row>
    <row r="73" spans="50:51" x14ac:dyDescent="0.2">
      <c r="AX73" s="144"/>
      <c r="AY73" s="144"/>
    </row>
    <row r="74" spans="50:51" x14ac:dyDescent="0.2">
      <c r="AX74" s="144"/>
      <c r="AY74" s="144"/>
    </row>
    <row r="75" spans="50:51" x14ac:dyDescent="0.2">
      <c r="AX75" s="144"/>
      <c r="AY75" s="144"/>
    </row>
    <row r="76" spans="50:51" x14ac:dyDescent="0.2">
      <c r="AX76" s="144"/>
      <c r="AY76" s="144"/>
    </row>
    <row r="77" spans="50:51" x14ac:dyDescent="0.2">
      <c r="AX77" s="144"/>
      <c r="AY77" s="144"/>
    </row>
    <row r="78" spans="50:51" x14ac:dyDescent="0.2">
      <c r="AX78" s="144"/>
      <c r="AY78" s="144"/>
    </row>
    <row r="79" spans="50:51" x14ac:dyDescent="0.2">
      <c r="AX79" s="144"/>
      <c r="AY79" s="144"/>
    </row>
    <row r="80" spans="50:51" x14ac:dyDescent="0.2">
      <c r="AX80" s="144"/>
      <c r="AY80" s="144"/>
    </row>
    <row r="81" spans="50:51" x14ac:dyDescent="0.2">
      <c r="AX81" s="144"/>
      <c r="AY81" s="144"/>
    </row>
    <row r="82" spans="50:51" x14ac:dyDescent="0.2">
      <c r="AX82" s="144"/>
      <c r="AY82" s="144"/>
    </row>
    <row r="83" spans="50:51" x14ac:dyDescent="0.2">
      <c r="AX83" s="144"/>
      <c r="AY83" s="144"/>
    </row>
    <row r="84" spans="50:51" x14ac:dyDescent="0.2">
      <c r="AX84" s="144"/>
      <c r="AY84" s="144"/>
    </row>
    <row r="85" spans="50:51" x14ac:dyDescent="0.2">
      <c r="AX85" s="144"/>
      <c r="AY85" s="144"/>
    </row>
    <row r="86" spans="50:51" x14ac:dyDescent="0.2">
      <c r="AX86" s="144"/>
      <c r="AY86" s="144"/>
    </row>
    <row r="87" spans="50:51" x14ac:dyDescent="0.2">
      <c r="AX87" s="144"/>
      <c r="AY87" s="144"/>
    </row>
    <row r="88" spans="50:51" x14ac:dyDescent="0.2">
      <c r="AX88" s="144"/>
      <c r="AY88" s="144"/>
    </row>
    <row r="89" spans="50:51" x14ac:dyDescent="0.2">
      <c r="AX89" s="144"/>
      <c r="AY89" s="144"/>
    </row>
  </sheetData>
  <mergeCells count="1">
    <mergeCell ref="BT3:BZ3"/>
  </mergeCells>
  <pageMargins left="1.25" right="0.75" top="0.75" bottom="0.75" header="0.5" footer="0.5"/>
  <pageSetup scale="8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88"/>
  <sheetViews>
    <sheetView topLeftCell="A4" workbookViewId="0">
      <selection activeCell="P14" sqref="P14"/>
    </sheetView>
  </sheetViews>
  <sheetFormatPr defaultRowHeight="12.75" x14ac:dyDescent="0.2"/>
  <cols>
    <col min="1" max="1" width="8.7109375" style="154" customWidth="1"/>
    <col min="2" max="2" width="6.7109375" style="154" customWidth="1"/>
    <col min="3" max="3" width="7.7109375" style="154" customWidth="1"/>
    <col min="4" max="9" width="6.7109375" style="154" customWidth="1"/>
    <col min="10" max="11" width="7.7109375" style="154" customWidth="1"/>
    <col min="12" max="13" width="10.140625" style="154" customWidth="1"/>
    <col min="14" max="14" width="8.85546875" style="154" customWidth="1"/>
    <col min="15" max="15" width="8" style="154" customWidth="1"/>
    <col min="16" max="17" width="7.140625" style="154" customWidth="1"/>
    <col min="18" max="18" width="7.5703125" style="154" customWidth="1"/>
    <col min="19" max="20" width="8.7109375" style="154" customWidth="1"/>
    <col min="21" max="21" width="1.7109375" style="154" customWidth="1"/>
    <col min="22" max="28" width="8.7109375" style="154" customWidth="1"/>
    <col min="29" max="29" width="7.7109375" style="154" customWidth="1"/>
    <col min="30" max="31" width="8.7109375" style="154" customWidth="1"/>
    <col min="32" max="35" width="6.7109375" style="154" customWidth="1"/>
    <col min="36" max="36" width="10.28515625" style="154" customWidth="1"/>
    <col min="37" max="39" width="8.7109375" style="154" customWidth="1"/>
    <col min="40" max="40" width="10.140625" style="154" customWidth="1"/>
    <col min="41" max="41" width="1.7109375" style="154" customWidth="1"/>
    <col min="42" max="43" width="8.7109375" style="154" customWidth="1"/>
    <col min="44" max="45" width="11.7109375" style="154" customWidth="1"/>
    <col min="46" max="16384" width="9.140625" style="154"/>
  </cols>
  <sheetData>
    <row r="1" spans="1:56" ht="20.25" x14ac:dyDescent="0.3">
      <c r="AP1" s="212" t="s">
        <v>53</v>
      </c>
      <c r="AQ1" s="212"/>
      <c r="AR1" s="212"/>
      <c r="AS1" s="212"/>
      <c r="AT1" s="212"/>
      <c r="AU1" s="212"/>
      <c r="AV1" s="212"/>
      <c r="AW1" s="212"/>
    </row>
    <row r="2" spans="1:56" ht="20.25" x14ac:dyDescent="0.3">
      <c r="A2" s="29" t="s">
        <v>45</v>
      </c>
      <c r="V2" s="29" t="s">
        <v>45</v>
      </c>
      <c r="AP2" s="213" t="s">
        <v>97</v>
      </c>
      <c r="AQ2" s="213"/>
      <c r="AR2" s="213"/>
      <c r="AS2" s="213"/>
      <c r="AT2" s="213"/>
      <c r="AU2" s="213"/>
      <c r="AV2" s="213"/>
      <c r="AW2" s="213"/>
    </row>
    <row r="3" spans="1:56" ht="15.75" x14ac:dyDescent="0.25">
      <c r="J3" s="154" t="s">
        <v>99</v>
      </c>
      <c r="Q3" s="154" t="s">
        <v>98</v>
      </c>
      <c r="T3" s="163" t="s">
        <v>92</v>
      </c>
      <c r="U3" s="163"/>
      <c r="V3" s="189" t="s">
        <v>140</v>
      </c>
      <c r="W3" s="292">
        <v>80</v>
      </c>
      <c r="X3" s="154" t="s">
        <v>142</v>
      </c>
      <c r="AN3" s="163" t="s">
        <v>76</v>
      </c>
      <c r="AP3" s="216" t="s">
        <v>141</v>
      </c>
      <c r="AQ3" s="216"/>
      <c r="AR3" s="216"/>
      <c r="AS3" s="216"/>
      <c r="AT3" s="216"/>
      <c r="AU3" s="216"/>
      <c r="AV3" s="216"/>
      <c r="AW3" s="216"/>
      <c r="BA3" s="154" t="s">
        <v>143</v>
      </c>
    </row>
    <row r="4" spans="1:56" x14ac:dyDescent="0.2">
      <c r="D4" s="140" t="s">
        <v>113</v>
      </c>
      <c r="E4" s="140" t="s">
        <v>113</v>
      </c>
      <c r="F4" s="140" t="s">
        <v>113</v>
      </c>
      <c r="G4" s="140" t="s">
        <v>113</v>
      </c>
      <c r="H4" s="140" t="s">
        <v>113</v>
      </c>
      <c r="I4" s="140" t="s">
        <v>113</v>
      </c>
      <c r="J4" s="140" t="s">
        <v>113</v>
      </c>
      <c r="K4" s="140" t="s">
        <v>113</v>
      </c>
      <c r="L4" s="148" t="s">
        <v>105</v>
      </c>
      <c r="M4" s="148"/>
      <c r="N4" s="148"/>
      <c r="O4" s="148"/>
      <c r="P4" s="140" t="s">
        <v>113</v>
      </c>
      <c r="R4" s="154" t="s">
        <v>107</v>
      </c>
      <c r="V4" s="140" t="s">
        <v>113</v>
      </c>
      <c r="W4" s="140" t="s">
        <v>113</v>
      </c>
      <c r="X4" s="140" t="s">
        <v>113</v>
      </c>
      <c r="Y4" s="140" t="s">
        <v>113</v>
      </c>
      <c r="Z4" s="140" t="s">
        <v>113</v>
      </c>
      <c r="AA4" s="140" t="s">
        <v>113</v>
      </c>
      <c r="AB4" s="140" t="s">
        <v>113</v>
      </c>
      <c r="AC4" s="140" t="s">
        <v>113</v>
      </c>
      <c r="AD4" s="140" t="s">
        <v>113</v>
      </c>
      <c r="AE4" s="140" t="s">
        <v>113</v>
      </c>
      <c r="AF4" s="140" t="s">
        <v>113</v>
      </c>
      <c r="AG4" s="140" t="s">
        <v>113</v>
      </c>
      <c r="AH4" s="140"/>
      <c r="AI4" s="140"/>
      <c r="AJ4" s="140" t="s">
        <v>113</v>
      </c>
      <c r="AK4" s="140" t="s">
        <v>113</v>
      </c>
      <c r="AL4" s="140"/>
      <c r="AM4" s="154" t="s">
        <v>109</v>
      </c>
      <c r="AR4" s="210" t="s">
        <v>94</v>
      </c>
      <c r="AS4" s="211"/>
      <c r="AT4" s="210" t="s">
        <v>48</v>
      </c>
      <c r="AU4" s="214"/>
      <c r="AV4" s="210" t="s">
        <v>49</v>
      </c>
      <c r="AW4" s="211"/>
      <c r="BA4" s="154">
        <v>4500</v>
      </c>
    </row>
    <row r="5" spans="1:56" ht="13.5" thickBot="1" x14ac:dyDescent="0.25">
      <c r="A5" s="159" t="s">
        <v>5</v>
      </c>
      <c r="B5" s="54" t="s">
        <v>10</v>
      </c>
      <c r="C5" s="31" t="s">
        <v>75</v>
      </c>
      <c r="D5" s="67" t="s">
        <v>2</v>
      </c>
      <c r="E5" s="15" t="s">
        <v>3</v>
      </c>
      <c r="F5" s="67" t="s">
        <v>6</v>
      </c>
      <c r="G5" s="16" t="s">
        <v>7</v>
      </c>
      <c r="H5" s="67" t="s">
        <v>35</v>
      </c>
      <c r="I5" s="15" t="s">
        <v>4</v>
      </c>
      <c r="J5" s="67" t="s">
        <v>1</v>
      </c>
      <c r="K5" s="16" t="s">
        <v>0</v>
      </c>
      <c r="L5" s="54" t="s">
        <v>8</v>
      </c>
      <c r="M5" s="54" t="s">
        <v>170</v>
      </c>
      <c r="N5" s="31" t="s">
        <v>171</v>
      </c>
      <c r="O5" s="14" t="s">
        <v>172</v>
      </c>
      <c r="P5" s="54" t="s">
        <v>9</v>
      </c>
      <c r="Q5" s="67" t="s">
        <v>13</v>
      </c>
      <c r="R5" s="16" t="s">
        <v>14</v>
      </c>
      <c r="S5" s="67" t="s">
        <v>19</v>
      </c>
      <c r="T5" s="16" t="s">
        <v>20</v>
      </c>
      <c r="U5" s="121"/>
      <c r="V5" s="67" t="s">
        <v>16</v>
      </c>
      <c r="W5" s="16" t="s">
        <v>17</v>
      </c>
      <c r="X5" s="67" t="s">
        <v>15</v>
      </c>
      <c r="Y5" s="15" t="s">
        <v>18</v>
      </c>
      <c r="Z5" s="67" t="s">
        <v>50</v>
      </c>
      <c r="AA5" s="16" t="s">
        <v>51</v>
      </c>
      <c r="AB5" s="14" t="s">
        <v>5</v>
      </c>
      <c r="AC5" s="54" t="s">
        <v>10</v>
      </c>
      <c r="AD5" s="67" t="s">
        <v>1</v>
      </c>
      <c r="AE5" s="16" t="s">
        <v>0</v>
      </c>
      <c r="AF5" s="67" t="s">
        <v>39</v>
      </c>
      <c r="AG5" s="67" t="s">
        <v>40</v>
      </c>
      <c r="AH5" s="16" t="s">
        <v>176</v>
      </c>
      <c r="AI5" s="15" t="s">
        <v>177</v>
      </c>
      <c r="AJ5" s="67" t="s">
        <v>44</v>
      </c>
      <c r="AK5" s="67" t="s">
        <v>41</v>
      </c>
      <c r="AL5" s="67" t="s">
        <v>156</v>
      </c>
      <c r="AM5" s="281" t="s">
        <v>108</v>
      </c>
      <c r="AN5" s="16" t="s">
        <v>43</v>
      </c>
      <c r="AP5" s="159" t="s">
        <v>46</v>
      </c>
      <c r="AQ5" s="54" t="s">
        <v>47</v>
      </c>
      <c r="AR5" s="45" t="s">
        <v>43</v>
      </c>
      <c r="AS5" s="46" t="s">
        <v>44</v>
      </c>
      <c r="AT5" s="58" t="s">
        <v>1</v>
      </c>
      <c r="AU5" s="53" t="s">
        <v>0</v>
      </c>
      <c r="AV5" s="58" t="s">
        <v>1</v>
      </c>
      <c r="AW5" s="46" t="s">
        <v>0</v>
      </c>
    </row>
    <row r="6" spans="1:56" ht="13.5" thickTop="1" x14ac:dyDescent="0.2">
      <c r="A6" s="2">
        <v>5</v>
      </c>
      <c r="B6" s="221">
        <v>8</v>
      </c>
      <c r="C6" s="32">
        <f>B6/12*0.15</f>
        <v>9.9999999999999992E-2</v>
      </c>
      <c r="D6" s="253">
        <f>-0.1*C6*A6^2</f>
        <v>-0.25</v>
      </c>
      <c r="E6" s="99">
        <f>0.08*C6*A6^2</f>
        <v>0.2</v>
      </c>
      <c r="F6" s="253">
        <f>-0.1*0.05*A6^2</f>
        <v>-0.12500000000000003</v>
      </c>
      <c r="G6" s="108">
        <f>0.08*0.05*A6^2</f>
        <v>0.1</v>
      </c>
      <c r="H6" s="253">
        <v>-2.66</v>
      </c>
      <c r="I6" s="99">
        <v>4.6500000000000004</v>
      </c>
      <c r="J6" s="253">
        <f>1.25*D6+1.5*F6+1.75*H6</f>
        <v>-5.1550000000000002</v>
      </c>
      <c r="K6" s="108">
        <f>1.25*E6+1.5*G6+1.75*I6</f>
        <v>8.5375000000000014</v>
      </c>
      <c r="L6" s="236">
        <f>'Stl-ser gr80'!L5</f>
        <v>4</v>
      </c>
      <c r="M6" s="236">
        <f>'Stl-ser gr80'!M5</f>
        <v>8</v>
      </c>
      <c r="N6" s="297">
        <f>'Stl-ser gr80'!N5</f>
        <v>0.2</v>
      </c>
      <c r="O6" s="236">
        <f>'Stl-ser gr80'!O5</f>
        <v>0.5</v>
      </c>
      <c r="P6" s="43">
        <f>N6*12/M6</f>
        <v>0.30000000000000004</v>
      </c>
      <c r="Q6" s="195">
        <f>B6-2.5-O6/2</f>
        <v>5.25</v>
      </c>
      <c r="R6" s="102">
        <f>B6-1.5-O6/2-0.5</f>
        <v>5.75</v>
      </c>
      <c r="S6" s="287">
        <f>P6/(12*Q6)</f>
        <v>4.7619047619047623E-3</v>
      </c>
      <c r="T6" s="115">
        <f>P6/(12*R6)</f>
        <v>4.3478260869565227E-3</v>
      </c>
      <c r="U6" s="164"/>
      <c r="V6" s="253">
        <f>0.9*P6*$W$3*(Q6-0.5*S6*($W$3/(0.85*4.5))*Q6)/12</f>
        <v>8.9794117647058851</v>
      </c>
      <c r="W6" s="108">
        <f>0.9*P6*$W$3*(R6-0.5*T6*($W$3/(0.85*4.5))*R6)/12</f>
        <v>9.8794117647058837</v>
      </c>
      <c r="X6" s="253">
        <f>0.9*P6*$W$3*(Q6-0.5*S6*($W$3/(0.85*4))*Q6)/12</f>
        <v>8.9205882352941206</v>
      </c>
      <c r="Y6" s="99">
        <f>0.9*P6*$W$3*(R6-0.5*T6*($W$3/(0.85*4))*R6)/12</f>
        <v>9.8205882352941192</v>
      </c>
      <c r="Z6" s="253">
        <f>0.9*P6*$W$3*(Q6-0.5*S6*($W$3/(0.85*5))*Q6)/12</f>
        <v>9.0264705882352967</v>
      </c>
      <c r="AA6" s="108">
        <f>0.9*P6*$W$3*(R6-0.5*T6*($W$3/(0.85*5))*R6)/12</f>
        <v>9.9264705882352953</v>
      </c>
      <c r="AB6" s="3">
        <f t="shared" ref="AB6:AC46" si="0">A6</f>
        <v>5</v>
      </c>
      <c r="AC6" s="55">
        <f t="shared" si="0"/>
        <v>8</v>
      </c>
      <c r="AD6" s="253">
        <f t="shared" ref="AD6:AE46" si="1">J6</f>
        <v>-5.1550000000000002</v>
      </c>
      <c r="AE6" s="108">
        <f t="shared" si="1"/>
        <v>8.5375000000000014</v>
      </c>
      <c r="AF6" s="201">
        <v>67</v>
      </c>
      <c r="AG6" s="43">
        <f t="shared" ref="AG6:AG46" si="2">P6*AF6/100</f>
        <v>0.20100000000000001</v>
      </c>
      <c r="AH6" s="24">
        <v>4</v>
      </c>
      <c r="AI6" s="7">
        <v>8</v>
      </c>
      <c r="AJ6" s="301" t="str">
        <f>"#"&amp;AH6&amp;" @ "&amp;AI6</f>
        <v>#4 @ 8</v>
      </c>
      <c r="AK6" s="43">
        <f>0.2*12/AI6</f>
        <v>0.30000000000000004</v>
      </c>
      <c r="AL6" s="43">
        <f>AK6/P6</f>
        <v>1</v>
      </c>
      <c r="AM6" s="282">
        <f>2*AK6/(12*B6)</f>
        <v>6.2500000000000012E-3</v>
      </c>
      <c r="AN6" s="272" t="str">
        <f>"#"&amp;L6&amp;" @ "&amp;M6</f>
        <v>#4 @ 8</v>
      </c>
      <c r="AP6" s="2">
        <f t="shared" ref="AP6:AQ34" si="3">A6</f>
        <v>5</v>
      </c>
      <c r="AQ6" s="55">
        <f t="shared" si="3"/>
        <v>8</v>
      </c>
      <c r="AR6" s="167" t="str">
        <f>"#"&amp;L6&amp;" @ "&amp;M6</f>
        <v>#4 @ 8</v>
      </c>
      <c r="AS6" s="275" t="str">
        <f>AJ6</f>
        <v>#4 @ 8</v>
      </c>
      <c r="AT6" s="253">
        <f t="shared" ref="AT6:AT34" si="4">AD6</f>
        <v>-5.1550000000000002</v>
      </c>
      <c r="AU6" s="99">
        <f t="shared" ref="AU6:AU34" si="5">AE6</f>
        <v>8.5375000000000014</v>
      </c>
      <c r="AV6" s="253">
        <f>-V6</f>
        <v>-8.9794117647058851</v>
      </c>
      <c r="AW6" s="108">
        <f>W6</f>
        <v>9.8794117647058837</v>
      </c>
      <c r="AY6" s="156"/>
      <c r="AZ6" s="156"/>
      <c r="BA6" s="156">
        <f>-V6/AD6</f>
        <v>1.7418839504764083</v>
      </c>
      <c r="BB6" s="156">
        <f>W6/AE6</f>
        <v>1.1571785375936612</v>
      </c>
      <c r="BC6" s="144">
        <f>BA6-AY6</f>
        <v>1.7418839504764083</v>
      </c>
      <c r="BD6" s="144">
        <f>BB6-AZ6</f>
        <v>1.1571785375936612</v>
      </c>
    </row>
    <row r="7" spans="1:56" x14ac:dyDescent="0.2">
      <c r="A7" s="2">
        <v>5.25</v>
      </c>
      <c r="B7" s="221">
        <v>8</v>
      </c>
      <c r="C7" s="32">
        <f t="shared" ref="C7:C46" si="6">B7/12*0.15</f>
        <v>9.9999999999999992E-2</v>
      </c>
      <c r="D7" s="253">
        <f t="shared" ref="D7:D46" si="7">-0.1*C7*A7^2</f>
        <v>-0.27562500000000001</v>
      </c>
      <c r="E7" s="99">
        <f t="shared" ref="E7:E46" si="8">0.08*C7*A7^2</f>
        <v>0.2205</v>
      </c>
      <c r="F7" s="253">
        <f t="shared" ref="F7:F46" si="9">-0.1*0.05*A7^2</f>
        <v>-0.13781250000000003</v>
      </c>
      <c r="G7" s="108">
        <f t="shared" ref="G7:G46" si="10">0.08*0.05*A7^2</f>
        <v>0.11025</v>
      </c>
      <c r="H7" s="253">
        <v>-2.89</v>
      </c>
      <c r="I7" s="99">
        <v>4.67</v>
      </c>
      <c r="J7" s="253">
        <f t="shared" ref="J7:K36" si="11">1.25*D7+1.5*F7+1.75*H7</f>
        <v>-5.6087500000000006</v>
      </c>
      <c r="K7" s="108">
        <f t="shared" si="11"/>
        <v>8.6135000000000002</v>
      </c>
      <c r="L7" s="236">
        <f>'Stl-ser gr80'!L6</f>
        <v>4</v>
      </c>
      <c r="M7" s="236">
        <f>'Stl-ser gr80'!M6</f>
        <v>8</v>
      </c>
      <c r="N7" s="297">
        <f>'Stl-ser gr80'!N6</f>
        <v>0.2</v>
      </c>
      <c r="O7" s="236">
        <f>'Stl-ser gr80'!O6</f>
        <v>0.5</v>
      </c>
      <c r="P7" s="43">
        <f t="shared" ref="P7:P46" si="12">N7*12/M7</f>
        <v>0.30000000000000004</v>
      </c>
      <c r="Q7" s="195">
        <f t="shared" ref="Q7:Q46" si="13">B7-2.5-O7/2</f>
        <v>5.25</v>
      </c>
      <c r="R7" s="102">
        <f t="shared" ref="R7:R46" si="14">B7-1.5-O7/2-0.5</f>
        <v>5.75</v>
      </c>
      <c r="S7" s="287">
        <f t="shared" ref="S7:S46" si="15">P7/(12*Q7)</f>
        <v>4.7619047619047623E-3</v>
      </c>
      <c r="T7" s="115">
        <f t="shared" ref="T7:T46" si="16">P7/(12*R7)</f>
        <v>4.3478260869565227E-3</v>
      </c>
      <c r="U7" s="164"/>
      <c r="V7" s="253">
        <f t="shared" ref="V7:V46" si="17">0.9*P7*$W$3*(Q7-0.5*S7*($W$3/(0.85*4.5))*Q7)/12</f>
        <v>8.9794117647058851</v>
      </c>
      <c r="W7" s="108">
        <f t="shared" ref="W7:W46" si="18">0.9*P7*$W$3*(R7-0.5*T7*($W$3/(0.85*4.5))*R7)/12</f>
        <v>9.8794117647058837</v>
      </c>
      <c r="X7" s="253">
        <f t="shared" ref="X7:X46" si="19">0.9*P7*$W$3*(Q7-0.5*S7*($W$3/(0.85*4))*Q7)/12</f>
        <v>8.9205882352941206</v>
      </c>
      <c r="Y7" s="99">
        <f t="shared" ref="Y7:Y46" si="20">0.9*P7*$W$3*(R7-0.5*T7*($W$3/(0.85*4))*R7)/12</f>
        <v>9.8205882352941192</v>
      </c>
      <c r="Z7" s="253">
        <f t="shared" ref="Z7:Z46" si="21">0.9*P7*$W$3*(Q7-0.5*S7*($W$3/(0.85*5))*Q7)/12</f>
        <v>9.0264705882352967</v>
      </c>
      <c r="AA7" s="108">
        <f t="shared" ref="AA7:AA46" si="22">0.9*P7*$W$3*(R7-0.5*T7*($W$3/(0.85*5))*R7)/12</f>
        <v>9.9264705882352953</v>
      </c>
      <c r="AB7" s="3">
        <f t="shared" si="0"/>
        <v>5.25</v>
      </c>
      <c r="AC7" s="55">
        <f t="shared" si="0"/>
        <v>8</v>
      </c>
      <c r="AD7" s="253">
        <f t="shared" si="1"/>
        <v>-5.6087500000000006</v>
      </c>
      <c r="AE7" s="108">
        <f t="shared" si="1"/>
        <v>8.6135000000000002</v>
      </c>
      <c r="AF7" s="201">
        <v>67</v>
      </c>
      <c r="AG7" s="43">
        <f t="shared" si="2"/>
        <v>0.20100000000000001</v>
      </c>
      <c r="AH7" s="24">
        <v>4</v>
      </c>
      <c r="AI7" s="201">
        <v>8</v>
      </c>
      <c r="AJ7" s="218" t="str">
        <f>"#"&amp;AH7&amp;" @ "&amp;AI7</f>
        <v>#4 @ 8</v>
      </c>
      <c r="AK7" s="43">
        <f t="shared" ref="AK7:AK29" si="23">0.2*12/AI7</f>
        <v>0.30000000000000004</v>
      </c>
      <c r="AL7" s="43">
        <f t="shared" ref="AL7:AL46" si="24">AK7/P7</f>
        <v>1</v>
      </c>
      <c r="AM7" s="282">
        <f>2*AK7/(12*B7)</f>
        <v>6.2500000000000012E-3</v>
      </c>
      <c r="AN7" s="272" t="str">
        <f t="shared" ref="AN7:AN46" si="25">"#"&amp;L7&amp;" @ "&amp;M7</f>
        <v>#4 @ 8</v>
      </c>
      <c r="AP7" s="2">
        <f t="shared" si="3"/>
        <v>5.25</v>
      </c>
      <c r="AQ7" s="55">
        <f t="shared" si="3"/>
        <v>8</v>
      </c>
      <c r="AR7" s="167" t="str">
        <f t="shared" ref="AR7:AR46" si="26">"#"&amp;L7&amp;" @ "&amp;M7</f>
        <v>#4 @ 8</v>
      </c>
      <c r="AS7" s="169" t="str">
        <f t="shared" ref="AS7:AS46" si="27">AJ7</f>
        <v>#4 @ 8</v>
      </c>
      <c r="AT7" s="253">
        <f t="shared" si="4"/>
        <v>-5.6087500000000006</v>
      </c>
      <c r="AU7" s="99">
        <f t="shared" si="5"/>
        <v>8.6135000000000002</v>
      </c>
      <c r="AV7" s="253">
        <f t="shared" ref="AV7:AV46" si="28">-V7</f>
        <v>-8.9794117647058851</v>
      </c>
      <c r="AW7" s="108">
        <f t="shared" ref="AW7:AW46" si="29">W7</f>
        <v>9.8794117647058837</v>
      </c>
      <c r="AY7" s="156"/>
      <c r="AZ7" s="156"/>
      <c r="BA7" s="156">
        <f t="shared" ref="BA7:BA46" si="30">-V7/AD7</f>
        <v>1.600964878931292</v>
      </c>
      <c r="BB7" s="156">
        <f t="shared" ref="BB7:BB46" si="31">W7/AE7</f>
        <v>1.1469683362983554</v>
      </c>
      <c r="BC7" s="144">
        <f t="shared" ref="BC7:BD46" si="32">BA7-AY7</f>
        <v>1.600964878931292</v>
      </c>
      <c r="BD7" s="144">
        <f t="shared" si="32"/>
        <v>1.1469683362983554</v>
      </c>
    </row>
    <row r="8" spans="1:56" x14ac:dyDescent="0.2">
      <c r="A8" s="2">
        <v>5.5</v>
      </c>
      <c r="B8" s="221">
        <v>8</v>
      </c>
      <c r="C8" s="32">
        <f t="shared" si="6"/>
        <v>9.9999999999999992E-2</v>
      </c>
      <c r="D8" s="253">
        <f t="shared" si="7"/>
        <v>-0.30249999999999999</v>
      </c>
      <c r="E8" s="99">
        <f t="shared" si="8"/>
        <v>0.24199999999999999</v>
      </c>
      <c r="F8" s="253">
        <f t="shared" si="9"/>
        <v>-0.15125000000000002</v>
      </c>
      <c r="G8" s="108">
        <f t="shared" si="10"/>
        <v>0.121</v>
      </c>
      <c r="H8" s="253">
        <v>-3.11</v>
      </c>
      <c r="I8" s="99">
        <v>4.71</v>
      </c>
      <c r="J8" s="253">
        <f t="shared" si="11"/>
        <v>-6.0474999999999994</v>
      </c>
      <c r="K8" s="108">
        <f t="shared" si="11"/>
        <v>8.7264999999999997</v>
      </c>
      <c r="L8" s="236">
        <f>'Stl-ser gr80'!L7</f>
        <v>4</v>
      </c>
      <c r="M8" s="236">
        <f>'Stl-ser gr80'!M7</f>
        <v>7.5</v>
      </c>
      <c r="N8" s="297">
        <f>'Stl-ser gr80'!N7</f>
        <v>0.2</v>
      </c>
      <c r="O8" s="236">
        <f>'Stl-ser gr80'!O7</f>
        <v>0.5</v>
      </c>
      <c r="P8" s="43">
        <f t="shared" si="12"/>
        <v>0.32000000000000006</v>
      </c>
      <c r="Q8" s="195">
        <f t="shared" si="13"/>
        <v>5.25</v>
      </c>
      <c r="R8" s="102">
        <f t="shared" si="14"/>
        <v>5.75</v>
      </c>
      <c r="S8" s="287">
        <f t="shared" si="15"/>
        <v>5.0793650793650802E-3</v>
      </c>
      <c r="T8" s="115">
        <f t="shared" si="16"/>
        <v>4.6376811594202906E-3</v>
      </c>
      <c r="U8" s="164"/>
      <c r="V8" s="253">
        <f t="shared" si="17"/>
        <v>9.5445751633986955</v>
      </c>
      <c r="W8" s="108">
        <f t="shared" si="18"/>
        <v>10.504575163398696</v>
      </c>
      <c r="X8" s="253">
        <f t="shared" si="19"/>
        <v>9.477647058823532</v>
      </c>
      <c r="Y8" s="99">
        <f t="shared" si="20"/>
        <v>10.437647058823533</v>
      </c>
      <c r="Z8" s="253">
        <f t="shared" si="21"/>
        <v>9.5981176470588263</v>
      </c>
      <c r="AA8" s="108">
        <f t="shared" si="22"/>
        <v>10.558117647058827</v>
      </c>
      <c r="AB8" s="3">
        <f t="shared" si="0"/>
        <v>5.5</v>
      </c>
      <c r="AC8" s="55">
        <f t="shared" si="0"/>
        <v>8</v>
      </c>
      <c r="AD8" s="253">
        <f t="shared" si="1"/>
        <v>-6.0474999999999994</v>
      </c>
      <c r="AE8" s="108">
        <f t="shared" si="1"/>
        <v>8.7264999999999997</v>
      </c>
      <c r="AF8" s="201">
        <v>67</v>
      </c>
      <c r="AG8" s="43">
        <f t="shared" si="2"/>
        <v>0.21440000000000003</v>
      </c>
      <c r="AH8" s="24">
        <v>4</v>
      </c>
      <c r="AI8" s="201">
        <v>8</v>
      </c>
      <c r="AJ8" s="218" t="str">
        <f t="shared" ref="AJ8:AJ46" si="33">"#"&amp;AH8&amp;" @ "&amp;AI8</f>
        <v>#4 @ 8</v>
      </c>
      <c r="AK8" s="43">
        <f t="shared" si="23"/>
        <v>0.30000000000000004</v>
      </c>
      <c r="AL8" s="43">
        <f t="shared" si="24"/>
        <v>0.9375</v>
      </c>
      <c r="AM8" s="282">
        <f t="shared" ref="AM8:AM46" si="34">2*AK8/(12*B8)</f>
        <v>6.2500000000000012E-3</v>
      </c>
      <c r="AN8" s="272" t="str">
        <f t="shared" si="25"/>
        <v>#4 @ 7.5</v>
      </c>
      <c r="AP8" s="2">
        <f t="shared" si="3"/>
        <v>5.5</v>
      </c>
      <c r="AQ8" s="55">
        <f t="shared" si="3"/>
        <v>8</v>
      </c>
      <c r="AR8" s="167" t="str">
        <f t="shared" si="26"/>
        <v>#4 @ 7.5</v>
      </c>
      <c r="AS8" s="169" t="str">
        <f t="shared" si="27"/>
        <v>#4 @ 8</v>
      </c>
      <c r="AT8" s="253">
        <f t="shared" si="4"/>
        <v>-6.0474999999999994</v>
      </c>
      <c r="AU8" s="99">
        <f t="shared" si="5"/>
        <v>8.7264999999999997</v>
      </c>
      <c r="AV8" s="253">
        <f t="shared" si="28"/>
        <v>-9.5445751633986955</v>
      </c>
      <c r="AW8" s="108">
        <f t="shared" si="29"/>
        <v>10.504575163398696</v>
      </c>
      <c r="AY8" s="156"/>
      <c r="AZ8" s="156"/>
      <c r="BA8" s="156">
        <f t="shared" si="30"/>
        <v>1.5782679063081764</v>
      </c>
      <c r="BB8" s="156">
        <f t="shared" si="31"/>
        <v>1.2037558200193315</v>
      </c>
      <c r="BC8" s="144">
        <f t="shared" si="32"/>
        <v>1.5782679063081764</v>
      </c>
      <c r="BD8" s="144">
        <f t="shared" si="32"/>
        <v>1.2037558200193315</v>
      </c>
    </row>
    <row r="9" spans="1:56" x14ac:dyDescent="0.2">
      <c r="A9" s="2">
        <v>5.75</v>
      </c>
      <c r="B9" s="222">
        <v>8</v>
      </c>
      <c r="C9" s="32">
        <f t="shared" si="6"/>
        <v>9.9999999999999992E-2</v>
      </c>
      <c r="D9" s="253">
        <f t="shared" si="7"/>
        <v>-0.330625</v>
      </c>
      <c r="E9" s="99">
        <f t="shared" si="8"/>
        <v>0.26450000000000001</v>
      </c>
      <c r="F9" s="253">
        <f t="shared" si="9"/>
        <v>-0.16531250000000003</v>
      </c>
      <c r="G9" s="108">
        <f t="shared" si="10"/>
        <v>0.13225000000000001</v>
      </c>
      <c r="H9" s="253">
        <v>-3.31</v>
      </c>
      <c r="I9" s="99">
        <v>4.7699999999999996</v>
      </c>
      <c r="J9" s="253">
        <f t="shared" si="11"/>
        <v>-6.4537500000000003</v>
      </c>
      <c r="K9" s="108">
        <f t="shared" si="11"/>
        <v>8.8765000000000001</v>
      </c>
      <c r="L9" s="238">
        <f>'Stl-ser gr80'!L8</f>
        <v>4</v>
      </c>
      <c r="M9" s="238">
        <f>'Stl-ser gr80'!M8</f>
        <v>7.5</v>
      </c>
      <c r="N9" s="298">
        <f>'Stl-ser gr80'!N8</f>
        <v>0.2</v>
      </c>
      <c r="O9" s="238">
        <f>'Stl-ser gr80'!O8</f>
        <v>0.5</v>
      </c>
      <c r="P9" s="44">
        <f t="shared" si="12"/>
        <v>0.32000000000000006</v>
      </c>
      <c r="Q9" s="257">
        <f t="shared" si="13"/>
        <v>5.25</v>
      </c>
      <c r="R9" s="104">
        <f t="shared" si="14"/>
        <v>5.75</v>
      </c>
      <c r="S9" s="287">
        <f t="shared" si="15"/>
        <v>5.0793650793650802E-3</v>
      </c>
      <c r="T9" s="115">
        <f t="shared" si="16"/>
        <v>4.6376811594202906E-3</v>
      </c>
      <c r="U9" s="164"/>
      <c r="V9" s="61">
        <f t="shared" si="17"/>
        <v>9.5445751633986955</v>
      </c>
      <c r="W9" s="110">
        <f t="shared" si="18"/>
        <v>10.504575163398696</v>
      </c>
      <c r="X9" s="61">
        <f t="shared" si="19"/>
        <v>9.477647058823532</v>
      </c>
      <c r="Y9" s="101">
        <f t="shared" si="20"/>
        <v>10.437647058823533</v>
      </c>
      <c r="Z9" s="61">
        <f t="shared" si="21"/>
        <v>9.5981176470588263</v>
      </c>
      <c r="AA9" s="110">
        <f t="shared" si="22"/>
        <v>10.558117647058827</v>
      </c>
      <c r="AB9" s="3">
        <f t="shared" si="0"/>
        <v>5.75</v>
      </c>
      <c r="AC9" s="55">
        <f t="shared" si="0"/>
        <v>8</v>
      </c>
      <c r="AD9" s="253">
        <f t="shared" si="1"/>
        <v>-6.4537500000000003</v>
      </c>
      <c r="AE9" s="108">
        <f t="shared" si="1"/>
        <v>8.8765000000000001</v>
      </c>
      <c r="AF9" s="201">
        <v>67</v>
      </c>
      <c r="AG9" s="43">
        <f t="shared" si="2"/>
        <v>0.21440000000000003</v>
      </c>
      <c r="AH9" s="24">
        <v>4</v>
      </c>
      <c r="AI9" s="245">
        <v>8</v>
      </c>
      <c r="AJ9" s="219" t="str">
        <f t="shared" si="33"/>
        <v>#4 @ 8</v>
      </c>
      <c r="AK9" s="44">
        <f t="shared" si="23"/>
        <v>0.30000000000000004</v>
      </c>
      <c r="AL9" s="44">
        <f t="shared" si="24"/>
        <v>0.9375</v>
      </c>
      <c r="AM9" s="282">
        <f t="shared" si="34"/>
        <v>6.2500000000000012E-3</v>
      </c>
      <c r="AN9" s="219" t="str">
        <f t="shared" si="25"/>
        <v>#4 @ 7.5</v>
      </c>
      <c r="AP9" s="2">
        <f t="shared" si="3"/>
        <v>5.75</v>
      </c>
      <c r="AQ9" s="55">
        <f t="shared" si="3"/>
        <v>8</v>
      </c>
      <c r="AR9" s="175" t="str">
        <f t="shared" si="26"/>
        <v>#4 @ 7.5</v>
      </c>
      <c r="AS9" s="169" t="str">
        <f t="shared" si="27"/>
        <v>#4 @ 8</v>
      </c>
      <c r="AT9" s="253">
        <f t="shared" si="4"/>
        <v>-6.4537500000000003</v>
      </c>
      <c r="AU9" s="99">
        <f t="shared" si="5"/>
        <v>8.8765000000000001</v>
      </c>
      <c r="AV9" s="61">
        <f t="shared" si="28"/>
        <v>-9.5445751633986955</v>
      </c>
      <c r="AW9" s="110">
        <f t="shared" si="29"/>
        <v>10.504575163398696</v>
      </c>
      <c r="AY9" s="156"/>
      <c r="AZ9" s="156"/>
      <c r="BA9" s="156">
        <f t="shared" si="30"/>
        <v>1.4789192583224784</v>
      </c>
      <c r="BB9" s="156">
        <f t="shared" si="31"/>
        <v>1.1834140892692724</v>
      </c>
      <c r="BC9" s="144">
        <f t="shared" si="32"/>
        <v>1.4789192583224784</v>
      </c>
      <c r="BD9" s="144">
        <f t="shared" si="32"/>
        <v>1.1834140892692724</v>
      </c>
    </row>
    <row r="10" spans="1:56" x14ac:dyDescent="0.2">
      <c r="A10" s="17">
        <v>6</v>
      </c>
      <c r="B10" s="221">
        <v>8</v>
      </c>
      <c r="C10" s="42">
        <f t="shared" si="6"/>
        <v>9.9999999999999992E-2</v>
      </c>
      <c r="D10" s="255">
        <f t="shared" si="7"/>
        <v>-0.36</v>
      </c>
      <c r="E10" s="100">
        <f t="shared" si="8"/>
        <v>0.28800000000000003</v>
      </c>
      <c r="F10" s="255">
        <f t="shared" si="9"/>
        <v>-0.18000000000000005</v>
      </c>
      <c r="G10" s="109">
        <f t="shared" si="10"/>
        <v>0.14400000000000002</v>
      </c>
      <c r="H10" s="255">
        <v>-3.5</v>
      </c>
      <c r="I10" s="100">
        <v>4.83</v>
      </c>
      <c r="J10" s="255">
        <f t="shared" si="11"/>
        <v>-6.8449999999999998</v>
      </c>
      <c r="K10" s="109">
        <f t="shared" si="11"/>
        <v>9.0285000000000011</v>
      </c>
      <c r="L10" s="236">
        <f>'Stl-ser gr80'!L9</f>
        <v>4</v>
      </c>
      <c r="M10" s="236">
        <f>'Stl-ser gr80'!M9</f>
        <v>7</v>
      </c>
      <c r="N10" s="297">
        <f>'Stl-ser gr80'!N9</f>
        <v>0.2</v>
      </c>
      <c r="O10" s="236">
        <f>'Stl-ser gr80'!O9</f>
        <v>0.5</v>
      </c>
      <c r="P10" s="43">
        <f t="shared" si="12"/>
        <v>0.34285714285714292</v>
      </c>
      <c r="Q10" s="195">
        <f t="shared" si="13"/>
        <v>5.25</v>
      </c>
      <c r="R10" s="102">
        <f t="shared" si="14"/>
        <v>5.75</v>
      </c>
      <c r="S10" s="288">
        <f t="shared" si="15"/>
        <v>5.4421768707483007E-3</v>
      </c>
      <c r="T10" s="116">
        <f t="shared" si="16"/>
        <v>4.968944099378883E-3</v>
      </c>
      <c r="U10" s="164"/>
      <c r="V10" s="253">
        <f t="shared" si="17"/>
        <v>10.185354141656665</v>
      </c>
      <c r="W10" s="108">
        <f t="shared" si="18"/>
        <v>11.213925570228094</v>
      </c>
      <c r="X10" s="253">
        <f t="shared" si="19"/>
        <v>10.108523409363748</v>
      </c>
      <c r="Y10" s="99">
        <f t="shared" si="20"/>
        <v>11.137094837935178</v>
      </c>
      <c r="Z10" s="253">
        <f t="shared" si="21"/>
        <v>10.246818727490998</v>
      </c>
      <c r="AA10" s="108">
        <f t="shared" si="22"/>
        <v>11.275390156062427</v>
      </c>
      <c r="AB10" s="18">
        <f t="shared" si="0"/>
        <v>6</v>
      </c>
      <c r="AC10" s="56">
        <f t="shared" si="0"/>
        <v>8</v>
      </c>
      <c r="AD10" s="255">
        <f t="shared" si="1"/>
        <v>-6.8449999999999998</v>
      </c>
      <c r="AE10" s="109">
        <f t="shared" si="1"/>
        <v>9.0285000000000011</v>
      </c>
      <c r="AF10" s="244">
        <v>67</v>
      </c>
      <c r="AG10" s="42">
        <f t="shared" si="2"/>
        <v>0.22971428571428576</v>
      </c>
      <c r="AH10" s="28">
        <v>4</v>
      </c>
      <c r="AI10" s="201">
        <v>8</v>
      </c>
      <c r="AJ10" s="218" t="str">
        <f t="shared" si="33"/>
        <v>#4 @ 8</v>
      </c>
      <c r="AK10" s="43">
        <f t="shared" si="23"/>
        <v>0.30000000000000004</v>
      </c>
      <c r="AL10" s="43">
        <f t="shared" si="24"/>
        <v>0.875</v>
      </c>
      <c r="AM10" s="283">
        <f t="shared" si="34"/>
        <v>6.2500000000000012E-3</v>
      </c>
      <c r="AN10" s="272" t="str">
        <f t="shared" si="25"/>
        <v>#4 @ 7</v>
      </c>
      <c r="AP10" s="17">
        <f t="shared" si="3"/>
        <v>6</v>
      </c>
      <c r="AQ10" s="56">
        <f t="shared" si="3"/>
        <v>8</v>
      </c>
      <c r="AR10" s="167" t="str">
        <f t="shared" si="26"/>
        <v>#4 @ 7</v>
      </c>
      <c r="AS10" s="174" t="str">
        <f t="shared" si="27"/>
        <v>#4 @ 8</v>
      </c>
      <c r="AT10" s="255">
        <f t="shared" si="4"/>
        <v>-6.8449999999999998</v>
      </c>
      <c r="AU10" s="100">
        <f t="shared" si="5"/>
        <v>9.0285000000000011</v>
      </c>
      <c r="AV10" s="253">
        <f t="shared" si="28"/>
        <v>-10.185354141656665</v>
      </c>
      <c r="AW10" s="108">
        <f t="shared" si="29"/>
        <v>11.213925570228094</v>
      </c>
      <c r="AY10" s="156"/>
      <c r="AZ10" s="156"/>
      <c r="BA10" s="156">
        <f t="shared" si="30"/>
        <v>1.487999144142683</v>
      </c>
      <c r="BB10" s="156">
        <f t="shared" si="31"/>
        <v>1.2420585446340027</v>
      </c>
      <c r="BC10" s="144">
        <f t="shared" si="32"/>
        <v>1.487999144142683</v>
      </c>
      <c r="BD10" s="144">
        <f t="shared" si="32"/>
        <v>1.2420585446340027</v>
      </c>
    </row>
    <row r="11" spans="1:56" x14ac:dyDescent="0.2">
      <c r="A11" s="2">
        <v>6.25</v>
      </c>
      <c r="B11" s="221">
        <v>8</v>
      </c>
      <c r="C11" s="43">
        <f t="shared" si="6"/>
        <v>9.9999999999999992E-2</v>
      </c>
      <c r="D11" s="253">
        <f t="shared" si="7"/>
        <v>-0.390625</v>
      </c>
      <c r="E11" s="99">
        <f t="shared" si="8"/>
        <v>0.3125</v>
      </c>
      <c r="F11" s="253">
        <f t="shared" si="9"/>
        <v>-0.19531250000000003</v>
      </c>
      <c r="G11" s="108">
        <f t="shared" si="10"/>
        <v>0.15625</v>
      </c>
      <c r="H11" s="253">
        <v>-3.68</v>
      </c>
      <c r="I11" s="99">
        <v>4.91</v>
      </c>
      <c r="J11" s="253">
        <f t="shared" si="11"/>
        <v>-7.2212500000000004</v>
      </c>
      <c r="K11" s="108">
        <f t="shared" si="11"/>
        <v>9.2175000000000011</v>
      </c>
      <c r="L11" s="236">
        <f>'Stl-ser gr80'!L10</f>
        <v>4</v>
      </c>
      <c r="M11" s="236">
        <f>'Stl-ser gr80'!M10</f>
        <v>7</v>
      </c>
      <c r="N11" s="297">
        <f>'Stl-ser gr80'!N10</f>
        <v>0.2</v>
      </c>
      <c r="O11" s="236">
        <f>'Stl-ser gr80'!O10</f>
        <v>0.5</v>
      </c>
      <c r="P11" s="43">
        <f t="shared" si="12"/>
        <v>0.34285714285714292</v>
      </c>
      <c r="Q11" s="195">
        <f t="shared" si="13"/>
        <v>5.25</v>
      </c>
      <c r="R11" s="102">
        <f t="shared" si="14"/>
        <v>5.75</v>
      </c>
      <c r="S11" s="287">
        <f t="shared" si="15"/>
        <v>5.4421768707483007E-3</v>
      </c>
      <c r="T11" s="115">
        <f t="shared" si="16"/>
        <v>4.968944099378883E-3</v>
      </c>
      <c r="U11" s="164"/>
      <c r="V11" s="253">
        <f t="shared" si="17"/>
        <v>10.185354141656665</v>
      </c>
      <c r="W11" s="108">
        <f t="shared" si="18"/>
        <v>11.213925570228094</v>
      </c>
      <c r="X11" s="253">
        <f t="shared" si="19"/>
        <v>10.108523409363748</v>
      </c>
      <c r="Y11" s="99">
        <f t="shared" si="20"/>
        <v>11.137094837935178</v>
      </c>
      <c r="Z11" s="253">
        <f t="shared" si="21"/>
        <v>10.246818727490998</v>
      </c>
      <c r="AA11" s="108">
        <f t="shared" si="22"/>
        <v>11.275390156062427</v>
      </c>
      <c r="AB11" s="3">
        <f t="shared" si="0"/>
        <v>6.25</v>
      </c>
      <c r="AC11" s="55">
        <f t="shared" si="0"/>
        <v>8</v>
      </c>
      <c r="AD11" s="253">
        <f t="shared" si="1"/>
        <v>-7.2212500000000004</v>
      </c>
      <c r="AE11" s="108">
        <f t="shared" si="1"/>
        <v>9.2175000000000011</v>
      </c>
      <c r="AF11" s="201">
        <v>67</v>
      </c>
      <c r="AG11" s="43">
        <f t="shared" si="2"/>
        <v>0.22971428571428576</v>
      </c>
      <c r="AH11" s="24">
        <v>4</v>
      </c>
      <c r="AI11" s="201">
        <v>8</v>
      </c>
      <c r="AJ11" s="218" t="str">
        <f t="shared" si="33"/>
        <v>#4 @ 8</v>
      </c>
      <c r="AK11" s="43">
        <f t="shared" si="23"/>
        <v>0.30000000000000004</v>
      </c>
      <c r="AL11" s="43">
        <f t="shared" si="24"/>
        <v>0.875</v>
      </c>
      <c r="AM11" s="282">
        <f t="shared" si="34"/>
        <v>6.2500000000000012E-3</v>
      </c>
      <c r="AN11" s="272" t="str">
        <f t="shared" si="25"/>
        <v>#4 @ 7</v>
      </c>
      <c r="AP11" s="2">
        <f t="shared" si="3"/>
        <v>6.25</v>
      </c>
      <c r="AQ11" s="55">
        <f t="shared" si="3"/>
        <v>8</v>
      </c>
      <c r="AR11" s="167" t="str">
        <f t="shared" si="26"/>
        <v>#4 @ 7</v>
      </c>
      <c r="AS11" s="169" t="str">
        <f t="shared" si="27"/>
        <v>#4 @ 8</v>
      </c>
      <c r="AT11" s="253">
        <f t="shared" si="4"/>
        <v>-7.2212500000000004</v>
      </c>
      <c r="AU11" s="99">
        <f t="shared" si="5"/>
        <v>9.2175000000000011</v>
      </c>
      <c r="AV11" s="253">
        <f t="shared" si="28"/>
        <v>-10.185354141656665</v>
      </c>
      <c r="AW11" s="108">
        <f t="shared" si="29"/>
        <v>11.213925570228094</v>
      </c>
      <c r="AY11" s="156"/>
      <c r="AZ11" s="156"/>
      <c r="BA11" s="156">
        <f t="shared" si="30"/>
        <v>1.4104696751471926</v>
      </c>
      <c r="BB11" s="156">
        <f t="shared" si="31"/>
        <v>1.2165907860296277</v>
      </c>
      <c r="BC11" s="144">
        <f t="shared" si="32"/>
        <v>1.4104696751471926</v>
      </c>
      <c r="BD11" s="144">
        <f t="shared" si="32"/>
        <v>1.2165907860296277</v>
      </c>
    </row>
    <row r="12" spans="1:56" x14ac:dyDescent="0.2">
      <c r="A12" s="2">
        <v>6.5</v>
      </c>
      <c r="B12" s="221">
        <v>8</v>
      </c>
      <c r="C12" s="43">
        <f t="shared" si="6"/>
        <v>9.9999999999999992E-2</v>
      </c>
      <c r="D12" s="253">
        <f t="shared" si="7"/>
        <v>-0.42249999999999999</v>
      </c>
      <c r="E12" s="99">
        <f t="shared" si="8"/>
        <v>0.33800000000000002</v>
      </c>
      <c r="F12" s="253">
        <f t="shared" si="9"/>
        <v>-0.21125000000000005</v>
      </c>
      <c r="G12" s="108">
        <f t="shared" si="10"/>
        <v>0.16900000000000001</v>
      </c>
      <c r="H12" s="253">
        <v>-3.84</v>
      </c>
      <c r="I12" s="99">
        <v>5</v>
      </c>
      <c r="J12" s="253">
        <f t="shared" si="11"/>
        <v>-7.5649999999999995</v>
      </c>
      <c r="K12" s="108">
        <f t="shared" si="11"/>
        <v>9.4260000000000002</v>
      </c>
      <c r="L12" s="236">
        <f>'Stl-ser gr80'!L11</f>
        <v>4</v>
      </c>
      <c r="M12" s="236">
        <f>'Stl-ser gr80'!M11</f>
        <v>6.5</v>
      </c>
      <c r="N12" s="297">
        <f>'Stl-ser gr80'!N11</f>
        <v>0.2</v>
      </c>
      <c r="O12" s="236">
        <f>'Stl-ser gr80'!O11</f>
        <v>0.5</v>
      </c>
      <c r="P12" s="43">
        <f t="shared" si="12"/>
        <v>0.36923076923076931</v>
      </c>
      <c r="Q12" s="195">
        <f t="shared" si="13"/>
        <v>5.25</v>
      </c>
      <c r="R12" s="102">
        <f t="shared" si="14"/>
        <v>5.75</v>
      </c>
      <c r="S12" s="287">
        <f t="shared" si="15"/>
        <v>5.8608058608058617E-3</v>
      </c>
      <c r="T12" s="115">
        <f t="shared" si="16"/>
        <v>5.3511705685618744E-3</v>
      </c>
      <c r="U12" s="164"/>
      <c r="V12" s="253">
        <f t="shared" si="17"/>
        <v>10.917925513400631</v>
      </c>
      <c r="W12" s="108">
        <f t="shared" si="18"/>
        <v>12.025617821092936</v>
      </c>
      <c r="X12" s="253">
        <f t="shared" si="19"/>
        <v>10.828820048729552</v>
      </c>
      <c r="Y12" s="99">
        <f t="shared" si="20"/>
        <v>11.93651235642186</v>
      </c>
      <c r="Z12" s="253">
        <f t="shared" si="21"/>
        <v>10.989209885137489</v>
      </c>
      <c r="AA12" s="108">
        <f t="shared" si="22"/>
        <v>12.096902192829797</v>
      </c>
      <c r="AB12" s="3">
        <f t="shared" si="0"/>
        <v>6.5</v>
      </c>
      <c r="AC12" s="55">
        <f t="shared" si="0"/>
        <v>8</v>
      </c>
      <c r="AD12" s="253">
        <f t="shared" si="1"/>
        <v>-7.5649999999999995</v>
      </c>
      <c r="AE12" s="108">
        <f t="shared" si="1"/>
        <v>9.4260000000000002</v>
      </c>
      <c r="AF12" s="201">
        <v>67</v>
      </c>
      <c r="AG12" s="43">
        <f t="shared" si="2"/>
        <v>0.24738461538461542</v>
      </c>
      <c r="AH12" s="24">
        <v>4</v>
      </c>
      <c r="AI12" s="201">
        <v>8</v>
      </c>
      <c r="AJ12" s="218" t="str">
        <f t="shared" si="33"/>
        <v>#4 @ 8</v>
      </c>
      <c r="AK12" s="43">
        <f t="shared" si="23"/>
        <v>0.30000000000000004</v>
      </c>
      <c r="AL12" s="43">
        <f t="shared" si="24"/>
        <v>0.8125</v>
      </c>
      <c r="AM12" s="282">
        <f t="shared" si="34"/>
        <v>6.2500000000000012E-3</v>
      </c>
      <c r="AN12" s="272" t="str">
        <f t="shared" si="25"/>
        <v>#4 @ 6.5</v>
      </c>
      <c r="AP12" s="2">
        <f t="shared" si="3"/>
        <v>6.5</v>
      </c>
      <c r="AQ12" s="55">
        <f t="shared" si="3"/>
        <v>8</v>
      </c>
      <c r="AR12" s="167" t="str">
        <f t="shared" si="26"/>
        <v>#4 @ 6.5</v>
      </c>
      <c r="AS12" s="169" t="str">
        <f t="shared" si="27"/>
        <v>#4 @ 8</v>
      </c>
      <c r="AT12" s="253">
        <f t="shared" si="4"/>
        <v>-7.5649999999999995</v>
      </c>
      <c r="AU12" s="99">
        <f t="shared" si="5"/>
        <v>9.4260000000000002</v>
      </c>
      <c r="AV12" s="253">
        <f t="shared" si="28"/>
        <v>-10.917925513400631</v>
      </c>
      <c r="AW12" s="108">
        <f t="shared" si="29"/>
        <v>12.025617821092936</v>
      </c>
      <c r="AY12" s="156"/>
      <c r="AZ12" s="156"/>
      <c r="BA12" s="156">
        <f t="shared" si="30"/>
        <v>1.4432155338269175</v>
      </c>
      <c r="BB12" s="156">
        <f t="shared" si="31"/>
        <v>1.2757922577013512</v>
      </c>
      <c r="BC12" s="144">
        <f t="shared" si="32"/>
        <v>1.4432155338269175</v>
      </c>
      <c r="BD12" s="144">
        <f t="shared" si="32"/>
        <v>1.2757922577013512</v>
      </c>
    </row>
    <row r="13" spans="1:56" x14ac:dyDescent="0.2">
      <c r="A13" s="8">
        <v>6.75</v>
      </c>
      <c r="B13" s="222">
        <v>8</v>
      </c>
      <c r="C13" s="44">
        <f t="shared" si="6"/>
        <v>9.9999999999999992E-2</v>
      </c>
      <c r="D13" s="61">
        <f t="shared" si="7"/>
        <v>-0.455625</v>
      </c>
      <c r="E13" s="101">
        <f t="shared" si="8"/>
        <v>0.36449999999999999</v>
      </c>
      <c r="F13" s="61">
        <f t="shared" si="9"/>
        <v>-0.22781250000000006</v>
      </c>
      <c r="G13" s="110">
        <f t="shared" si="10"/>
        <v>0.18225</v>
      </c>
      <c r="H13" s="61">
        <v>-3.99</v>
      </c>
      <c r="I13" s="101">
        <v>5.0999999999999996</v>
      </c>
      <c r="J13" s="61">
        <f t="shared" si="11"/>
        <v>-7.8937499999999998</v>
      </c>
      <c r="K13" s="110">
        <f t="shared" si="11"/>
        <v>9.6539999999999981</v>
      </c>
      <c r="L13" s="238">
        <f>'Stl-ser gr80'!L12</f>
        <v>4</v>
      </c>
      <c r="M13" s="238">
        <f>'Stl-ser gr80'!M12</f>
        <v>6.5</v>
      </c>
      <c r="N13" s="298">
        <f>'Stl-ser gr80'!N12</f>
        <v>0.2</v>
      </c>
      <c r="O13" s="238">
        <f>'Stl-ser gr80'!O12</f>
        <v>0.5</v>
      </c>
      <c r="P13" s="44">
        <f t="shared" si="12"/>
        <v>0.36923076923076931</v>
      </c>
      <c r="Q13" s="257">
        <f t="shared" si="13"/>
        <v>5.25</v>
      </c>
      <c r="R13" s="104">
        <f t="shared" si="14"/>
        <v>5.75</v>
      </c>
      <c r="S13" s="289">
        <f t="shared" si="15"/>
        <v>5.8608058608058617E-3</v>
      </c>
      <c r="T13" s="117">
        <f t="shared" si="16"/>
        <v>5.3511705685618744E-3</v>
      </c>
      <c r="U13" s="164"/>
      <c r="V13" s="61">
        <f t="shared" si="17"/>
        <v>10.917925513400631</v>
      </c>
      <c r="W13" s="110">
        <f t="shared" si="18"/>
        <v>12.025617821092936</v>
      </c>
      <c r="X13" s="61">
        <f t="shared" si="19"/>
        <v>10.828820048729552</v>
      </c>
      <c r="Y13" s="101">
        <f t="shared" si="20"/>
        <v>11.93651235642186</v>
      </c>
      <c r="Z13" s="61">
        <f t="shared" si="21"/>
        <v>10.989209885137489</v>
      </c>
      <c r="AA13" s="110">
        <f t="shared" si="22"/>
        <v>12.096902192829797</v>
      </c>
      <c r="AB13" s="9">
        <f t="shared" si="0"/>
        <v>6.75</v>
      </c>
      <c r="AC13" s="57">
        <f t="shared" si="0"/>
        <v>8</v>
      </c>
      <c r="AD13" s="61">
        <f t="shared" si="1"/>
        <v>-7.8937499999999998</v>
      </c>
      <c r="AE13" s="110">
        <f t="shared" si="1"/>
        <v>9.6539999999999981</v>
      </c>
      <c r="AF13" s="245">
        <v>67</v>
      </c>
      <c r="AG13" s="44">
        <f t="shared" si="2"/>
        <v>0.24738461538461542</v>
      </c>
      <c r="AH13" s="26">
        <v>4</v>
      </c>
      <c r="AI13" s="245">
        <v>8</v>
      </c>
      <c r="AJ13" s="219" t="str">
        <f t="shared" si="33"/>
        <v>#4 @ 8</v>
      </c>
      <c r="AK13" s="44">
        <f t="shared" si="23"/>
        <v>0.30000000000000004</v>
      </c>
      <c r="AL13" s="44">
        <f t="shared" si="24"/>
        <v>0.8125</v>
      </c>
      <c r="AM13" s="284">
        <f t="shared" si="34"/>
        <v>6.2500000000000012E-3</v>
      </c>
      <c r="AN13" s="219" t="str">
        <f t="shared" si="25"/>
        <v>#4 @ 6.5</v>
      </c>
      <c r="AP13" s="8">
        <f t="shared" si="3"/>
        <v>6.75</v>
      </c>
      <c r="AQ13" s="57">
        <f t="shared" si="3"/>
        <v>8</v>
      </c>
      <c r="AR13" s="175" t="str">
        <f t="shared" si="26"/>
        <v>#4 @ 6.5</v>
      </c>
      <c r="AS13" s="175" t="str">
        <f t="shared" si="27"/>
        <v>#4 @ 8</v>
      </c>
      <c r="AT13" s="61">
        <f t="shared" si="4"/>
        <v>-7.8937499999999998</v>
      </c>
      <c r="AU13" s="101">
        <f t="shared" si="5"/>
        <v>9.6539999999999981</v>
      </c>
      <c r="AV13" s="61">
        <f t="shared" si="28"/>
        <v>-10.917925513400631</v>
      </c>
      <c r="AW13" s="110">
        <f t="shared" si="29"/>
        <v>12.025617821092936</v>
      </c>
      <c r="AY13" s="156"/>
      <c r="AZ13" s="156"/>
      <c r="BA13" s="156">
        <f t="shared" si="30"/>
        <v>1.3831101204624712</v>
      </c>
      <c r="BB13" s="156">
        <f t="shared" si="31"/>
        <v>1.2456616761024382</v>
      </c>
      <c r="BC13" s="144">
        <f t="shared" si="32"/>
        <v>1.3831101204624712</v>
      </c>
      <c r="BD13" s="144">
        <f t="shared" si="32"/>
        <v>1.2456616761024382</v>
      </c>
    </row>
    <row r="14" spans="1:56" x14ac:dyDescent="0.2">
      <c r="A14" s="2">
        <v>7</v>
      </c>
      <c r="B14" s="221">
        <v>8</v>
      </c>
      <c r="C14" s="32">
        <f t="shared" si="6"/>
        <v>9.9999999999999992E-2</v>
      </c>
      <c r="D14" s="253">
        <f t="shared" si="7"/>
        <v>-0.49</v>
      </c>
      <c r="E14" s="99">
        <f t="shared" si="8"/>
        <v>0.39200000000000002</v>
      </c>
      <c r="F14" s="253">
        <f t="shared" si="9"/>
        <v>-0.24500000000000005</v>
      </c>
      <c r="G14" s="108">
        <f t="shared" si="10"/>
        <v>0.19600000000000001</v>
      </c>
      <c r="H14" s="253">
        <v>-4.3600000000000003</v>
      </c>
      <c r="I14" s="99">
        <v>5.21</v>
      </c>
      <c r="J14" s="253">
        <f t="shared" si="11"/>
        <v>-8.6100000000000012</v>
      </c>
      <c r="K14" s="108">
        <f t="shared" si="11"/>
        <v>9.9015000000000004</v>
      </c>
      <c r="L14" s="236">
        <f>'Stl-ser gr80'!L13</f>
        <v>4</v>
      </c>
      <c r="M14" s="236">
        <f>'Stl-ser gr80'!M13</f>
        <v>6</v>
      </c>
      <c r="N14" s="297">
        <f>'Stl-ser gr80'!N13</f>
        <v>0.2</v>
      </c>
      <c r="O14" s="236">
        <f>'Stl-ser gr80'!O13</f>
        <v>0.5</v>
      </c>
      <c r="P14" s="43">
        <f t="shared" si="12"/>
        <v>0.40000000000000008</v>
      </c>
      <c r="Q14" s="195">
        <f t="shared" si="13"/>
        <v>5.25</v>
      </c>
      <c r="R14" s="102">
        <f t="shared" si="14"/>
        <v>5.75</v>
      </c>
      <c r="S14" s="287">
        <f t="shared" si="15"/>
        <v>6.3492063492063501E-3</v>
      </c>
      <c r="T14" s="115">
        <f t="shared" si="16"/>
        <v>5.7971014492753633E-3</v>
      </c>
      <c r="U14" s="164"/>
      <c r="V14" s="253">
        <f t="shared" si="17"/>
        <v>11.76339869281046</v>
      </c>
      <c r="W14" s="108">
        <f t="shared" si="18"/>
        <v>12.963398692810459</v>
      </c>
      <c r="X14" s="253">
        <f t="shared" si="19"/>
        <v>11.658823529411768</v>
      </c>
      <c r="Y14" s="99">
        <f t="shared" si="20"/>
        <v>12.858823529411767</v>
      </c>
      <c r="Z14" s="253">
        <f t="shared" si="21"/>
        <v>11.847058823529416</v>
      </c>
      <c r="AA14" s="108">
        <f t="shared" si="22"/>
        <v>13.047058823529417</v>
      </c>
      <c r="AB14" s="3">
        <f t="shared" si="0"/>
        <v>7</v>
      </c>
      <c r="AC14" s="55">
        <f t="shared" si="0"/>
        <v>8</v>
      </c>
      <c r="AD14" s="253">
        <f t="shared" si="1"/>
        <v>-8.6100000000000012</v>
      </c>
      <c r="AE14" s="108">
        <f t="shared" si="1"/>
        <v>9.9015000000000004</v>
      </c>
      <c r="AF14" s="244">
        <v>67</v>
      </c>
      <c r="AG14" s="42">
        <f t="shared" si="2"/>
        <v>0.26800000000000002</v>
      </c>
      <c r="AH14" s="24">
        <v>4</v>
      </c>
      <c r="AI14" s="201">
        <v>8</v>
      </c>
      <c r="AJ14" s="218" t="str">
        <f t="shared" si="33"/>
        <v>#4 @ 8</v>
      </c>
      <c r="AK14" s="43">
        <f t="shared" si="23"/>
        <v>0.30000000000000004</v>
      </c>
      <c r="AL14" s="43">
        <f t="shared" si="24"/>
        <v>0.75</v>
      </c>
      <c r="AM14" s="282">
        <f t="shared" si="34"/>
        <v>6.2500000000000012E-3</v>
      </c>
      <c r="AN14" s="272" t="str">
        <f t="shared" si="25"/>
        <v>#4 @ 6</v>
      </c>
      <c r="AP14" s="2">
        <f t="shared" si="3"/>
        <v>7</v>
      </c>
      <c r="AQ14" s="55">
        <f t="shared" si="3"/>
        <v>8</v>
      </c>
      <c r="AR14" s="167" t="str">
        <f t="shared" si="26"/>
        <v>#4 @ 6</v>
      </c>
      <c r="AS14" s="169" t="str">
        <f t="shared" si="27"/>
        <v>#4 @ 8</v>
      </c>
      <c r="AT14" s="253">
        <f t="shared" si="4"/>
        <v>-8.6100000000000012</v>
      </c>
      <c r="AU14" s="99">
        <f t="shared" si="5"/>
        <v>9.9015000000000004</v>
      </c>
      <c r="AV14" s="253">
        <f t="shared" si="28"/>
        <v>-11.76339869281046</v>
      </c>
      <c r="AW14" s="108">
        <f t="shared" si="29"/>
        <v>12.963398692810459</v>
      </c>
      <c r="AY14" s="156"/>
      <c r="AZ14" s="156"/>
      <c r="BA14" s="156">
        <f t="shared" si="30"/>
        <v>1.3662483963775214</v>
      </c>
      <c r="BB14" s="156">
        <f t="shared" si="31"/>
        <v>1.3092358423279764</v>
      </c>
      <c r="BC14" s="144">
        <f t="shared" si="32"/>
        <v>1.3662483963775214</v>
      </c>
      <c r="BD14" s="144">
        <f t="shared" si="32"/>
        <v>1.3092358423279764</v>
      </c>
    </row>
    <row r="15" spans="1:56" x14ac:dyDescent="0.2">
      <c r="A15" s="2">
        <v>7.25</v>
      </c>
      <c r="B15" s="221">
        <v>8</v>
      </c>
      <c r="C15" s="32">
        <f t="shared" si="6"/>
        <v>9.9999999999999992E-2</v>
      </c>
      <c r="D15" s="253">
        <f t="shared" si="7"/>
        <v>-0.52562500000000001</v>
      </c>
      <c r="E15" s="99">
        <f t="shared" si="8"/>
        <v>0.42049999999999998</v>
      </c>
      <c r="F15" s="253">
        <f t="shared" si="9"/>
        <v>-0.26281250000000006</v>
      </c>
      <c r="G15" s="108">
        <f t="shared" si="10"/>
        <v>0.21024999999999999</v>
      </c>
      <c r="H15" s="253">
        <v>-4.49</v>
      </c>
      <c r="I15" s="99">
        <v>5.32</v>
      </c>
      <c r="J15" s="253">
        <f t="shared" si="11"/>
        <v>-8.9087499999999995</v>
      </c>
      <c r="K15" s="108">
        <f t="shared" si="11"/>
        <v>10.151</v>
      </c>
      <c r="L15" s="236">
        <f>'Stl-ser gr80'!L14</f>
        <v>4</v>
      </c>
      <c r="M15" s="236">
        <f>'Stl-ser gr80'!M14</f>
        <v>6</v>
      </c>
      <c r="N15" s="297">
        <f>'Stl-ser gr80'!N14</f>
        <v>0.2</v>
      </c>
      <c r="O15" s="236">
        <f>'Stl-ser gr80'!O14</f>
        <v>0.5</v>
      </c>
      <c r="P15" s="43">
        <f t="shared" si="12"/>
        <v>0.40000000000000008</v>
      </c>
      <c r="Q15" s="195">
        <f t="shared" si="13"/>
        <v>5.25</v>
      </c>
      <c r="R15" s="102">
        <f t="shared" si="14"/>
        <v>5.75</v>
      </c>
      <c r="S15" s="287">
        <f t="shared" si="15"/>
        <v>6.3492063492063501E-3</v>
      </c>
      <c r="T15" s="115">
        <f t="shared" si="16"/>
        <v>5.7971014492753633E-3</v>
      </c>
      <c r="U15" s="164"/>
      <c r="V15" s="253">
        <f t="shared" si="17"/>
        <v>11.76339869281046</v>
      </c>
      <c r="W15" s="108">
        <f t="shared" si="18"/>
        <v>12.963398692810459</v>
      </c>
      <c r="X15" s="253">
        <f t="shared" si="19"/>
        <v>11.658823529411768</v>
      </c>
      <c r="Y15" s="99">
        <f t="shared" si="20"/>
        <v>12.858823529411767</v>
      </c>
      <c r="Z15" s="253">
        <f t="shared" si="21"/>
        <v>11.847058823529416</v>
      </c>
      <c r="AA15" s="108">
        <f t="shared" si="22"/>
        <v>13.047058823529417</v>
      </c>
      <c r="AB15" s="3">
        <f t="shared" si="0"/>
        <v>7.25</v>
      </c>
      <c r="AC15" s="55">
        <f t="shared" si="0"/>
        <v>8</v>
      </c>
      <c r="AD15" s="253">
        <f t="shared" si="1"/>
        <v>-8.9087499999999995</v>
      </c>
      <c r="AE15" s="108">
        <f t="shared" si="1"/>
        <v>10.151</v>
      </c>
      <c r="AF15" s="201">
        <v>67</v>
      </c>
      <c r="AG15" s="43">
        <f t="shared" si="2"/>
        <v>0.26800000000000002</v>
      </c>
      <c r="AH15" s="24">
        <v>4</v>
      </c>
      <c r="AI15" s="201">
        <v>8</v>
      </c>
      <c r="AJ15" s="218" t="str">
        <f t="shared" si="33"/>
        <v>#4 @ 8</v>
      </c>
      <c r="AK15" s="43">
        <f t="shared" si="23"/>
        <v>0.30000000000000004</v>
      </c>
      <c r="AL15" s="43">
        <f t="shared" si="24"/>
        <v>0.75</v>
      </c>
      <c r="AM15" s="282">
        <f t="shared" si="34"/>
        <v>6.2500000000000012E-3</v>
      </c>
      <c r="AN15" s="272" t="str">
        <f t="shared" si="25"/>
        <v>#4 @ 6</v>
      </c>
      <c r="AP15" s="2">
        <f t="shared" si="3"/>
        <v>7.25</v>
      </c>
      <c r="AQ15" s="55">
        <f t="shared" si="3"/>
        <v>8</v>
      </c>
      <c r="AR15" s="167" t="str">
        <f t="shared" si="26"/>
        <v>#4 @ 6</v>
      </c>
      <c r="AS15" s="169" t="str">
        <f t="shared" si="27"/>
        <v>#4 @ 8</v>
      </c>
      <c r="AT15" s="253">
        <f t="shared" si="4"/>
        <v>-8.9087499999999995</v>
      </c>
      <c r="AU15" s="99">
        <f t="shared" si="5"/>
        <v>10.151</v>
      </c>
      <c r="AV15" s="253">
        <f t="shared" si="28"/>
        <v>-11.76339869281046</v>
      </c>
      <c r="AW15" s="108">
        <f t="shared" si="29"/>
        <v>12.963398692810459</v>
      </c>
      <c r="AY15" s="156"/>
      <c r="AZ15" s="156"/>
      <c r="BA15" s="156">
        <f t="shared" si="30"/>
        <v>1.3204320126628832</v>
      </c>
      <c r="BB15" s="156">
        <f t="shared" si="31"/>
        <v>1.2770563188661668</v>
      </c>
      <c r="BC15" s="144">
        <f t="shared" si="32"/>
        <v>1.3204320126628832</v>
      </c>
      <c r="BD15" s="144">
        <f t="shared" si="32"/>
        <v>1.2770563188661668</v>
      </c>
    </row>
    <row r="16" spans="1:56" x14ac:dyDescent="0.2">
      <c r="A16" s="2">
        <v>7.5</v>
      </c>
      <c r="B16" s="221">
        <v>8</v>
      </c>
      <c r="C16" s="32">
        <f t="shared" si="6"/>
        <v>9.9999999999999992E-2</v>
      </c>
      <c r="D16" s="253">
        <f t="shared" si="7"/>
        <v>-0.5625</v>
      </c>
      <c r="E16" s="99">
        <f t="shared" si="8"/>
        <v>0.45</v>
      </c>
      <c r="F16" s="253">
        <f t="shared" si="9"/>
        <v>-0.28125000000000006</v>
      </c>
      <c r="G16" s="108">
        <f t="shared" si="10"/>
        <v>0.22500000000000001</v>
      </c>
      <c r="H16" s="253">
        <v>-4.6100000000000003</v>
      </c>
      <c r="I16" s="99">
        <v>5.44</v>
      </c>
      <c r="J16" s="253">
        <f t="shared" si="11"/>
        <v>-9.1925000000000008</v>
      </c>
      <c r="K16" s="108">
        <f t="shared" si="11"/>
        <v>10.420000000000002</v>
      </c>
      <c r="L16" s="236">
        <f>'Stl-ser gr80'!L15</f>
        <v>4</v>
      </c>
      <c r="M16" s="236">
        <f>'Stl-ser gr80'!M15</f>
        <v>6</v>
      </c>
      <c r="N16" s="297">
        <f>'Stl-ser gr80'!N15</f>
        <v>0.2</v>
      </c>
      <c r="O16" s="236">
        <f>'Stl-ser gr80'!O15</f>
        <v>0.5</v>
      </c>
      <c r="P16" s="43">
        <f t="shared" si="12"/>
        <v>0.40000000000000008</v>
      </c>
      <c r="Q16" s="195">
        <f t="shared" si="13"/>
        <v>5.25</v>
      </c>
      <c r="R16" s="102">
        <f t="shared" si="14"/>
        <v>5.75</v>
      </c>
      <c r="S16" s="287">
        <f t="shared" si="15"/>
        <v>6.3492063492063501E-3</v>
      </c>
      <c r="T16" s="115">
        <f t="shared" si="16"/>
        <v>5.7971014492753633E-3</v>
      </c>
      <c r="U16" s="164"/>
      <c r="V16" s="253">
        <f t="shared" si="17"/>
        <v>11.76339869281046</v>
      </c>
      <c r="W16" s="108">
        <f t="shared" si="18"/>
        <v>12.963398692810459</v>
      </c>
      <c r="X16" s="253">
        <f t="shared" si="19"/>
        <v>11.658823529411768</v>
      </c>
      <c r="Y16" s="99">
        <f t="shared" si="20"/>
        <v>12.858823529411767</v>
      </c>
      <c r="Z16" s="253">
        <f t="shared" si="21"/>
        <v>11.847058823529416</v>
      </c>
      <c r="AA16" s="108">
        <f t="shared" si="22"/>
        <v>13.047058823529417</v>
      </c>
      <c r="AB16" s="3">
        <f t="shared" si="0"/>
        <v>7.5</v>
      </c>
      <c r="AC16" s="55">
        <f t="shared" si="0"/>
        <v>8</v>
      </c>
      <c r="AD16" s="253">
        <f t="shared" si="1"/>
        <v>-9.1925000000000008</v>
      </c>
      <c r="AE16" s="108">
        <f t="shared" si="1"/>
        <v>10.420000000000002</v>
      </c>
      <c r="AF16" s="201">
        <v>67</v>
      </c>
      <c r="AG16" s="43">
        <f t="shared" si="2"/>
        <v>0.26800000000000002</v>
      </c>
      <c r="AH16" s="24">
        <v>4</v>
      </c>
      <c r="AI16" s="201">
        <v>8</v>
      </c>
      <c r="AJ16" s="218" t="str">
        <f t="shared" si="33"/>
        <v>#4 @ 8</v>
      </c>
      <c r="AK16" s="43">
        <f t="shared" si="23"/>
        <v>0.30000000000000004</v>
      </c>
      <c r="AL16" s="43">
        <f t="shared" si="24"/>
        <v>0.75</v>
      </c>
      <c r="AM16" s="282">
        <f t="shared" si="34"/>
        <v>6.2500000000000012E-3</v>
      </c>
      <c r="AN16" s="272" t="str">
        <f t="shared" si="25"/>
        <v>#4 @ 6</v>
      </c>
      <c r="AP16" s="2">
        <f t="shared" si="3"/>
        <v>7.5</v>
      </c>
      <c r="AQ16" s="55">
        <f t="shared" si="3"/>
        <v>8</v>
      </c>
      <c r="AR16" s="167" t="str">
        <f t="shared" si="26"/>
        <v>#4 @ 6</v>
      </c>
      <c r="AS16" s="169" t="str">
        <f t="shared" si="27"/>
        <v>#4 @ 8</v>
      </c>
      <c r="AT16" s="253">
        <f t="shared" si="4"/>
        <v>-9.1925000000000008</v>
      </c>
      <c r="AU16" s="99">
        <f t="shared" si="5"/>
        <v>10.420000000000002</v>
      </c>
      <c r="AV16" s="253">
        <f t="shared" si="28"/>
        <v>-11.76339869281046</v>
      </c>
      <c r="AW16" s="108">
        <f t="shared" si="29"/>
        <v>12.963398692810459</v>
      </c>
      <c r="AY16" s="156"/>
      <c r="AZ16" s="156"/>
      <c r="BA16" s="156">
        <f t="shared" si="30"/>
        <v>1.2796735047930878</v>
      </c>
      <c r="BB16" s="156">
        <f t="shared" si="31"/>
        <v>1.244088166296589</v>
      </c>
      <c r="BC16" s="144">
        <f t="shared" si="32"/>
        <v>1.2796735047930878</v>
      </c>
      <c r="BD16" s="144">
        <f t="shared" si="32"/>
        <v>1.244088166296589</v>
      </c>
    </row>
    <row r="17" spans="1:56" x14ac:dyDescent="0.2">
      <c r="A17" s="2">
        <v>7.75</v>
      </c>
      <c r="B17" s="222">
        <v>8</v>
      </c>
      <c r="C17" s="32">
        <f t="shared" si="6"/>
        <v>9.9999999999999992E-2</v>
      </c>
      <c r="D17" s="253">
        <f t="shared" si="7"/>
        <v>-0.60062499999999996</v>
      </c>
      <c r="E17" s="99">
        <f t="shared" si="8"/>
        <v>0.48049999999999998</v>
      </c>
      <c r="F17" s="253">
        <f t="shared" si="9"/>
        <v>-0.30031250000000004</v>
      </c>
      <c r="G17" s="108">
        <f t="shared" si="10"/>
        <v>0.24024999999999999</v>
      </c>
      <c r="H17" s="253">
        <v>-4.71</v>
      </c>
      <c r="I17" s="99">
        <v>5.56</v>
      </c>
      <c r="J17" s="253">
        <f t="shared" si="11"/>
        <v>-9.4437499999999996</v>
      </c>
      <c r="K17" s="108">
        <f t="shared" si="11"/>
        <v>10.690999999999999</v>
      </c>
      <c r="L17" s="238">
        <f>'Stl-ser gr80'!L16</f>
        <v>4</v>
      </c>
      <c r="M17" s="238">
        <f>'Stl-ser gr80'!M16</f>
        <v>5.5</v>
      </c>
      <c r="N17" s="298">
        <f>'Stl-ser gr80'!N16</f>
        <v>0.2</v>
      </c>
      <c r="O17" s="238">
        <f>'Stl-ser gr80'!O16</f>
        <v>0.5</v>
      </c>
      <c r="P17" s="44">
        <f t="shared" si="12"/>
        <v>0.43636363636363645</v>
      </c>
      <c r="Q17" s="257">
        <f t="shared" si="13"/>
        <v>5.25</v>
      </c>
      <c r="R17" s="104">
        <f t="shared" si="14"/>
        <v>5.75</v>
      </c>
      <c r="S17" s="287">
        <f t="shared" si="15"/>
        <v>6.9264069264069281E-3</v>
      </c>
      <c r="T17" s="115">
        <f t="shared" si="16"/>
        <v>6.3241106719367605E-3</v>
      </c>
      <c r="U17" s="164"/>
      <c r="V17" s="61">
        <f t="shared" si="17"/>
        <v>12.749829849295091</v>
      </c>
      <c r="W17" s="110">
        <f t="shared" si="18"/>
        <v>14.058920758386002</v>
      </c>
      <c r="X17" s="61">
        <f t="shared" si="19"/>
        <v>12.625376762275161</v>
      </c>
      <c r="Y17" s="101">
        <f t="shared" si="20"/>
        <v>13.93446767136607</v>
      </c>
      <c r="Z17" s="61">
        <f t="shared" si="21"/>
        <v>12.849392318911036</v>
      </c>
      <c r="AA17" s="110">
        <f t="shared" si="22"/>
        <v>14.158483228001947</v>
      </c>
      <c r="AB17" s="3">
        <f t="shared" si="0"/>
        <v>7.75</v>
      </c>
      <c r="AC17" s="55">
        <f t="shared" si="0"/>
        <v>8</v>
      </c>
      <c r="AD17" s="253">
        <f t="shared" si="1"/>
        <v>-9.4437499999999996</v>
      </c>
      <c r="AE17" s="108">
        <f t="shared" si="1"/>
        <v>10.690999999999999</v>
      </c>
      <c r="AF17" s="245">
        <v>67</v>
      </c>
      <c r="AG17" s="44">
        <f t="shared" si="2"/>
        <v>0.29236363636363644</v>
      </c>
      <c r="AH17" s="245">
        <v>4</v>
      </c>
      <c r="AI17" s="245">
        <v>8</v>
      </c>
      <c r="AJ17" s="219" t="str">
        <f t="shared" si="33"/>
        <v>#4 @ 8</v>
      </c>
      <c r="AK17" s="44">
        <f t="shared" si="23"/>
        <v>0.30000000000000004</v>
      </c>
      <c r="AL17" s="44">
        <f t="shared" si="24"/>
        <v>0.6875</v>
      </c>
      <c r="AM17" s="282">
        <f t="shared" si="34"/>
        <v>6.2500000000000012E-3</v>
      </c>
      <c r="AN17" s="219" t="str">
        <f t="shared" si="25"/>
        <v>#4 @ 5.5</v>
      </c>
      <c r="AP17" s="2">
        <f t="shared" si="3"/>
        <v>7.75</v>
      </c>
      <c r="AQ17" s="55">
        <f t="shared" si="3"/>
        <v>8</v>
      </c>
      <c r="AR17" s="175" t="str">
        <f t="shared" si="26"/>
        <v>#4 @ 5.5</v>
      </c>
      <c r="AS17" s="169" t="str">
        <f t="shared" si="27"/>
        <v>#4 @ 8</v>
      </c>
      <c r="AT17" s="253">
        <f t="shared" si="4"/>
        <v>-9.4437499999999996</v>
      </c>
      <c r="AU17" s="204">
        <f t="shared" si="5"/>
        <v>10.690999999999999</v>
      </c>
      <c r="AV17" s="61">
        <f t="shared" si="28"/>
        <v>-12.749829849295091</v>
      </c>
      <c r="AW17" s="110">
        <f t="shared" si="29"/>
        <v>14.058920758386002</v>
      </c>
      <c r="AY17" s="156"/>
      <c r="AZ17" s="179"/>
      <c r="BA17" s="156">
        <f t="shared" si="30"/>
        <v>1.3500812547235042</v>
      </c>
      <c r="BB17" s="156">
        <f t="shared" si="31"/>
        <v>1.3150239227748577</v>
      </c>
      <c r="BC17" s="144">
        <f t="shared" si="32"/>
        <v>1.3500812547235042</v>
      </c>
      <c r="BD17" s="144">
        <f t="shared" si="32"/>
        <v>1.3150239227748577</v>
      </c>
    </row>
    <row r="18" spans="1:56" x14ac:dyDescent="0.2">
      <c r="A18" s="17">
        <v>8</v>
      </c>
      <c r="B18" s="221">
        <v>8</v>
      </c>
      <c r="C18" s="42">
        <f t="shared" si="6"/>
        <v>9.9999999999999992E-2</v>
      </c>
      <c r="D18" s="255">
        <f t="shared" si="7"/>
        <v>-0.64</v>
      </c>
      <c r="E18" s="100">
        <f t="shared" si="8"/>
        <v>0.51200000000000001</v>
      </c>
      <c r="F18" s="255">
        <f t="shared" si="9"/>
        <v>-0.32000000000000006</v>
      </c>
      <c r="G18" s="109">
        <f t="shared" si="10"/>
        <v>0.25600000000000001</v>
      </c>
      <c r="H18" s="255">
        <v>-4.8099999999999996</v>
      </c>
      <c r="I18" s="100">
        <v>5.69</v>
      </c>
      <c r="J18" s="255">
        <f t="shared" si="11"/>
        <v>-9.697499999999998</v>
      </c>
      <c r="K18" s="109">
        <f t="shared" si="11"/>
        <v>10.9815</v>
      </c>
      <c r="L18" s="236">
        <f>'Stl-ser gr80'!L17</f>
        <v>4</v>
      </c>
      <c r="M18" s="236">
        <f>'Stl-ser gr80'!M17</f>
        <v>5.5</v>
      </c>
      <c r="N18" s="297">
        <f>'Stl-ser gr80'!N17</f>
        <v>0.2</v>
      </c>
      <c r="O18" s="236">
        <f>'Stl-ser gr80'!O17</f>
        <v>0.5</v>
      </c>
      <c r="P18" s="43">
        <f t="shared" si="12"/>
        <v>0.43636363636363645</v>
      </c>
      <c r="Q18" s="195">
        <f t="shared" si="13"/>
        <v>5.25</v>
      </c>
      <c r="R18" s="102">
        <f t="shared" si="14"/>
        <v>5.75</v>
      </c>
      <c r="S18" s="288">
        <f t="shared" si="15"/>
        <v>6.9264069264069281E-3</v>
      </c>
      <c r="T18" s="116">
        <f t="shared" si="16"/>
        <v>6.3241106719367605E-3</v>
      </c>
      <c r="U18" s="164"/>
      <c r="V18" s="253">
        <f t="shared" si="17"/>
        <v>12.749829849295091</v>
      </c>
      <c r="W18" s="108">
        <f t="shared" si="18"/>
        <v>14.058920758386002</v>
      </c>
      <c r="X18" s="253">
        <f t="shared" si="19"/>
        <v>12.625376762275161</v>
      </c>
      <c r="Y18" s="99">
        <f t="shared" si="20"/>
        <v>13.93446767136607</v>
      </c>
      <c r="Z18" s="253">
        <f t="shared" si="21"/>
        <v>12.849392318911036</v>
      </c>
      <c r="AA18" s="108">
        <f t="shared" si="22"/>
        <v>14.158483228001947</v>
      </c>
      <c r="AB18" s="18">
        <f t="shared" si="0"/>
        <v>8</v>
      </c>
      <c r="AC18" s="56">
        <f t="shared" si="0"/>
        <v>8</v>
      </c>
      <c r="AD18" s="255">
        <f t="shared" si="1"/>
        <v>-9.697499999999998</v>
      </c>
      <c r="AE18" s="109">
        <f t="shared" si="1"/>
        <v>10.9815</v>
      </c>
      <c r="AF18" s="201">
        <v>67</v>
      </c>
      <c r="AG18" s="43">
        <f t="shared" si="2"/>
        <v>0.29236363636363644</v>
      </c>
      <c r="AH18" s="24">
        <v>4</v>
      </c>
      <c r="AI18" s="201">
        <v>8</v>
      </c>
      <c r="AJ18" s="218" t="str">
        <f t="shared" si="33"/>
        <v>#4 @ 8</v>
      </c>
      <c r="AK18" s="43">
        <f t="shared" si="23"/>
        <v>0.30000000000000004</v>
      </c>
      <c r="AL18" s="43">
        <f t="shared" si="24"/>
        <v>0.6875</v>
      </c>
      <c r="AM18" s="42">
        <f t="shared" si="34"/>
        <v>6.2500000000000012E-3</v>
      </c>
      <c r="AN18" s="272" t="str">
        <f t="shared" si="25"/>
        <v>#4 @ 5.5</v>
      </c>
      <c r="AP18" s="17">
        <f t="shared" si="3"/>
        <v>8</v>
      </c>
      <c r="AQ18" s="56">
        <f t="shared" si="3"/>
        <v>8</v>
      </c>
      <c r="AR18" s="167" t="str">
        <f t="shared" si="26"/>
        <v>#4 @ 5.5</v>
      </c>
      <c r="AS18" s="174" t="str">
        <f t="shared" si="27"/>
        <v>#4 @ 8</v>
      </c>
      <c r="AT18" s="255">
        <f t="shared" si="4"/>
        <v>-9.697499999999998</v>
      </c>
      <c r="AU18" s="100">
        <f t="shared" si="5"/>
        <v>10.9815</v>
      </c>
      <c r="AV18" s="253">
        <f t="shared" si="28"/>
        <v>-12.749829849295091</v>
      </c>
      <c r="AW18" s="108">
        <f t="shared" si="29"/>
        <v>14.058920758386002</v>
      </c>
      <c r="AY18" s="156"/>
      <c r="AZ18" s="156"/>
      <c r="BA18" s="156">
        <f t="shared" si="30"/>
        <v>1.314754302582634</v>
      </c>
      <c r="BB18" s="156">
        <f t="shared" si="31"/>
        <v>1.2802368308870373</v>
      </c>
      <c r="BC18" s="144">
        <f t="shared" si="32"/>
        <v>1.314754302582634</v>
      </c>
      <c r="BD18" s="144">
        <f t="shared" si="32"/>
        <v>1.2802368308870373</v>
      </c>
    </row>
    <row r="19" spans="1:56" x14ac:dyDescent="0.2">
      <c r="A19" s="2">
        <v>8.25</v>
      </c>
      <c r="B19" s="221">
        <v>8</v>
      </c>
      <c r="C19" s="43">
        <f t="shared" si="6"/>
        <v>9.9999999999999992E-2</v>
      </c>
      <c r="D19" s="253">
        <f t="shared" si="7"/>
        <v>-0.68062500000000004</v>
      </c>
      <c r="E19" s="99">
        <f t="shared" si="8"/>
        <v>0.54449999999999998</v>
      </c>
      <c r="F19" s="253">
        <f t="shared" si="9"/>
        <v>-0.34031250000000007</v>
      </c>
      <c r="G19" s="108">
        <f t="shared" si="10"/>
        <v>0.27224999999999999</v>
      </c>
      <c r="H19" s="253">
        <v>-4.9000000000000004</v>
      </c>
      <c r="I19" s="99">
        <v>5.83</v>
      </c>
      <c r="J19" s="253">
        <f t="shared" si="11"/>
        <v>-9.9362500000000011</v>
      </c>
      <c r="K19" s="108">
        <f t="shared" si="11"/>
        <v>11.291500000000001</v>
      </c>
      <c r="L19" s="236">
        <f>'Stl-ser gr80'!L18</f>
        <v>4</v>
      </c>
      <c r="M19" s="236">
        <f>'Stl-ser gr80'!M18</f>
        <v>5.5</v>
      </c>
      <c r="N19" s="297">
        <f>'Stl-ser gr80'!N18</f>
        <v>0.2</v>
      </c>
      <c r="O19" s="236">
        <f>'Stl-ser gr80'!O18</f>
        <v>0.5</v>
      </c>
      <c r="P19" s="43">
        <f t="shared" si="12"/>
        <v>0.43636363636363645</v>
      </c>
      <c r="Q19" s="195">
        <f t="shared" si="13"/>
        <v>5.25</v>
      </c>
      <c r="R19" s="102">
        <f t="shared" si="14"/>
        <v>5.75</v>
      </c>
      <c r="S19" s="287">
        <f t="shared" si="15"/>
        <v>6.9264069264069281E-3</v>
      </c>
      <c r="T19" s="115">
        <f t="shared" si="16"/>
        <v>6.3241106719367605E-3</v>
      </c>
      <c r="U19" s="164"/>
      <c r="V19" s="253">
        <f t="shared" si="17"/>
        <v>12.749829849295091</v>
      </c>
      <c r="W19" s="108">
        <f t="shared" si="18"/>
        <v>14.058920758386002</v>
      </c>
      <c r="X19" s="253">
        <f t="shared" si="19"/>
        <v>12.625376762275161</v>
      </c>
      <c r="Y19" s="99">
        <f t="shared" si="20"/>
        <v>13.93446767136607</v>
      </c>
      <c r="Z19" s="253">
        <f t="shared" si="21"/>
        <v>12.849392318911036</v>
      </c>
      <c r="AA19" s="108">
        <f t="shared" si="22"/>
        <v>14.158483228001947</v>
      </c>
      <c r="AB19" s="3">
        <f t="shared" si="0"/>
        <v>8.25</v>
      </c>
      <c r="AC19" s="55">
        <f t="shared" si="0"/>
        <v>8</v>
      </c>
      <c r="AD19" s="253">
        <f t="shared" si="1"/>
        <v>-9.9362500000000011</v>
      </c>
      <c r="AE19" s="108">
        <f t="shared" si="1"/>
        <v>11.291500000000001</v>
      </c>
      <c r="AF19" s="201">
        <v>67</v>
      </c>
      <c r="AG19" s="43">
        <f t="shared" si="2"/>
        <v>0.29236363636363644</v>
      </c>
      <c r="AH19" s="24">
        <v>4</v>
      </c>
      <c r="AI19" s="201">
        <v>8</v>
      </c>
      <c r="AJ19" s="218" t="str">
        <f t="shared" si="33"/>
        <v>#4 @ 8</v>
      </c>
      <c r="AK19" s="43">
        <f t="shared" si="23"/>
        <v>0.30000000000000004</v>
      </c>
      <c r="AL19" s="43">
        <f t="shared" si="24"/>
        <v>0.6875</v>
      </c>
      <c r="AM19" s="43">
        <f t="shared" si="34"/>
        <v>6.2500000000000012E-3</v>
      </c>
      <c r="AN19" s="272" t="str">
        <f t="shared" si="25"/>
        <v>#4 @ 5.5</v>
      </c>
      <c r="AP19" s="2">
        <f t="shared" si="3"/>
        <v>8.25</v>
      </c>
      <c r="AQ19" s="55">
        <f t="shared" si="3"/>
        <v>8</v>
      </c>
      <c r="AR19" s="167" t="str">
        <f t="shared" si="26"/>
        <v>#4 @ 5.5</v>
      </c>
      <c r="AS19" s="169" t="str">
        <f t="shared" si="27"/>
        <v>#4 @ 8</v>
      </c>
      <c r="AT19" s="253">
        <f t="shared" si="4"/>
        <v>-9.9362500000000011</v>
      </c>
      <c r="AU19" s="99">
        <f t="shared" si="5"/>
        <v>11.291500000000001</v>
      </c>
      <c r="AV19" s="253">
        <f t="shared" si="28"/>
        <v>-12.749829849295091</v>
      </c>
      <c r="AW19" s="108">
        <f t="shared" si="29"/>
        <v>14.058920758386002</v>
      </c>
      <c r="AY19" s="156"/>
      <c r="AZ19" s="156"/>
      <c r="BA19" s="156">
        <f t="shared" si="30"/>
        <v>1.283163150010828</v>
      </c>
      <c r="BB19" s="156">
        <f t="shared" si="31"/>
        <v>1.245088850762609</v>
      </c>
      <c r="BC19" s="144">
        <f t="shared" si="32"/>
        <v>1.283163150010828</v>
      </c>
      <c r="BD19" s="144">
        <f t="shared" si="32"/>
        <v>1.245088850762609</v>
      </c>
    </row>
    <row r="20" spans="1:56" x14ac:dyDescent="0.2">
      <c r="A20" s="2">
        <v>8.5</v>
      </c>
      <c r="B20" s="221">
        <v>8</v>
      </c>
      <c r="C20" s="43">
        <f t="shared" si="6"/>
        <v>9.9999999999999992E-2</v>
      </c>
      <c r="D20" s="253">
        <f t="shared" si="7"/>
        <v>-0.72250000000000003</v>
      </c>
      <c r="E20" s="99">
        <f t="shared" si="8"/>
        <v>0.57799999999999996</v>
      </c>
      <c r="F20" s="253">
        <f t="shared" si="9"/>
        <v>-0.36125000000000007</v>
      </c>
      <c r="G20" s="108">
        <f t="shared" si="10"/>
        <v>0.28899999999999998</v>
      </c>
      <c r="H20" s="253">
        <v>-4.9800000000000004</v>
      </c>
      <c r="I20" s="99">
        <v>5.99</v>
      </c>
      <c r="J20" s="253">
        <f t="shared" si="11"/>
        <v>-10.16</v>
      </c>
      <c r="K20" s="108">
        <f t="shared" si="11"/>
        <v>11.638500000000001</v>
      </c>
      <c r="L20" s="236">
        <f>'Stl-ser gr80'!L19</f>
        <v>4</v>
      </c>
      <c r="M20" s="236">
        <f>'Stl-ser gr80'!M19</f>
        <v>5.5</v>
      </c>
      <c r="N20" s="297">
        <f>'Stl-ser gr80'!N19</f>
        <v>0.2</v>
      </c>
      <c r="O20" s="236">
        <f>'Stl-ser gr80'!O19</f>
        <v>0.5</v>
      </c>
      <c r="P20" s="43">
        <f t="shared" si="12"/>
        <v>0.43636363636363645</v>
      </c>
      <c r="Q20" s="195">
        <f t="shared" si="13"/>
        <v>5.25</v>
      </c>
      <c r="R20" s="102">
        <f t="shared" si="14"/>
        <v>5.75</v>
      </c>
      <c r="S20" s="287">
        <f t="shared" si="15"/>
        <v>6.9264069264069281E-3</v>
      </c>
      <c r="T20" s="115">
        <f t="shared" si="16"/>
        <v>6.3241106719367605E-3</v>
      </c>
      <c r="U20" s="164"/>
      <c r="V20" s="253">
        <f t="shared" si="17"/>
        <v>12.749829849295091</v>
      </c>
      <c r="W20" s="108">
        <f t="shared" si="18"/>
        <v>14.058920758386002</v>
      </c>
      <c r="X20" s="253">
        <f t="shared" si="19"/>
        <v>12.625376762275161</v>
      </c>
      <c r="Y20" s="99">
        <f t="shared" si="20"/>
        <v>13.93446767136607</v>
      </c>
      <c r="Z20" s="253">
        <f t="shared" si="21"/>
        <v>12.849392318911036</v>
      </c>
      <c r="AA20" s="108">
        <f t="shared" si="22"/>
        <v>14.158483228001947</v>
      </c>
      <c r="AB20" s="3">
        <f t="shared" si="0"/>
        <v>8.5</v>
      </c>
      <c r="AC20" s="55">
        <f t="shared" si="0"/>
        <v>8</v>
      </c>
      <c r="AD20" s="253">
        <f t="shared" si="1"/>
        <v>-10.16</v>
      </c>
      <c r="AE20" s="108">
        <f t="shared" si="1"/>
        <v>11.638500000000001</v>
      </c>
      <c r="AF20" s="201">
        <v>67</v>
      </c>
      <c r="AG20" s="43">
        <f t="shared" si="2"/>
        <v>0.29236363636363644</v>
      </c>
      <c r="AH20" s="24">
        <v>4</v>
      </c>
      <c r="AI20" s="201">
        <v>8</v>
      </c>
      <c r="AJ20" s="218" t="str">
        <f t="shared" si="33"/>
        <v>#4 @ 8</v>
      </c>
      <c r="AK20" s="43">
        <f t="shared" si="23"/>
        <v>0.30000000000000004</v>
      </c>
      <c r="AL20" s="43">
        <f t="shared" si="24"/>
        <v>0.6875</v>
      </c>
      <c r="AM20" s="43">
        <f t="shared" si="34"/>
        <v>6.2500000000000012E-3</v>
      </c>
      <c r="AN20" s="272" t="str">
        <f t="shared" si="25"/>
        <v>#4 @ 5.5</v>
      </c>
      <c r="AP20" s="2">
        <f t="shared" si="3"/>
        <v>8.5</v>
      </c>
      <c r="AQ20" s="55">
        <f t="shared" si="3"/>
        <v>8</v>
      </c>
      <c r="AR20" s="167" t="str">
        <f t="shared" si="26"/>
        <v>#4 @ 5.5</v>
      </c>
      <c r="AS20" s="169" t="str">
        <f t="shared" si="27"/>
        <v>#4 @ 8</v>
      </c>
      <c r="AT20" s="253">
        <f t="shared" si="4"/>
        <v>-10.16</v>
      </c>
      <c r="AU20" s="99">
        <f t="shared" si="5"/>
        <v>11.638500000000001</v>
      </c>
      <c r="AV20" s="253">
        <f t="shared" si="28"/>
        <v>-12.749829849295091</v>
      </c>
      <c r="AW20" s="108">
        <f t="shared" si="29"/>
        <v>14.058920758386002</v>
      </c>
      <c r="AY20" s="156"/>
      <c r="AZ20" s="155"/>
      <c r="BA20" s="156">
        <f t="shared" si="30"/>
        <v>1.2549045127258949</v>
      </c>
      <c r="BB20" s="156">
        <f t="shared" si="31"/>
        <v>1.207966727532414</v>
      </c>
      <c r="BC20" s="144">
        <f t="shared" si="32"/>
        <v>1.2549045127258949</v>
      </c>
      <c r="BD20" s="144">
        <f t="shared" si="32"/>
        <v>1.207966727532414</v>
      </c>
    </row>
    <row r="21" spans="1:56" x14ac:dyDescent="0.2">
      <c r="A21" s="8">
        <v>8.75</v>
      </c>
      <c r="B21" s="222">
        <v>8</v>
      </c>
      <c r="C21" s="44">
        <f t="shared" si="6"/>
        <v>9.9999999999999992E-2</v>
      </c>
      <c r="D21" s="61">
        <f t="shared" si="7"/>
        <v>-0.765625</v>
      </c>
      <c r="E21" s="101">
        <f t="shared" si="8"/>
        <v>0.61250000000000004</v>
      </c>
      <c r="F21" s="61">
        <f t="shared" si="9"/>
        <v>-0.38281250000000006</v>
      </c>
      <c r="G21" s="110">
        <f t="shared" si="10"/>
        <v>0.30625000000000002</v>
      </c>
      <c r="H21" s="61">
        <v>-5.0599999999999996</v>
      </c>
      <c r="I21" s="101">
        <v>6.14</v>
      </c>
      <c r="J21" s="61">
        <f t="shared" si="11"/>
        <v>-10.386249999999999</v>
      </c>
      <c r="K21" s="110">
        <f t="shared" si="11"/>
        <v>11.969999999999999</v>
      </c>
      <c r="L21" s="238">
        <f>'Stl-ser gr80'!L20</f>
        <v>4</v>
      </c>
      <c r="M21" s="238">
        <f>'Stl-ser gr80'!M20</f>
        <v>5.5</v>
      </c>
      <c r="N21" s="298">
        <f>'Stl-ser gr80'!N20</f>
        <v>0.2</v>
      </c>
      <c r="O21" s="238">
        <f>'Stl-ser gr80'!O20</f>
        <v>0.5</v>
      </c>
      <c r="P21" s="44">
        <f t="shared" si="12"/>
        <v>0.43636363636363645</v>
      </c>
      <c r="Q21" s="257">
        <f t="shared" si="13"/>
        <v>5.25</v>
      </c>
      <c r="R21" s="104">
        <f t="shared" si="14"/>
        <v>5.75</v>
      </c>
      <c r="S21" s="289">
        <f t="shared" si="15"/>
        <v>6.9264069264069281E-3</v>
      </c>
      <c r="T21" s="117">
        <f t="shared" si="16"/>
        <v>6.3241106719367605E-3</v>
      </c>
      <c r="U21" s="164"/>
      <c r="V21" s="61">
        <f t="shared" si="17"/>
        <v>12.749829849295091</v>
      </c>
      <c r="W21" s="110">
        <f t="shared" si="18"/>
        <v>14.058920758386002</v>
      </c>
      <c r="X21" s="61">
        <f t="shared" si="19"/>
        <v>12.625376762275161</v>
      </c>
      <c r="Y21" s="101">
        <f t="shared" si="20"/>
        <v>13.93446767136607</v>
      </c>
      <c r="Z21" s="61">
        <f t="shared" si="21"/>
        <v>12.849392318911036</v>
      </c>
      <c r="AA21" s="110">
        <f t="shared" si="22"/>
        <v>14.158483228001947</v>
      </c>
      <c r="AB21" s="9">
        <f t="shared" si="0"/>
        <v>8.75</v>
      </c>
      <c r="AC21" s="57">
        <f t="shared" si="0"/>
        <v>8</v>
      </c>
      <c r="AD21" s="61">
        <f t="shared" si="1"/>
        <v>-10.386249999999999</v>
      </c>
      <c r="AE21" s="110">
        <f t="shared" si="1"/>
        <v>11.969999999999999</v>
      </c>
      <c r="AF21" s="245">
        <v>67</v>
      </c>
      <c r="AG21" s="44">
        <f t="shared" si="2"/>
        <v>0.29236363636363644</v>
      </c>
      <c r="AH21" s="26">
        <v>4</v>
      </c>
      <c r="AI21" s="245">
        <v>8</v>
      </c>
      <c r="AJ21" s="219" t="str">
        <f t="shared" si="33"/>
        <v>#4 @ 8</v>
      </c>
      <c r="AK21" s="44">
        <f t="shared" si="23"/>
        <v>0.30000000000000004</v>
      </c>
      <c r="AL21" s="44">
        <f t="shared" si="24"/>
        <v>0.6875</v>
      </c>
      <c r="AM21" s="44">
        <f t="shared" si="34"/>
        <v>6.2500000000000012E-3</v>
      </c>
      <c r="AN21" s="219" t="str">
        <f t="shared" si="25"/>
        <v>#4 @ 5.5</v>
      </c>
      <c r="AP21" s="8">
        <f t="shared" si="3"/>
        <v>8.75</v>
      </c>
      <c r="AQ21" s="57">
        <f t="shared" si="3"/>
        <v>8</v>
      </c>
      <c r="AR21" s="175" t="str">
        <f t="shared" si="26"/>
        <v>#4 @ 5.5</v>
      </c>
      <c r="AS21" s="175" t="str">
        <f t="shared" si="27"/>
        <v>#4 @ 8</v>
      </c>
      <c r="AT21" s="61">
        <f t="shared" si="4"/>
        <v>-10.386249999999999</v>
      </c>
      <c r="AU21" s="101">
        <f t="shared" si="5"/>
        <v>11.969999999999999</v>
      </c>
      <c r="AV21" s="61">
        <f t="shared" si="28"/>
        <v>-12.749829849295091</v>
      </c>
      <c r="AW21" s="110">
        <f t="shared" si="29"/>
        <v>14.058920758386002</v>
      </c>
      <c r="AY21" s="156"/>
      <c r="AZ21" s="156"/>
      <c r="BA21" s="156">
        <f t="shared" si="30"/>
        <v>1.2275681645728818</v>
      </c>
      <c r="BB21" s="156">
        <f t="shared" si="31"/>
        <v>1.1745130123964915</v>
      </c>
      <c r="BC21" s="144">
        <f t="shared" si="32"/>
        <v>1.2275681645728818</v>
      </c>
      <c r="BD21" s="144">
        <f t="shared" si="32"/>
        <v>1.1745130123964915</v>
      </c>
    </row>
    <row r="22" spans="1:56" x14ac:dyDescent="0.2">
      <c r="A22" s="2">
        <v>9</v>
      </c>
      <c r="B22" s="221">
        <v>8.25</v>
      </c>
      <c r="C22" s="32">
        <f t="shared" si="6"/>
        <v>0.10312499999999999</v>
      </c>
      <c r="D22" s="253">
        <f t="shared" si="7"/>
        <v>-0.83531250000000001</v>
      </c>
      <c r="E22" s="99">
        <f t="shared" si="8"/>
        <v>0.66825000000000001</v>
      </c>
      <c r="F22" s="253">
        <f t="shared" si="9"/>
        <v>-0.40500000000000008</v>
      </c>
      <c r="G22" s="108">
        <f t="shared" si="10"/>
        <v>0.32400000000000001</v>
      </c>
      <c r="H22" s="253">
        <v>-5.13</v>
      </c>
      <c r="I22" s="99">
        <v>6.29</v>
      </c>
      <c r="J22" s="253">
        <f t="shared" si="11"/>
        <v>-10.629140625</v>
      </c>
      <c r="K22" s="108">
        <f t="shared" si="11"/>
        <v>12.3288125</v>
      </c>
      <c r="L22" s="236">
        <f>'Stl-ser gr80'!L21</f>
        <v>4</v>
      </c>
      <c r="M22" s="236">
        <f>'Stl-ser gr80'!M21</f>
        <v>5.5</v>
      </c>
      <c r="N22" s="297">
        <f>'Stl-ser gr80'!N21</f>
        <v>0.2</v>
      </c>
      <c r="O22" s="236">
        <f>'Stl-ser gr80'!O21</f>
        <v>0.5</v>
      </c>
      <c r="P22" s="43">
        <f t="shared" si="12"/>
        <v>0.43636363636363645</v>
      </c>
      <c r="Q22" s="195">
        <f t="shared" si="13"/>
        <v>5.5</v>
      </c>
      <c r="R22" s="102">
        <f t="shared" si="14"/>
        <v>6</v>
      </c>
      <c r="S22" s="287">
        <f t="shared" si="15"/>
        <v>6.6115702479338859E-3</v>
      </c>
      <c r="T22" s="115">
        <f t="shared" si="16"/>
        <v>6.0606060606060615E-3</v>
      </c>
      <c r="U22" s="164"/>
      <c r="V22" s="253">
        <f t="shared" si="17"/>
        <v>13.404375303840547</v>
      </c>
      <c r="W22" s="108">
        <f t="shared" si="18"/>
        <v>14.713466212931458</v>
      </c>
      <c r="X22" s="253">
        <f t="shared" si="19"/>
        <v>13.279922216820616</v>
      </c>
      <c r="Y22" s="99">
        <f t="shared" si="20"/>
        <v>14.589013125911526</v>
      </c>
      <c r="Z22" s="253">
        <f t="shared" si="21"/>
        <v>13.503937773456492</v>
      </c>
      <c r="AA22" s="108">
        <f t="shared" si="22"/>
        <v>14.813028682547404</v>
      </c>
      <c r="AB22" s="3">
        <f t="shared" si="0"/>
        <v>9</v>
      </c>
      <c r="AC22" s="55">
        <f t="shared" si="0"/>
        <v>8.25</v>
      </c>
      <c r="AD22" s="253">
        <f t="shared" si="1"/>
        <v>-10.629140625</v>
      </c>
      <c r="AE22" s="108">
        <f t="shared" si="1"/>
        <v>12.3288125</v>
      </c>
      <c r="AF22" s="201">
        <v>67</v>
      </c>
      <c r="AG22" s="43">
        <f t="shared" si="2"/>
        <v>0.29236363636363644</v>
      </c>
      <c r="AH22" s="24">
        <v>4</v>
      </c>
      <c r="AI22" s="201">
        <v>8</v>
      </c>
      <c r="AJ22" s="218" t="str">
        <f t="shared" si="33"/>
        <v>#4 @ 8</v>
      </c>
      <c r="AK22" s="43">
        <f t="shared" si="23"/>
        <v>0.30000000000000004</v>
      </c>
      <c r="AL22" s="43">
        <f t="shared" si="24"/>
        <v>0.6875</v>
      </c>
      <c r="AM22" s="43">
        <f t="shared" si="34"/>
        <v>6.0606060606060615E-3</v>
      </c>
      <c r="AN22" s="272" t="str">
        <f t="shared" si="25"/>
        <v>#4 @ 5.5</v>
      </c>
      <c r="AP22" s="2">
        <f t="shared" si="3"/>
        <v>9</v>
      </c>
      <c r="AQ22" s="55">
        <f t="shared" si="3"/>
        <v>8.25</v>
      </c>
      <c r="AR22" s="167" t="str">
        <f t="shared" si="26"/>
        <v>#4 @ 5.5</v>
      </c>
      <c r="AS22" s="169" t="str">
        <f t="shared" si="27"/>
        <v>#4 @ 8</v>
      </c>
      <c r="AT22" s="253">
        <f t="shared" si="4"/>
        <v>-10.629140625</v>
      </c>
      <c r="AU22" s="99">
        <f t="shared" si="5"/>
        <v>12.3288125</v>
      </c>
      <c r="AV22" s="253">
        <f t="shared" si="28"/>
        <v>-13.404375303840547</v>
      </c>
      <c r="AW22" s="108">
        <f t="shared" si="29"/>
        <v>14.713466212931458</v>
      </c>
      <c r="AY22" s="156"/>
      <c r="AZ22" s="156"/>
      <c r="BA22" s="156">
        <f t="shared" si="30"/>
        <v>1.2610968070469524</v>
      </c>
      <c r="BB22" s="156">
        <f t="shared" si="31"/>
        <v>1.1934212003736335</v>
      </c>
      <c r="BC22" s="144">
        <f t="shared" si="32"/>
        <v>1.2610968070469524</v>
      </c>
      <c r="BD22" s="144">
        <f t="shared" si="32"/>
        <v>1.1934212003736335</v>
      </c>
    </row>
    <row r="23" spans="1:56" x14ac:dyDescent="0.2">
      <c r="A23" s="2">
        <v>9.25</v>
      </c>
      <c r="B23" s="221">
        <v>8.25</v>
      </c>
      <c r="C23" s="32">
        <f t="shared" si="6"/>
        <v>0.10312499999999999</v>
      </c>
      <c r="D23" s="253">
        <f t="shared" si="7"/>
        <v>-0.88236328125000008</v>
      </c>
      <c r="E23" s="99">
        <f t="shared" si="8"/>
        <v>0.70589062499999999</v>
      </c>
      <c r="F23" s="253">
        <f t="shared" si="9"/>
        <v>-0.4278125000000001</v>
      </c>
      <c r="G23" s="108">
        <f t="shared" si="10"/>
        <v>0.34225</v>
      </c>
      <c r="H23" s="253">
        <v>-5.19</v>
      </c>
      <c r="I23" s="99">
        <v>6.44</v>
      </c>
      <c r="J23" s="253">
        <f t="shared" si="11"/>
        <v>-10.827172851562501</v>
      </c>
      <c r="K23" s="108">
        <f t="shared" si="11"/>
        <v>12.66573828125</v>
      </c>
      <c r="L23" s="236">
        <f>'Stl-ser gr80'!L22</f>
        <v>4</v>
      </c>
      <c r="M23" s="236">
        <f>'Stl-ser gr80'!M22</f>
        <v>5.5</v>
      </c>
      <c r="N23" s="297">
        <f>'Stl-ser gr80'!N22</f>
        <v>0.2</v>
      </c>
      <c r="O23" s="236">
        <f>'Stl-ser gr80'!O22</f>
        <v>0.5</v>
      </c>
      <c r="P23" s="43">
        <f t="shared" si="12"/>
        <v>0.43636363636363645</v>
      </c>
      <c r="Q23" s="195">
        <f t="shared" si="13"/>
        <v>5.5</v>
      </c>
      <c r="R23" s="102">
        <f t="shared" si="14"/>
        <v>6</v>
      </c>
      <c r="S23" s="287">
        <f t="shared" si="15"/>
        <v>6.6115702479338859E-3</v>
      </c>
      <c r="T23" s="115">
        <f t="shared" si="16"/>
        <v>6.0606060606060615E-3</v>
      </c>
      <c r="U23" s="164"/>
      <c r="V23" s="253">
        <f t="shared" si="17"/>
        <v>13.404375303840547</v>
      </c>
      <c r="W23" s="108">
        <f t="shared" si="18"/>
        <v>14.713466212931458</v>
      </c>
      <c r="X23" s="253">
        <f t="shared" si="19"/>
        <v>13.279922216820616</v>
      </c>
      <c r="Y23" s="99">
        <f t="shared" si="20"/>
        <v>14.589013125911526</v>
      </c>
      <c r="Z23" s="253">
        <f t="shared" si="21"/>
        <v>13.503937773456492</v>
      </c>
      <c r="AA23" s="108">
        <f t="shared" si="22"/>
        <v>14.813028682547404</v>
      </c>
      <c r="AB23" s="3">
        <f t="shared" si="0"/>
        <v>9.25</v>
      </c>
      <c r="AC23" s="55">
        <f t="shared" si="0"/>
        <v>8.25</v>
      </c>
      <c r="AD23" s="253">
        <f t="shared" si="1"/>
        <v>-10.827172851562501</v>
      </c>
      <c r="AE23" s="108">
        <f t="shared" si="1"/>
        <v>12.66573828125</v>
      </c>
      <c r="AF23" s="201">
        <v>67</v>
      </c>
      <c r="AG23" s="43">
        <f t="shared" si="2"/>
        <v>0.29236363636363644</v>
      </c>
      <c r="AH23" s="24">
        <v>4</v>
      </c>
      <c r="AI23" s="201">
        <v>8</v>
      </c>
      <c r="AJ23" s="218" t="str">
        <f t="shared" si="33"/>
        <v>#4 @ 8</v>
      </c>
      <c r="AK23" s="43">
        <f t="shared" si="23"/>
        <v>0.30000000000000004</v>
      </c>
      <c r="AL23" s="43">
        <f t="shared" si="24"/>
        <v>0.6875</v>
      </c>
      <c r="AM23" s="43">
        <f t="shared" si="34"/>
        <v>6.0606060606060615E-3</v>
      </c>
      <c r="AN23" s="272" t="str">
        <f t="shared" si="25"/>
        <v>#4 @ 5.5</v>
      </c>
      <c r="AP23" s="2">
        <f t="shared" si="3"/>
        <v>9.25</v>
      </c>
      <c r="AQ23" s="55">
        <f t="shared" si="3"/>
        <v>8.25</v>
      </c>
      <c r="AR23" s="167" t="str">
        <f t="shared" si="26"/>
        <v>#4 @ 5.5</v>
      </c>
      <c r="AS23" s="169" t="str">
        <f t="shared" si="27"/>
        <v>#4 @ 8</v>
      </c>
      <c r="AT23" s="253">
        <f t="shared" si="4"/>
        <v>-10.827172851562501</v>
      </c>
      <c r="AU23" s="99">
        <f t="shared" si="5"/>
        <v>12.66573828125</v>
      </c>
      <c r="AV23" s="253">
        <f t="shared" si="28"/>
        <v>-13.404375303840547</v>
      </c>
      <c r="AW23" s="108">
        <f t="shared" si="29"/>
        <v>14.713466212931458</v>
      </c>
      <c r="AY23" s="156"/>
      <c r="AZ23" s="156"/>
      <c r="BA23" s="156">
        <f t="shared" si="30"/>
        <v>1.2380309696363738</v>
      </c>
      <c r="BB23" s="156">
        <f t="shared" si="31"/>
        <v>1.1616745811582776</v>
      </c>
      <c r="BC23" s="144">
        <f t="shared" si="32"/>
        <v>1.2380309696363738</v>
      </c>
      <c r="BD23" s="144">
        <f t="shared" si="32"/>
        <v>1.1616745811582776</v>
      </c>
    </row>
    <row r="24" spans="1:56" x14ac:dyDescent="0.2">
      <c r="A24" s="2">
        <v>9.5</v>
      </c>
      <c r="B24" s="221">
        <v>8.5</v>
      </c>
      <c r="C24" s="32">
        <f t="shared" si="6"/>
        <v>0.10625</v>
      </c>
      <c r="D24" s="253">
        <f t="shared" si="7"/>
        <v>-0.95890625000000007</v>
      </c>
      <c r="E24" s="99">
        <f t="shared" si="8"/>
        <v>0.76712500000000006</v>
      </c>
      <c r="F24" s="253">
        <f t="shared" si="9"/>
        <v>-0.4512500000000001</v>
      </c>
      <c r="G24" s="108">
        <f t="shared" si="10"/>
        <v>0.36099999999999999</v>
      </c>
      <c r="H24" s="253">
        <v>-5.46</v>
      </c>
      <c r="I24" s="99">
        <v>6.59</v>
      </c>
      <c r="J24" s="253">
        <f t="shared" si="11"/>
        <v>-11.4305078125</v>
      </c>
      <c r="K24" s="108">
        <f t="shared" si="11"/>
        <v>13.03290625</v>
      </c>
      <c r="L24" s="236">
        <f>'Stl-ser gr80'!L23</f>
        <v>4</v>
      </c>
      <c r="M24" s="236">
        <f>'Stl-ser gr80'!M23</f>
        <v>5.5</v>
      </c>
      <c r="N24" s="297">
        <f>'Stl-ser gr80'!N23</f>
        <v>0.2</v>
      </c>
      <c r="O24" s="236">
        <f>'Stl-ser gr80'!O23</f>
        <v>0.5</v>
      </c>
      <c r="P24" s="43">
        <f t="shared" si="12"/>
        <v>0.43636363636363645</v>
      </c>
      <c r="Q24" s="195">
        <f t="shared" si="13"/>
        <v>5.75</v>
      </c>
      <c r="R24" s="102">
        <f t="shared" si="14"/>
        <v>6.25</v>
      </c>
      <c r="S24" s="287">
        <f t="shared" si="15"/>
        <v>6.3241106719367605E-3</v>
      </c>
      <c r="T24" s="115">
        <f t="shared" si="16"/>
        <v>5.8181818181818196E-3</v>
      </c>
      <c r="U24" s="164"/>
      <c r="V24" s="253">
        <f t="shared" si="17"/>
        <v>14.058920758386002</v>
      </c>
      <c r="W24" s="108">
        <f t="shared" si="18"/>
        <v>15.368011667476912</v>
      </c>
      <c r="X24" s="253">
        <f t="shared" si="19"/>
        <v>13.93446767136607</v>
      </c>
      <c r="Y24" s="99">
        <f t="shared" si="20"/>
        <v>15.243558580456979</v>
      </c>
      <c r="Z24" s="253">
        <f t="shared" si="21"/>
        <v>14.158483228001947</v>
      </c>
      <c r="AA24" s="108">
        <f t="shared" si="22"/>
        <v>15.467574137092855</v>
      </c>
      <c r="AB24" s="3">
        <f t="shared" si="0"/>
        <v>9.5</v>
      </c>
      <c r="AC24" s="55">
        <f t="shared" si="0"/>
        <v>8.5</v>
      </c>
      <c r="AD24" s="253">
        <f t="shared" si="1"/>
        <v>-11.4305078125</v>
      </c>
      <c r="AE24" s="108">
        <f t="shared" si="1"/>
        <v>13.03290625</v>
      </c>
      <c r="AF24" s="201">
        <v>67</v>
      </c>
      <c r="AG24" s="43">
        <f t="shared" si="2"/>
        <v>0.29236363636363644</v>
      </c>
      <c r="AH24" s="24">
        <v>4</v>
      </c>
      <c r="AI24" s="201">
        <v>8</v>
      </c>
      <c r="AJ24" s="218" t="str">
        <f t="shared" si="33"/>
        <v>#4 @ 8</v>
      </c>
      <c r="AK24" s="43">
        <f t="shared" si="23"/>
        <v>0.30000000000000004</v>
      </c>
      <c r="AL24" s="43">
        <f t="shared" si="24"/>
        <v>0.6875</v>
      </c>
      <c r="AM24" s="43">
        <f t="shared" si="34"/>
        <v>5.8823529411764714E-3</v>
      </c>
      <c r="AN24" s="272" t="str">
        <f t="shared" si="25"/>
        <v>#4 @ 5.5</v>
      </c>
      <c r="AP24" s="2">
        <f t="shared" si="3"/>
        <v>9.5</v>
      </c>
      <c r="AQ24" s="55">
        <f t="shared" si="3"/>
        <v>8.5</v>
      </c>
      <c r="AR24" s="167" t="str">
        <f t="shared" si="26"/>
        <v>#4 @ 5.5</v>
      </c>
      <c r="AS24" s="169" t="str">
        <f t="shared" si="27"/>
        <v>#4 @ 8</v>
      </c>
      <c r="AT24" s="253">
        <f t="shared" si="4"/>
        <v>-11.4305078125</v>
      </c>
      <c r="AU24" s="99">
        <f t="shared" si="5"/>
        <v>13.03290625</v>
      </c>
      <c r="AV24" s="253">
        <f t="shared" si="28"/>
        <v>-14.058920758386002</v>
      </c>
      <c r="AW24" s="108">
        <f t="shared" si="29"/>
        <v>15.368011667476912</v>
      </c>
      <c r="AY24" s="156"/>
      <c r="AZ24" s="156"/>
      <c r="BA24" s="156">
        <f t="shared" si="30"/>
        <v>1.2299471719893023</v>
      </c>
      <c r="BB24" s="156">
        <f t="shared" si="31"/>
        <v>1.1791699696663522</v>
      </c>
      <c r="BC24" s="144">
        <f t="shared" si="32"/>
        <v>1.2299471719893023</v>
      </c>
      <c r="BD24" s="144">
        <f t="shared" si="32"/>
        <v>1.1791699696663522</v>
      </c>
    </row>
    <row r="25" spans="1:56" x14ac:dyDescent="0.2">
      <c r="A25" s="2">
        <v>9.75</v>
      </c>
      <c r="B25" s="222">
        <v>8.5</v>
      </c>
      <c r="C25" s="32">
        <f t="shared" si="6"/>
        <v>0.10625</v>
      </c>
      <c r="D25" s="253">
        <f t="shared" si="7"/>
        <v>-1.0100390625</v>
      </c>
      <c r="E25" s="99">
        <f t="shared" si="8"/>
        <v>0.80803125000000009</v>
      </c>
      <c r="F25" s="253">
        <f t="shared" si="9"/>
        <v>-0.47531250000000008</v>
      </c>
      <c r="G25" s="108">
        <f t="shared" si="10"/>
        <v>0.38025000000000003</v>
      </c>
      <c r="H25" s="253">
        <v>-5.8</v>
      </c>
      <c r="I25" s="99">
        <v>6.74</v>
      </c>
      <c r="J25" s="253">
        <f t="shared" si="11"/>
        <v>-12.125517578125001</v>
      </c>
      <c r="K25" s="108">
        <f t="shared" si="11"/>
        <v>13.375414062500001</v>
      </c>
      <c r="L25" s="238">
        <v>5</v>
      </c>
      <c r="M25" s="238">
        <v>6</v>
      </c>
      <c r="N25" s="298">
        <v>0.31</v>
      </c>
      <c r="O25" s="238">
        <v>0.625</v>
      </c>
      <c r="P25" s="44">
        <f t="shared" si="12"/>
        <v>0.62</v>
      </c>
      <c r="Q25" s="257">
        <f t="shared" si="13"/>
        <v>5.6875</v>
      </c>
      <c r="R25" s="104">
        <f t="shared" si="14"/>
        <v>6.1875</v>
      </c>
      <c r="S25" s="287">
        <f t="shared" si="15"/>
        <v>9.0842490842490842E-3</v>
      </c>
      <c r="T25" s="115">
        <f t="shared" si="16"/>
        <v>8.3501683501683507E-3</v>
      </c>
      <c r="U25" s="164"/>
      <c r="V25" s="61">
        <f t="shared" si="17"/>
        <v>19.147565359477124</v>
      </c>
      <c r="W25" s="110">
        <f t="shared" si="18"/>
        <v>21.007565359477123</v>
      </c>
      <c r="X25" s="61">
        <f t="shared" si="19"/>
        <v>18.896323529411767</v>
      </c>
      <c r="Y25" s="101">
        <f t="shared" si="20"/>
        <v>20.756323529411763</v>
      </c>
      <c r="Z25" s="61">
        <f t="shared" si="21"/>
        <v>19.348558823529412</v>
      </c>
      <c r="AA25" s="110">
        <f t="shared" si="22"/>
        <v>21.208558823529412</v>
      </c>
      <c r="AB25" s="3">
        <f t="shared" si="0"/>
        <v>9.75</v>
      </c>
      <c r="AC25" s="55">
        <f t="shared" si="0"/>
        <v>8.5</v>
      </c>
      <c r="AD25" s="253">
        <f t="shared" si="1"/>
        <v>-12.125517578125001</v>
      </c>
      <c r="AE25" s="108">
        <f t="shared" si="1"/>
        <v>13.375414062500001</v>
      </c>
      <c r="AF25" s="201">
        <v>67</v>
      </c>
      <c r="AG25" s="43">
        <f t="shared" si="2"/>
        <v>0.41539999999999999</v>
      </c>
      <c r="AH25" s="245">
        <v>4</v>
      </c>
      <c r="AI25" s="245">
        <v>7</v>
      </c>
      <c r="AJ25" s="219" t="str">
        <f t="shared" si="33"/>
        <v>#4 @ 7</v>
      </c>
      <c r="AK25" s="44">
        <f t="shared" si="23"/>
        <v>0.34285714285714292</v>
      </c>
      <c r="AL25" s="44">
        <f t="shared" si="24"/>
        <v>0.55299539170506917</v>
      </c>
      <c r="AM25" s="43">
        <f t="shared" si="34"/>
        <v>6.7226890756302534E-3</v>
      </c>
      <c r="AN25" s="219" t="str">
        <f t="shared" si="25"/>
        <v>#5 @ 6</v>
      </c>
      <c r="AP25" s="2">
        <f t="shared" si="3"/>
        <v>9.75</v>
      </c>
      <c r="AQ25" s="55">
        <f t="shared" si="3"/>
        <v>8.5</v>
      </c>
      <c r="AR25" s="175" t="str">
        <f t="shared" si="26"/>
        <v>#5 @ 6</v>
      </c>
      <c r="AS25" s="169" t="str">
        <f t="shared" si="27"/>
        <v>#4 @ 7</v>
      </c>
      <c r="AT25" s="253">
        <f t="shared" si="4"/>
        <v>-12.125517578125001</v>
      </c>
      <c r="AU25" s="99">
        <f t="shared" si="5"/>
        <v>13.375414062500001</v>
      </c>
      <c r="AV25" s="61">
        <f t="shared" si="28"/>
        <v>-19.147565359477124</v>
      </c>
      <c r="AW25" s="110">
        <f t="shared" si="29"/>
        <v>21.007565359477123</v>
      </c>
      <c r="AY25" s="156"/>
      <c r="AZ25" s="156"/>
      <c r="BA25" s="156">
        <f t="shared" si="30"/>
        <v>1.579113240825301</v>
      </c>
      <c r="BB25" s="156">
        <f t="shared" si="31"/>
        <v>1.5706104694265139</v>
      </c>
      <c r="BC25" s="144">
        <f t="shared" si="32"/>
        <v>1.579113240825301</v>
      </c>
      <c r="BD25" s="144">
        <f t="shared" si="32"/>
        <v>1.5706104694265139</v>
      </c>
    </row>
    <row r="26" spans="1:56" x14ac:dyDescent="0.2">
      <c r="A26" s="17">
        <v>10</v>
      </c>
      <c r="B26" s="221">
        <v>8.75</v>
      </c>
      <c r="C26" s="42">
        <f t="shared" si="6"/>
        <v>0.10937499999999999</v>
      </c>
      <c r="D26" s="255">
        <f t="shared" si="7"/>
        <v>-1.09375</v>
      </c>
      <c r="E26" s="100">
        <f t="shared" si="8"/>
        <v>0.87499999999999989</v>
      </c>
      <c r="F26" s="255">
        <f t="shared" si="9"/>
        <v>-0.50000000000000011</v>
      </c>
      <c r="G26" s="109">
        <f t="shared" si="10"/>
        <v>0.4</v>
      </c>
      <c r="H26" s="255">
        <v>-6.13</v>
      </c>
      <c r="I26" s="100">
        <v>6.89</v>
      </c>
      <c r="J26" s="255">
        <f t="shared" si="11"/>
        <v>-12.844687499999999</v>
      </c>
      <c r="K26" s="109">
        <f t="shared" si="11"/>
        <v>13.751249999999999</v>
      </c>
      <c r="L26" s="236">
        <v>5</v>
      </c>
      <c r="M26" s="236">
        <v>6</v>
      </c>
      <c r="N26" s="297">
        <v>0.31</v>
      </c>
      <c r="O26" s="236">
        <v>0.625</v>
      </c>
      <c r="P26" s="43">
        <f t="shared" si="12"/>
        <v>0.62</v>
      </c>
      <c r="Q26" s="195">
        <f t="shared" si="13"/>
        <v>5.9375</v>
      </c>
      <c r="R26" s="102">
        <f t="shared" si="14"/>
        <v>6.4375</v>
      </c>
      <c r="S26" s="288">
        <f t="shared" si="15"/>
        <v>8.7017543859649119E-3</v>
      </c>
      <c r="T26" s="116">
        <f t="shared" si="16"/>
        <v>8.0258899676375409E-3</v>
      </c>
      <c r="U26" s="164"/>
      <c r="V26" s="253">
        <f t="shared" si="17"/>
        <v>20.077565359477124</v>
      </c>
      <c r="W26" s="108">
        <f t="shared" si="18"/>
        <v>21.937565359477123</v>
      </c>
      <c r="X26" s="253">
        <f t="shared" si="19"/>
        <v>19.826323529411766</v>
      </c>
      <c r="Y26" s="99">
        <f t="shared" si="20"/>
        <v>21.686323529411766</v>
      </c>
      <c r="Z26" s="253">
        <f t="shared" si="21"/>
        <v>20.278558823529412</v>
      </c>
      <c r="AA26" s="108">
        <f t="shared" si="22"/>
        <v>22.138558823529412</v>
      </c>
      <c r="AB26" s="18">
        <f t="shared" si="0"/>
        <v>10</v>
      </c>
      <c r="AC26" s="56">
        <f t="shared" si="0"/>
        <v>8.75</v>
      </c>
      <c r="AD26" s="255">
        <f t="shared" si="1"/>
        <v>-12.844687499999999</v>
      </c>
      <c r="AE26" s="109">
        <f t="shared" si="1"/>
        <v>13.751249999999999</v>
      </c>
      <c r="AF26" s="244">
        <v>67</v>
      </c>
      <c r="AG26" s="42">
        <f t="shared" si="2"/>
        <v>0.41539999999999999</v>
      </c>
      <c r="AH26" s="24">
        <v>4</v>
      </c>
      <c r="AI26" s="201">
        <v>7</v>
      </c>
      <c r="AJ26" s="218" t="str">
        <f t="shared" si="33"/>
        <v>#4 @ 7</v>
      </c>
      <c r="AK26" s="43">
        <f t="shared" si="23"/>
        <v>0.34285714285714292</v>
      </c>
      <c r="AL26" s="43">
        <f t="shared" si="24"/>
        <v>0.55299539170506917</v>
      </c>
      <c r="AM26" s="42">
        <f t="shared" si="34"/>
        <v>6.5306122448979603E-3</v>
      </c>
      <c r="AN26" s="272" t="str">
        <f t="shared" si="25"/>
        <v>#5 @ 6</v>
      </c>
      <c r="AP26" s="17">
        <f t="shared" si="3"/>
        <v>10</v>
      </c>
      <c r="AQ26" s="56">
        <f t="shared" si="3"/>
        <v>8.75</v>
      </c>
      <c r="AR26" s="167" t="str">
        <f t="shared" si="26"/>
        <v>#5 @ 6</v>
      </c>
      <c r="AS26" s="174" t="str">
        <f t="shared" si="27"/>
        <v>#4 @ 7</v>
      </c>
      <c r="AT26" s="255">
        <f t="shared" si="4"/>
        <v>-12.844687499999999</v>
      </c>
      <c r="AU26" s="100">
        <f t="shared" si="5"/>
        <v>13.751249999999999</v>
      </c>
      <c r="AV26" s="253">
        <f t="shared" si="28"/>
        <v>-20.077565359477124</v>
      </c>
      <c r="AW26" s="108">
        <f t="shared" si="29"/>
        <v>21.937565359477123</v>
      </c>
      <c r="AY26" s="156"/>
      <c r="AZ26" s="156"/>
      <c r="BA26" s="156">
        <f t="shared" si="30"/>
        <v>1.5631026725622654</v>
      </c>
      <c r="BB26" s="156">
        <f t="shared" si="31"/>
        <v>1.5953142703010363</v>
      </c>
      <c r="BC26" s="144">
        <f t="shared" si="32"/>
        <v>1.5631026725622654</v>
      </c>
      <c r="BD26" s="144">
        <f t="shared" si="32"/>
        <v>1.5953142703010363</v>
      </c>
    </row>
    <row r="27" spans="1:56" x14ac:dyDescent="0.2">
      <c r="A27" s="2">
        <v>10.25</v>
      </c>
      <c r="B27" s="221">
        <v>8.75</v>
      </c>
      <c r="C27" s="43">
        <f t="shared" si="6"/>
        <v>0.10937499999999999</v>
      </c>
      <c r="D27" s="253">
        <f t="shared" si="7"/>
        <v>-1.1491210937499998</v>
      </c>
      <c r="E27" s="99">
        <f t="shared" si="8"/>
        <v>0.9192968749999999</v>
      </c>
      <c r="F27" s="253">
        <f t="shared" si="9"/>
        <v>-0.52531250000000007</v>
      </c>
      <c r="G27" s="108">
        <f t="shared" si="10"/>
        <v>0.42025000000000001</v>
      </c>
      <c r="H27" s="253">
        <v>-6.45</v>
      </c>
      <c r="I27" s="99">
        <v>7.03</v>
      </c>
      <c r="J27" s="253">
        <f t="shared" si="11"/>
        <v>-13.511870117187499</v>
      </c>
      <c r="K27" s="108">
        <f t="shared" si="11"/>
        <v>14.08199609375</v>
      </c>
      <c r="L27" s="236">
        <v>5</v>
      </c>
      <c r="M27" s="236">
        <v>6</v>
      </c>
      <c r="N27" s="297">
        <v>0.31</v>
      </c>
      <c r="O27" s="236">
        <v>0.625</v>
      </c>
      <c r="P27" s="43">
        <f t="shared" si="12"/>
        <v>0.62</v>
      </c>
      <c r="Q27" s="195">
        <f t="shared" si="13"/>
        <v>5.9375</v>
      </c>
      <c r="R27" s="102">
        <f t="shared" si="14"/>
        <v>6.4375</v>
      </c>
      <c r="S27" s="287">
        <f t="shared" si="15"/>
        <v>8.7017543859649119E-3</v>
      </c>
      <c r="T27" s="115">
        <f t="shared" si="16"/>
        <v>8.0258899676375409E-3</v>
      </c>
      <c r="U27" s="164"/>
      <c r="V27" s="253">
        <f t="shared" si="17"/>
        <v>20.077565359477124</v>
      </c>
      <c r="W27" s="108">
        <f t="shared" si="18"/>
        <v>21.937565359477123</v>
      </c>
      <c r="X27" s="253">
        <f t="shared" si="19"/>
        <v>19.826323529411766</v>
      </c>
      <c r="Y27" s="99">
        <f t="shared" si="20"/>
        <v>21.686323529411766</v>
      </c>
      <c r="Z27" s="253">
        <f t="shared" si="21"/>
        <v>20.278558823529412</v>
      </c>
      <c r="AA27" s="108">
        <f t="shared" si="22"/>
        <v>22.138558823529412</v>
      </c>
      <c r="AB27" s="3">
        <f t="shared" si="0"/>
        <v>10.25</v>
      </c>
      <c r="AC27" s="55">
        <f t="shared" si="0"/>
        <v>8.75</v>
      </c>
      <c r="AD27" s="253">
        <f t="shared" si="1"/>
        <v>-13.511870117187499</v>
      </c>
      <c r="AE27" s="108">
        <f t="shared" si="1"/>
        <v>14.08199609375</v>
      </c>
      <c r="AF27" s="201">
        <v>67</v>
      </c>
      <c r="AG27" s="43">
        <f t="shared" si="2"/>
        <v>0.41539999999999999</v>
      </c>
      <c r="AH27" s="24">
        <v>4</v>
      </c>
      <c r="AI27" s="201">
        <v>7</v>
      </c>
      <c r="AJ27" s="218" t="str">
        <f t="shared" si="33"/>
        <v>#4 @ 7</v>
      </c>
      <c r="AK27" s="43">
        <f t="shared" si="23"/>
        <v>0.34285714285714292</v>
      </c>
      <c r="AL27" s="43">
        <f t="shared" si="24"/>
        <v>0.55299539170506917</v>
      </c>
      <c r="AM27" s="43">
        <f t="shared" si="34"/>
        <v>6.5306122448979603E-3</v>
      </c>
      <c r="AN27" s="272" t="str">
        <f t="shared" si="25"/>
        <v>#5 @ 6</v>
      </c>
      <c r="AP27" s="2">
        <f t="shared" si="3"/>
        <v>10.25</v>
      </c>
      <c r="AQ27" s="55">
        <f t="shared" si="3"/>
        <v>8.75</v>
      </c>
      <c r="AR27" s="167" t="str">
        <f t="shared" si="26"/>
        <v>#5 @ 6</v>
      </c>
      <c r="AS27" s="169" t="str">
        <f t="shared" si="27"/>
        <v>#4 @ 7</v>
      </c>
      <c r="AT27" s="253">
        <f t="shared" si="4"/>
        <v>-13.511870117187499</v>
      </c>
      <c r="AU27" s="99">
        <f t="shared" si="5"/>
        <v>14.08199609375</v>
      </c>
      <c r="AV27" s="253">
        <f t="shared" si="28"/>
        <v>-20.077565359477124</v>
      </c>
      <c r="AW27" s="108">
        <f t="shared" si="29"/>
        <v>21.937565359477123</v>
      </c>
      <c r="AY27" s="156"/>
      <c r="AZ27" s="156"/>
      <c r="BA27" s="156">
        <f t="shared" si="30"/>
        <v>1.4859205413718317</v>
      </c>
      <c r="BB27" s="156">
        <f t="shared" si="31"/>
        <v>1.5578448689680899</v>
      </c>
      <c r="BC27" s="144">
        <f t="shared" si="32"/>
        <v>1.4859205413718317</v>
      </c>
      <c r="BD27" s="144">
        <f t="shared" si="32"/>
        <v>1.5578448689680899</v>
      </c>
    </row>
    <row r="28" spans="1:56" x14ac:dyDescent="0.2">
      <c r="A28" s="2">
        <v>10.5</v>
      </c>
      <c r="B28" s="221">
        <v>8.75</v>
      </c>
      <c r="C28" s="43">
        <f t="shared" si="6"/>
        <v>0.10937499999999999</v>
      </c>
      <c r="D28" s="253">
        <f t="shared" si="7"/>
        <v>-1.205859375</v>
      </c>
      <c r="E28" s="99">
        <f t="shared" si="8"/>
        <v>0.96468749999999992</v>
      </c>
      <c r="F28" s="253">
        <f t="shared" si="9"/>
        <v>-0.55125000000000013</v>
      </c>
      <c r="G28" s="108">
        <f t="shared" si="10"/>
        <v>0.441</v>
      </c>
      <c r="H28" s="253">
        <v>-6.77</v>
      </c>
      <c r="I28" s="99">
        <v>7.17</v>
      </c>
      <c r="J28" s="253">
        <f t="shared" si="11"/>
        <v>-14.181699218750001</v>
      </c>
      <c r="K28" s="108">
        <f t="shared" si="11"/>
        <v>14.414859374999999</v>
      </c>
      <c r="L28" s="236">
        <v>5</v>
      </c>
      <c r="M28" s="236">
        <v>6</v>
      </c>
      <c r="N28" s="297">
        <v>0.31</v>
      </c>
      <c r="O28" s="236">
        <v>0.625</v>
      </c>
      <c r="P28" s="43">
        <f t="shared" si="12"/>
        <v>0.62</v>
      </c>
      <c r="Q28" s="195">
        <f t="shared" si="13"/>
        <v>5.9375</v>
      </c>
      <c r="R28" s="102">
        <f t="shared" si="14"/>
        <v>6.4375</v>
      </c>
      <c r="S28" s="287">
        <f t="shared" si="15"/>
        <v>8.7017543859649119E-3</v>
      </c>
      <c r="T28" s="115">
        <f t="shared" si="16"/>
        <v>8.0258899676375409E-3</v>
      </c>
      <c r="U28" s="164"/>
      <c r="V28" s="253">
        <f t="shared" si="17"/>
        <v>20.077565359477124</v>
      </c>
      <c r="W28" s="108">
        <f t="shared" si="18"/>
        <v>21.937565359477123</v>
      </c>
      <c r="X28" s="253">
        <f t="shared" si="19"/>
        <v>19.826323529411766</v>
      </c>
      <c r="Y28" s="99">
        <f t="shared" si="20"/>
        <v>21.686323529411766</v>
      </c>
      <c r="Z28" s="253">
        <f t="shared" si="21"/>
        <v>20.278558823529412</v>
      </c>
      <c r="AA28" s="108">
        <f t="shared" si="22"/>
        <v>22.138558823529412</v>
      </c>
      <c r="AB28" s="3">
        <f t="shared" si="0"/>
        <v>10.5</v>
      </c>
      <c r="AC28" s="55">
        <f t="shared" si="0"/>
        <v>8.75</v>
      </c>
      <c r="AD28" s="253">
        <f t="shared" si="1"/>
        <v>-14.181699218750001</v>
      </c>
      <c r="AE28" s="108">
        <f t="shared" si="1"/>
        <v>14.414859374999999</v>
      </c>
      <c r="AF28" s="201">
        <v>67</v>
      </c>
      <c r="AG28" s="43">
        <f t="shared" si="2"/>
        <v>0.41539999999999999</v>
      </c>
      <c r="AH28" s="24">
        <v>4</v>
      </c>
      <c r="AI28" s="201">
        <v>7</v>
      </c>
      <c r="AJ28" s="218" t="str">
        <f t="shared" si="33"/>
        <v>#4 @ 7</v>
      </c>
      <c r="AK28" s="43">
        <f t="shared" si="23"/>
        <v>0.34285714285714292</v>
      </c>
      <c r="AL28" s="43">
        <f t="shared" si="24"/>
        <v>0.55299539170506917</v>
      </c>
      <c r="AM28" s="43">
        <f t="shared" si="34"/>
        <v>6.5306122448979603E-3</v>
      </c>
      <c r="AN28" s="272" t="str">
        <f t="shared" si="25"/>
        <v>#5 @ 6</v>
      </c>
      <c r="AP28" s="2">
        <f t="shared" si="3"/>
        <v>10.5</v>
      </c>
      <c r="AQ28" s="55">
        <f t="shared" si="3"/>
        <v>8.75</v>
      </c>
      <c r="AR28" s="167" t="str">
        <f t="shared" si="26"/>
        <v>#5 @ 6</v>
      </c>
      <c r="AS28" s="169" t="str">
        <f t="shared" si="27"/>
        <v>#4 @ 7</v>
      </c>
      <c r="AT28" s="253">
        <f t="shared" si="4"/>
        <v>-14.181699218750001</v>
      </c>
      <c r="AU28" s="99">
        <f t="shared" si="5"/>
        <v>14.414859374999999</v>
      </c>
      <c r="AV28" s="253">
        <f t="shared" si="28"/>
        <v>-20.077565359477124</v>
      </c>
      <c r="AW28" s="108">
        <f t="shared" si="29"/>
        <v>21.937565359477123</v>
      </c>
      <c r="AY28" s="156"/>
      <c r="AZ28" s="156"/>
      <c r="BA28" s="311">
        <f t="shared" si="30"/>
        <v>1.4157376383312403</v>
      </c>
      <c r="BB28" s="156">
        <f t="shared" si="31"/>
        <v>1.521871617944738</v>
      </c>
      <c r="BC28" s="144">
        <f t="shared" si="32"/>
        <v>1.4157376383312403</v>
      </c>
      <c r="BD28" s="144">
        <f t="shared" si="32"/>
        <v>1.521871617944738</v>
      </c>
    </row>
    <row r="29" spans="1:56" x14ac:dyDescent="0.2">
      <c r="A29" s="8">
        <v>10.75</v>
      </c>
      <c r="B29" s="222">
        <v>9</v>
      </c>
      <c r="C29" s="44">
        <f t="shared" si="6"/>
        <v>0.11249999999999999</v>
      </c>
      <c r="D29" s="61">
        <f t="shared" si="7"/>
        <v>-1.300078125</v>
      </c>
      <c r="E29" s="101">
        <f t="shared" si="8"/>
        <v>1.0400624999999999</v>
      </c>
      <c r="F29" s="61">
        <f t="shared" si="9"/>
        <v>-0.57781250000000006</v>
      </c>
      <c r="G29" s="110">
        <f t="shared" si="10"/>
        <v>0.46224999999999999</v>
      </c>
      <c r="H29" s="61">
        <v>-7.08</v>
      </c>
      <c r="I29" s="101">
        <v>7.32</v>
      </c>
      <c r="J29" s="61">
        <f t="shared" si="11"/>
        <v>-14.88181640625</v>
      </c>
      <c r="K29" s="110">
        <f t="shared" si="11"/>
        <v>14.803453125000001</v>
      </c>
      <c r="L29" s="238">
        <v>5</v>
      </c>
      <c r="M29" s="238">
        <v>6</v>
      </c>
      <c r="N29" s="298">
        <v>0.31</v>
      </c>
      <c r="O29" s="238">
        <v>0.625</v>
      </c>
      <c r="P29" s="44">
        <f t="shared" si="12"/>
        <v>0.62</v>
      </c>
      <c r="Q29" s="257">
        <f t="shared" si="13"/>
        <v>6.1875</v>
      </c>
      <c r="R29" s="104">
        <f t="shared" si="14"/>
        <v>6.6875</v>
      </c>
      <c r="S29" s="289">
        <f t="shared" si="15"/>
        <v>8.3501683501683507E-3</v>
      </c>
      <c r="T29" s="117">
        <f t="shared" si="16"/>
        <v>7.7258566978193142E-3</v>
      </c>
      <c r="U29" s="164"/>
      <c r="V29" s="61">
        <f t="shared" si="17"/>
        <v>21.007565359477123</v>
      </c>
      <c r="W29" s="110">
        <f t="shared" si="18"/>
        <v>22.867565359477126</v>
      </c>
      <c r="X29" s="61">
        <f t="shared" si="19"/>
        <v>20.756323529411763</v>
      </c>
      <c r="Y29" s="101">
        <f t="shared" si="20"/>
        <v>22.616323529411769</v>
      </c>
      <c r="Z29" s="61">
        <f t="shared" si="21"/>
        <v>21.208558823529412</v>
      </c>
      <c r="AA29" s="110">
        <f t="shared" si="22"/>
        <v>23.068558823529411</v>
      </c>
      <c r="AB29" s="9">
        <f t="shared" si="0"/>
        <v>10.75</v>
      </c>
      <c r="AC29" s="60">
        <f t="shared" si="0"/>
        <v>9</v>
      </c>
      <c r="AD29" s="61">
        <f t="shared" si="1"/>
        <v>-14.88181640625</v>
      </c>
      <c r="AE29" s="110">
        <f t="shared" si="1"/>
        <v>14.803453125000001</v>
      </c>
      <c r="AF29" s="245">
        <v>67</v>
      </c>
      <c r="AG29" s="44">
        <f t="shared" si="2"/>
        <v>0.41539999999999999</v>
      </c>
      <c r="AH29" s="245">
        <v>4</v>
      </c>
      <c r="AI29" s="245">
        <v>7</v>
      </c>
      <c r="AJ29" s="219" t="str">
        <f t="shared" si="33"/>
        <v>#4 @ 7</v>
      </c>
      <c r="AK29" s="44">
        <f t="shared" si="23"/>
        <v>0.34285714285714292</v>
      </c>
      <c r="AL29" s="44">
        <f t="shared" si="24"/>
        <v>0.55299539170506917</v>
      </c>
      <c r="AM29" s="44">
        <f t="shared" si="34"/>
        <v>6.3492063492063501E-3</v>
      </c>
      <c r="AN29" s="219" t="str">
        <f t="shared" si="25"/>
        <v>#5 @ 6</v>
      </c>
      <c r="AP29" s="8">
        <f t="shared" si="3"/>
        <v>10.75</v>
      </c>
      <c r="AQ29" s="60">
        <f t="shared" si="3"/>
        <v>9</v>
      </c>
      <c r="AR29" s="175" t="str">
        <f t="shared" si="26"/>
        <v>#5 @ 6</v>
      </c>
      <c r="AS29" s="175" t="str">
        <f t="shared" si="27"/>
        <v>#4 @ 7</v>
      </c>
      <c r="AT29" s="296">
        <f t="shared" si="4"/>
        <v>-14.88181640625</v>
      </c>
      <c r="AU29" s="101">
        <f t="shared" si="5"/>
        <v>14.803453125000001</v>
      </c>
      <c r="AV29" s="61">
        <f t="shared" si="28"/>
        <v>-21.007565359477123</v>
      </c>
      <c r="AW29" s="110">
        <f t="shared" si="29"/>
        <v>22.867565359477126</v>
      </c>
      <c r="AY29" s="203"/>
      <c r="AZ29" s="156"/>
      <c r="BA29" s="311">
        <f t="shared" si="30"/>
        <v>1.4116264295972942</v>
      </c>
      <c r="BB29" s="156">
        <f t="shared" si="31"/>
        <v>1.544745348695602</v>
      </c>
      <c r="BC29" s="144">
        <f t="shared" si="32"/>
        <v>1.4116264295972942</v>
      </c>
      <c r="BD29" s="144">
        <f t="shared" si="32"/>
        <v>1.544745348695602</v>
      </c>
    </row>
    <row r="30" spans="1:56" x14ac:dyDescent="0.2">
      <c r="A30" s="2">
        <v>11</v>
      </c>
      <c r="B30" s="221">
        <v>9</v>
      </c>
      <c r="C30" s="32">
        <f t="shared" si="6"/>
        <v>0.11249999999999999</v>
      </c>
      <c r="D30" s="253">
        <f t="shared" si="7"/>
        <v>-1.3612499999999998</v>
      </c>
      <c r="E30" s="99">
        <f t="shared" si="8"/>
        <v>1.089</v>
      </c>
      <c r="F30" s="253">
        <f t="shared" si="9"/>
        <v>-0.60500000000000009</v>
      </c>
      <c r="G30" s="108">
        <f t="shared" si="10"/>
        <v>0.48399999999999999</v>
      </c>
      <c r="H30" s="253">
        <v>-7.38</v>
      </c>
      <c r="I30" s="99">
        <v>7.46</v>
      </c>
      <c r="J30" s="253">
        <f t="shared" si="11"/>
        <v>-15.524062499999999</v>
      </c>
      <c r="K30" s="108">
        <f t="shared" si="11"/>
        <v>15.142250000000001</v>
      </c>
      <c r="L30" s="236">
        <f>'Stl-ser gr80'!L29</f>
        <v>5</v>
      </c>
      <c r="M30" s="236">
        <f>'Stl-ser gr80'!M29</f>
        <v>6</v>
      </c>
      <c r="N30" s="297">
        <f>'Stl-ser gr80'!N29</f>
        <v>0.31</v>
      </c>
      <c r="O30" s="236">
        <f>'Stl-ser gr80'!O29</f>
        <v>0.625</v>
      </c>
      <c r="P30" s="43">
        <f t="shared" si="12"/>
        <v>0.62</v>
      </c>
      <c r="Q30" s="195">
        <f t="shared" si="13"/>
        <v>6.1875</v>
      </c>
      <c r="R30" s="102">
        <f t="shared" si="14"/>
        <v>6.6875</v>
      </c>
      <c r="S30" s="287">
        <f t="shared" si="15"/>
        <v>8.3501683501683507E-3</v>
      </c>
      <c r="T30" s="115">
        <f t="shared" si="16"/>
        <v>7.7258566978193142E-3</v>
      </c>
      <c r="U30" s="164"/>
      <c r="V30" s="253">
        <f t="shared" si="17"/>
        <v>21.007565359477123</v>
      </c>
      <c r="W30" s="108">
        <f t="shared" si="18"/>
        <v>22.867565359477126</v>
      </c>
      <c r="X30" s="253">
        <f t="shared" si="19"/>
        <v>20.756323529411763</v>
      </c>
      <c r="Y30" s="99">
        <f t="shared" si="20"/>
        <v>22.616323529411769</v>
      </c>
      <c r="Z30" s="253">
        <f t="shared" si="21"/>
        <v>21.208558823529412</v>
      </c>
      <c r="AA30" s="108">
        <f t="shared" si="22"/>
        <v>23.068558823529411</v>
      </c>
      <c r="AB30" s="3">
        <f t="shared" si="0"/>
        <v>11</v>
      </c>
      <c r="AC30" s="55">
        <f t="shared" si="0"/>
        <v>9</v>
      </c>
      <c r="AD30" s="253">
        <f t="shared" si="1"/>
        <v>-15.524062499999999</v>
      </c>
      <c r="AE30" s="108">
        <f t="shared" si="1"/>
        <v>15.142250000000001</v>
      </c>
      <c r="AF30" s="244">
        <v>67</v>
      </c>
      <c r="AG30" s="43">
        <f t="shared" si="2"/>
        <v>0.41539999999999999</v>
      </c>
      <c r="AH30" s="24">
        <v>5</v>
      </c>
      <c r="AI30" s="201">
        <v>8</v>
      </c>
      <c r="AJ30" s="218" t="str">
        <f t="shared" si="33"/>
        <v>#5 @ 8</v>
      </c>
      <c r="AK30" s="43">
        <f>0.31*12/AI30</f>
        <v>0.46499999999999997</v>
      </c>
      <c r="AL30" s="43">
        <f t="shared" si="24"/>
        <v>0.75</v>
      </c>
      <c r="AM30" s="43">
        <f t="shared" si="34"/>
        <v>8.611111111111111E-3</v>
      </c>
      <c r="AN30" s="272" t="str">
        <f t="shared" si="25"/>
        <v>#5 @ 6</v>
      </c>
      <c r="AP30" s="2">
        <f t="shared" si="3"/>
        <v>11</v>
      </c>
      <c r="AQ30" s="55">
        <f t="shared" si="3"/>
        <v>9</v>
      </c>
      <c r="AR30" s="174" t="str">
        <f t="shared" si="26"/>
        <v>#5 @ 6</v>
      </c>
      <c r="AS30" s="304" t="str">
        <f t="shared" si="27"/>
        <v>#5 @ 8</v>
      </c>
      <c r="AT30" s="255">
        <f t="shared" si="4"/>
        <v>-15.524062499999999</v>
      </c>
      <c r="AU30" s="100">
        <f t="shared" si="5"/>
        <v>15.142250000000001</v>
      </c>
      <c r="AV30" s="253">
        <f t="shared" si="28"/>
        <v>-21.007565359477123</v>
      </c>
      <c r="AW30" s="108">
        <f t="shared" si="29"/>
        <v>22.867565359477126</v>
      </c>
      <c r="AY30" s="156"/>
      <c r="AZ30" s="156"/>
      <c r="BA30" s="311">
        <f t="shared" si="30"/>
        <v>1.3532260231158644</v>
      </c>
      <c r="BB30" s="156">
        <f t="shared" si="31"/>
        <v>1.5101827905018821</v>
      </c>
      <c r="BC30" s="144">
        <f t="shared" si="32"/>
        <v>1.3532260231158644</v>
      </c>
      <c r="BD30" s="144">
        <f t="shared" si="32"/>
        <v>1.5101827905018821</v>
      </c>
    </row>
    <row r="31" spans="1:56" x14ac:dyDescent="0.2">
      <c r="A31" s="2">
        <v>11.25</v>
      </c>
      <c r="B31" s="221">
        <v>9</v>
      </c>
      <c r="C31" s="32">
        <f t="shared" si="6"/>
        <v>0.11249999999999999</v>
      </c>
      <c r="D31" s="253">
        <f t="shared" si="7"/>
        <v>-1.423828125</v>
      </c>
      <c r="E31" s="99">
        <f t="shared" si="8"/>
        <v>1.1390624999999999</v>
      </c>
      <c r="F31" s="253">
        <f t="shared" si="9"/>
        <v>-0.63281250000000011</v>
      </c>
      <c r="G31" s="108">
        <f t="shared" si="10"/>
        <v>0.50624999999999998</v>
      </c>
      <c r="H31" s="253">
        <v>-7.67</v>
      </c>
      <c r="I31" s="99">
        <v>7.6</v>
      </c>
      <c r="J31" s="253">
        <f t="shared" si="11"/>
        <v>-16.151503906249999</v>
      </c>
      <c r="K31" s="108">
        <f t="shared" si="11"/>
        <v>15.483203124999999</v>
      </c>
      <c r="L31" s="236">
        <f>'Stl-ser gr80'!L30</f>
        <v>5</v>
      </c>
      <c r="M31" s="236">
        <f>'Stl-ser gr80'!M30</f>
        <v>6</v>
      </c>
      <c r="N31" s="297">
        <f>'Stl-ser gr80'!N30</f>
        <v>0.31</v>
      </c>
      <c r="O31" s="236">
        <f>'Stl-ser gr80'!O30</f>
        <v>0.625</v>
      </c>
      <c r="P31" s="43">
        <f t="shared" si="12"/>
        <v>0.62</v>
      </c>
      <c r="Q31" s="195">
        <f t="shared" si="13"/>
        <v>6.1875</v>
      </c>
      <c r="R31" s="102">
        <f t="shared" si="14"/>
        <v>6.6875</v>
      </c>
      <c r="S31" s="287">
        <f t="shared" si="15"/>
        <v>8.3501683501683507E-3</v>
      </c>
      <c r="T31" s="115">
        <f t="shared" si="16"/>
        <v>7.7258566978193142E-3</v>
      </c>
      <c r="U31" s="164"/>
      <c r="V31" s="253">
        <f t="shared" si="17"/>
        <v>21.007565359477123</v>
      </c>
      <c r="W31" s="108">
        <f t="shared" si="18"/>
        <v>22.867565359477126</v>
      </c>
      <c r="X31" s="253">
        <f t="shared" si="19"/>
        <v>20.756323529411763</v>
      </c>
      <c r="Y31" s="99">
        <f t="shared" si="20"/>
        <v>22.616323529411769</v>
      </c>
      <c r="Z31" s="253">
        <f t="shared" si="21"/>
        <v>21.208558823529412</v>
      </c>
      <c r="AA31" s="108">
        <f t="shared" si="22"/>
        <v>23.068558823529411</v>
      </c>
      <c r="AB31" s="3">
        <f t="shared" si="0"/>
        <v>11.25</v>
      </c>
      <c r="AC31" s="246">
        <f t="shared" si="0"/>
        <v>9</v>
      </c>
      <c r="AD31" s="253">
        <f t="shared" si="1"/>
        <v>-16.151503906249999</v>
      </c>
      <c r="AE31" s="108">
        <f t="shared" si="1"/>
        <v>15.483203124999999</v>
      </c>
      <c r="AF31" s="201">
        <v>67</v>
      </c>
      <c r="AG31" s="43">
        <f t="shared" si="2"/>
        <v>0.41539999999999999</v>
      </c>
      <c r="AH31" s="24">
        <v>5</v>
      </c>
      <c r="AI31" s="201">
        <v>8</v>
      </c>
      <c r="AJ31" s="218" t="str">
        <f t="shared" si="33"/>
        <v>#5 @ 8</v>
      </c>
      <c r="AK31" s="43">
        <f t="shared" ref="AK31:AK46" si="35">0.31*12/AI31</f>
        <v>0.46499999999999997</v>
      </c>
      <c r="AL31" s="43">
        <f t="shared" si="24"/>
        <v>0.75</v>
      </c>
      <c r="AM31" s="43">
        <f t="shared" si="34"/>
        <v>8.611111111111111E-3</v>
      </c>
      <c r="AN31" s="272" t="str">
        <f t="shared" si="25"/>
        <v>#5 @ 6</v>
      </c>
      <c r="AP31" s="2">
        <f t="shared" si="3"/>
        <v>11.25</v>
      </c>
      <c r="AQ31" s="246">
        <f t="shared" si="3"/>
        <v>9</v>
      </c>
      <c r="AR31" s="169" t="str">
        <f t="shared" si="26"/>
        <v>#5 @ 6</v>
      </c>
      <c r="AS31" s="303" t="str">
        <f t="shared" si="27"/>
        <v>#5 @ 8</v>
      </c>
      <c r="AT31" s="253">
        <f t="shared" si="4"/>
        <v>-16.151503906249999</v>
      </c>
      <c r="AU31" s="99">
        <f t="shared" si="5"/>
        <v>15.483203124999999</v>
      </c>
      <c r="AV31" s="253">
        <f t="shared" si="28"/>
        <v>-21.007565359477123</v>
      </c>
      <c r="AW31" s="108">
        <f t="shared" si="29"/>
        <v>22.867565359477126</v>
      </c>
      <c r="AY31" s="202"/>
      <c r="AZ31" s="156"/>
      <c r="BA31" s="311">
        <f t="shared" si="30"/>
        <v>1.3006569221921198</v>
      </c>
      <c r="BB31" s="156">
        <f t="shared" si="31"/>
        <v>1.4769272982380464</v>
      </c>
      <c r="BC31" s="144">
        <f t="shared" si="32"/>
        <v>1.3006569221921198</v>
      </c>
      <c r="BD31" s="144">
        <f t="shared" si="32"/>
        <v>1.4769272982380464</v>
      </c>
    </row>
    <row r="32" spans="1:56" x14ac:dyDescent="0.2">
      <c r="A32" s="2">
        <v>11.5</v>
      </c>
      <c r="B32" s="221">
        <v>9.25</v>
      </c>
      <c r="C32" s="32">
        <f t="shared" si="6"/>
        <v>0.11562500000000001</v>
      </c>
      <c r="D32" s="253">
        <f t="shared" si="7"/>
        <v>-1.5291406250000001</v>
      </c>
      <c r="E32" s="99">
        <f t="shared" si="8"/>
        <v>1.2233125000000002</v>
      </c>
      <c r="F32" s="253">
        <f t="shared" si="9"/>
        <v>-0.66125000000000012</v>
      </c>
      <c r="G32" s="108">
        <f t="shared" si="10"/>
        <v>0.52900000000000003</v>
      </c>
      <c r="H32" s="253">
        <v>-7.96</v>
      </c>
      <c r="I32" s="99">
        <v>7.74</v>
      </c>
      <c r="J32" s="253">
        <f t="shared" si="11"/>
        <v>-16.833300781249999</v>
      </c>
      <c r="K32" s="108">
        <f t="shared" si="11"/>
        <v>15.867640625</v>
      </c>
      <c r="L32" s="236">
        <f>'Stl-ser gr80'!L31</f>
        <v>5</v>
      </c>
      <c r="M32" s="236">
        <f>'Stl-ser gr80'!M31</f>
        <v>6</v>
      </c>
      <c r="N32" s="297">
        <f>'Stl-ser gr80'!N31</f>
        <v>0.31</v>
      </c>
      <c r="O32" s="236">
        <f>'Stl-ser gr80'!O31</f>
        <v>0.625</v>
      </c>
      <c r="P32" s="43">
        <f t="shared" si="12"/>
        <v>0.62</v>
      </c>
      <c r="Q32" s="195">
        <f t="shared" si="13"/>
        <v>6.4375</v>
      </c>
      <c r="R32" s="102">
        <f t="shared" si="14"/>
        <v>6.9375</v>
      </c>
      <c r="S32" s="287">
        <f t="shared" si="15"/>
        <v>8.0258899676375409E-3</v>
      </c>
      <c r="T32" s="115">
        <f t="shared" si="16"/>
        <v>7.4474474474474474E-3</v>
      </c>
      <c r="U32" s="164"/>
      <c r="V32" s="253">
        <f t="shared" si="17"/>
        <v>21.937565359477123</v>
      </c>
      <c r="W32" s="108">
        <f t="shared" si="18"/>
        <v>23.797565359477122</v>
      </c>
      <c r="X32" s="253">
        <f t="shared" si="19"/>
        <v>21.686323529411766</v>
      </c>
      <c r="Y32" s="99">
        <f t="shared" si="20"/>
        <v>23.546323529411765</v>
      </c>
      <c r="Z32" s="253">
        <f t="shared" si="21"/>
        <v>22.138558823529412</v>
      </c>
      <c r="AA32" s="108">
        <f t="shared" si="22"/>
        <v>23.998558823529411</v>
      </c>
      <c r="AB32" s="3">
        <f t="shared" si="0"/>
        <v>11.5</v>
      </c>
      <c r="AC32" s="55">
        <f t="shared" si="0"/>
        <v>9.25</v>
      </c>
      <c r="AD32" s="253">
        <f t="shared" si="1"/>
        <v>-16.833300781249999</v>
      </c>
      <c r="AE32" s="108">
        <f t="shared" si="1"/>
        <v>15.867640625</v>
      </c>
      <c r="AF32" s="201">
        <v>67</v>
      </c>
      <c r="AG32" s="43">
        <f t="shared" si="2"/>
        <v>0.41539999999999999</v>
      </c>
      <c r="AH32" s="24">
        <v>5</v>
      </c>
      <c r="AI32" s="201">
        <v>8</v>
      </c>
      <c r="AJ32" s="218" t="str">
        <f t="shared" si="33"/>
        <v>#5 @ 8</v>
      </c>
      <c r="AK32" s="43">
        <f t="shared" si="35"/>
        <v>0.46499999999999997</v>
      </c>
      <c r="AL32" s="43">
        <f t="shared" si="24"/>
        <v>0.75</v>
      </c>
      <c r="AM32" s="43">
        <f t="shared" si="34"/>
        <v>8.3783783783783778E-3</v>
      </c>
      <c r="AN32" s="272" t="str">
        <f t="shared" si="25"/>
        <v>#5 @ 6</v>
      </c>
      <c r="AP32" s="2">
        <f t="shared" si="3"/>
        <v>11.5</v>
      </c>
      <c r="AQ32" s="246">
        <f t="shared" si="3"/>
        <v>9.25</v>
      </c>
      <c r="AR32" s="169" t="str">
        <f t="shared" si="26"/>
        <v>#5 @ 6</v>
      </c>
      <c r="AS32" s="303" t="str">
        <f t="shared" si="27"/>
        <v>#5 @ 8</v>
      </c>
      <c r="AT32" s="253">
        <f t="shared" si="4"/>
        <v>-16.833300781249999</v>
      </c>
      <c r="AU32" s="99">
        <f t="shared" si="5"/>
        <v>15.867640625</v>
      </c>
      <c r="AV32" s="253">
        <f t="shared" si="28"/>
        <v>-21.937565359477123</v>
      </c>
      <c r="AW32" s="108">
        <f t="shared" si="29"/>
        <v>23.797565359477122</v>
      </c>
      <c r="AY32" s="156"/>
      <c r="AZ32" s="156"/>
      <c r="BA32" s="156">
        <f t="shared" si="30"/>
        <v>1.303224224681625</v>
      </c>
      <c r="BB32" s="156">
        <f t="shared" si="31"/>
        <v>1.4997544954467434</v>
      </c>
      <c r="BC32" s="144">
        <f t="shared" si="32"/>
        <v>1.303224224681625</v>
      </c>
      <c r="BD32" s="144">
        <f t="shared" si="32"/>
        <v>1.4997544954467434</v>
      </c>
    </row>
    <row r="33" spans="1:56" x14ac:dyDescent="0.2">
      <c r="A33" s="2">
        <v>11.75</v>
      </c>
      <c r="B33" s="222">
        <v>9.25</v>
      </c>
      <c r="C33" s="32">
        <f t="shared" si="6"/>
        <v>0.11562500000000001</v>
      </c>
      <c r="D33" s="253">
        <f t="shared" si="7"/>
        <v>-1.5963476562500003</v>
      </c>
      <c r="E33" s="99">
        <f t="shared" si="8"/>
        <v>1.2770781250000003</v>
      </c>
      <c r="F33" s="253">
        <f t="shared" si="9"/>
        <v>-0.69031250000000011</v>
      </c>
      <c r="G33" s="108">
        <f t="shared" si="10"/>
        <v>0.55225000000000002</v>
      </c>
      <c r="H33" s="253">
        <v>-8.24</v>
      </c>
      <c r="I33" s="99">
        <v>7.88</v>
      </c>
      <c r="J33" s="253">
        <f t="shared" si="11"/>
        <v>-17.450903320312499</v>
      </c>
      <c r="K33" s="108">
        <f t="shared" si="11"/>
        <v>16.21472265625</v>
      </c>
      <c r="L33" s="238">
        <f>'Stl-ser gr80'!L32</f>
        <v>5</v>
      </c>
      <c r="M33" s="238">
        <f>'Stl-ser gr80'!M32</f>
        <v>6</v>
      </c>
      <c r="N33" s="298">
        <f>'Stl-ser gr80'!N32</f>
        <v>0.31</v>
      </c>
      <c r="O33" s="238">
        <f>'Stl-ser gr80'!O32</f>
        <v>0.625</v>
      </c>
      <c r="P33" s="44">
        <f t="shared" si="12"/>
        <v>0.62</v>
      </c>
      <c r="Q33" s="257">
        <f t="shared" si="13"/>
        <v>6.4375</v>
      </c>
      <c r="R33" s="104">
        <f t="shared" si="14"/>
        <v>6.9375</v>
      </c>
      <c r="S33" s="287">
        <f t="shared" si="15"/>
        <v>8.0258899676375409E-3</v>
      </c>
      <c r="T33" s="115">
        <f t="shared" si="16"/>
        <v>7.4474474474474474E-3</v>
      </c>
      <c r="U33" s="164"/>
      <c r="V33" s="61">
        <f t="shared" si="17"/>
        <v>21.937565359477123</v>
      </c>
      <c r="W33" s="110">
        <f t="shared" si="18"/>
        <v>23.797565359477122</v>
      </c>
      <c r="X33" s="61">
        <f t="shared" si="19"/>
        <v>21.686323529411766</v>
      </c>
      <c r="Y33" s="101">
        <f t="shared" si="20"/>
        <v>23.546323529411765</v>
      </c>
      <c r="Z33" s="61">
        <f t="shared" si="21"/>
        <v>22.138558823529412</v>
      </c>
      <c r="AA33" s="110">
        <f t="shared" si="22"/>
        <v>23.998558823529411</v>
      </c>
      <c r="AB33" s="3">
        <f t="shared" si="0"/>
        <v>11.75</v>
      </c>
      <c r="AC33" s="246">
        <f t="shared" si="0"/>
        <v>9.25</v>
      </c>
      <c r="AD33" s="253">
        <f t="shared" si="1"/>
        <v>-17.450903320312499</v>
      </c>
      <c r="AE33" s="108">
        <f t="shared" si="1"/>
        <v>16.21472265625</v>
      </c>
      <c r="AF33" s="245">
        <v>67</v>
      </c>
      <c r="AG33" s="43">
        <f t="shared" si="2"/>
        <v>0.41539999999999999</v>
      </c>
      <c r="AH33" s="245">
        <v>5</v>
      </c>
      <c r="AI33" s="245">
        <v>8</v>
      </c>
      <c r="AJ33" s="219" t="str">
        <f t="shared" si="33"/>
        <v>#5 @ 8</v>
      </c>
      <c r="AK33" s="44">
        <f t="shared" si="35"/>
        <v>0.46499999999999997</v>
      </c>
      <c r="AL33" s="44">
        <f t="shared" si="24"/>
        <v>0.75</v>
      </c>
      <c r="AM33" s="43">
        <f t="shared" si="34"/>
        <v>8.3783783783783778E-3</v>
      </c>
      <c r="AN33" s="219" t="str">
        <f t="shared" si="25"/>
        <v>#5 @ 6</v>
      </c>
      <c r="AP33" s="2">
        <f t="shared" si="3"/>
        <v>11.75</v>
      </c>
      <c r="AQ33" s="246">
        <f t="shared" si="3"/>
        <v>9.25</v>
      </c>
      <c r="AR33" s="175" t="str">
        <f t="shared" si="26"/>
        <v>#5 @ 6</v>
      </c>
      <c r="AS33" s="303" t="str">
        <f t="shared" si="27"/>
        <v>#5 @ 8</v>
      </c>
      <c r="AT33" s="253">
        <f t="shared" si="4"/>
        <v>-17.450903320312499</v>
      </c>
      <c r="AU33" s="99">
        <f t="shared" si="5"/>
        <v>16.21472265625</v>
      </c>
      <c r="AV33" s="61">
        <f t="shared" si="28"/>
        <v>-21.937565359477123</v>
      </c>
      <c r="AW33" s="110">
        <f t="shared" si="29"/>
        <v>23.797565359477122</v>
      </c>
      <c r="AY33" s="156"/>
      <c r="AZ33" s="156"/>
      <c r="BA33" s="156">
        <f t="shared" si="30"/>
        <v>1.2571019939089481</v>
      </c>
      <c r="BB33" s="156">
        <f t="shared" si="31"/>
        <v>1.4676517054273697</v>
      </c>
      <c r="BC33" s="144">
        <f t="shared" si="32"/>
        <v>1.2571019939089481</v>
      </c>
      <c r="BD33" s="144">
        <f t="shared" si="32"/>
        <v>1.4676517054273697</v>
      </c>
    </row>
    <row r="34" spans="1:56" x14ac:dyDescent="0.2">
      <c r="A34" s="17">
        <v>12</v>
      </c>
      <c r="B34" s="221">
        <v>9.5</v>
      </c>
      <c r="C34" s="42">
        <f t="shared" si="6"/>
        <v>0.11874999999999999</v>
      </c>
      <c r="D34" s="255">
        <f t="shared" si="7"/>
        <v>-1.71</v>
      </c>
      <c r="E34" s="100">
        <f t="shared" si="8"/>
        <v>1.3679999999999999</v>
      </c>
      <c r="F34" s="255">
        <f t="shared" si="9"/>
        <v>-0.7200000000000002</v>
      </c>
      <c r="G34" s="109">
        <f t="shared" si="10"/>
        <v>0.57600000000000007</v>
      </c>
      <c r="H34" s="255">
        <v>-8.51</v>
      </c>
      <c r="I34" s="100">
        <v>8.01</v>
      </c>
      <c r="J34" s="255">
        <f t="shared" si="11"/>
        <v>-18.11</v>
      </c>
      <c r="K34" s="109">
        <f t="shared" si="11"/>
        <v>16.5915</v>
      </c>
      <c r="L34" s="236">
        <f>'Stl-ser gr80'!L33</f>
        <v>5</v>
      </c>
      <c r="M34" s="236">
        <f>'Stl-ser gr80'!M33</f>
        <v>6</v>
      </c>
      <c r="N34" s="297">
        <f>'Stl-ser gr80'!N33</f>
        <v>0.31</v>
      </c>
      <c r="O34" s="236">
        <f>'Stl-ser gr80'!O33</f>
        <v>0.625</v>
      </c>
      <c r="P34" s="43">
        <f t="shared" si="12"/>
        <v>0.62</v>
      </c>
      <c r="Q34" s="195">
        <f t="shared" si="13"/>
        <v>6.6875</v>
      </c>
      <c r="R34" s="102">
        <f t="shared" si="14"/>
        <v>7.1875</v>
      </c>
      <c r="S34" s="288">
        <f t="shared" si="15"/>
        <v>7.7258566978193142E-3</v>
      </c>
      <c r="T34" s="116">
        <f t="shared" si="16"/>
        <v>7.1884057971014492E-3</v>
      </c>
      <c r="U34" s="164"/>
      <c r="V34" s="253">
        <f t="shared" si="17"/>
        <v>22.867565359477126</v>
      </c>
      <c r="W34" s="108">
        <f t="shared" si="18"/>
        <v>24.727565359477126</v>
      </c>
      <c r="X34" s="253">
        <f t="shared" si="19"/>
        <v>22.616323529411769</v>
      </c>
      <c r="Y34" s="99">
        <f t="shared" si="20"/>
        <v>24.476323529411768</v>
      </c>
      <c r="Z34" s="253">
        <f t="shared" si="21"/>
        <v>23.068558823529411</v>
      </c>
      <c r="AA34" s="108">
        <f t="shared" si="22"/>
        <v>24.928558823529414</v>
      </c>
      <c r="AB34" s="18">
        <f t="shared" si="0"/>
        <v>12</v>
      </c>
      <c r="AC34" s="56">
        <f t="shared" si="0"/>
        <v>9.5</v>
      </c>
      <c r="AD34" s="255">
        <f t="shared" si="1"/>
        <v>-18.11</v>
      </c>
      <c r="AE34" s="109">
        <f t="shared" si="1"/>
        <v>16.5915</v>
      </c>
      <c r="AF34" s="300">
        <v>67</v>
      </c>
      <c r="AG34" s="42">
        <f t="shared" si="2"/>
        <v>0.41539999999999999</v>
      </c>
      <c r="AH34" s="24">
        <v>5</v>
      </c>
      <c r="AI34" s="201">
        <v>8</v>
      </c>
      <c r="AJ34" s="218" t="str">
        <f t="shared" si="33"/>
        <v>#5 @ 8</v>
      </c>
      <c r="AK34" s="43">
        <f t="shared" si="35"/>
        <v>0.46499999999999997</v>
      </c>
      <c r="AL34" s="43">
        <f t="shared" si="24"/>
        <v>0.75</v>
      </c>
      <c r="AM34" s="42">
        <f t="shared" si="34"/>
        <v>8.1578947368421053E-3</v>
      </c>
      <c r="AN34" s="272" t="str">
        <f t="shared" si="25"/>
        <v>#5 @ 6</v>
      </c>
      <c r="AP34" s="17">
        <f t="shared" si="3"/>
        <v>12</v>
      </c>
      <c r="AQ34" s="56">
        <f t="shared" si="3"/>
        <v>9.5</v>
      </c>
      <c r="AR34" s="169" t="str">
        <f t="shared" si="26"/>
        <v>#5 @ 6</v>
      </c>
      <c r="AS34" s="170" t="str">
        <f t="shared" si="27"/>
        <v>#5 @ 8</v>
      </c>
      <c r="AT34" s="255">
        <f t="shared" si="4"/>
        <v>-18.11</v>
      </c>
      <c r="AU34" s="109">
        <f t="shared" si="5"/>
        <v>16.5915</v>
      </c>
      <c r="AV34" s="253">
        <f t="shared" si="28"/>
        <v>-22.867565359477126</v>
      </c>
      <c r="AW34" s="108">
        <f t="shared" si="29"/>
        <v>24.727565359477126</v>
      </c>
      <c r="AY34" s="156"/>
      <c r="AZ34" s="156"/>
      <c r="BA34" s="156">
        <f t="shared" si="30"/>
        <v>1.2627037746812328</v>
      </c>
      <c r="BB34" s="156">
        <f t="shared" si="31"/>
        <v>1.4903755151419176</v>
      </c>
      <c r="BC34" s="144">
        <f t="shared" si="32"/>
        <v>1.2627037746812328</v>
      </c>
      <c r="BD34" s="144">
        <f t="shared" si="32"/>
        <v>1.4903755151419176</v>
      </c>
    </row>
    <row r="35" spans="1:56" x14ac:dyDescent="0.2">
      <c r="A35" s="2">
        <v>12.25</v>
      </c>
      <c r="B35" s="221">
        <v>9.5</v>
      </c>
      <c r="C35" s="43">
        <f t="shared" si="6"/>
        <v>0.11874999999999999</v>
      </c>
      <c r="D35" s="253">
        <f t="shared" si="7"/>
        <v>-1.7819921875</v>
      </c>
      <c r="E35" s="99">
        <f t="shared" si="8"/>
        <v>1.42559375</v>
      </c>
      <c r="F35" s="253">
        <f t="shared" si="9"/>
        <v>-0.75031250000000016</v>
      </c>
      <c r="G35" s="108">
        <f t="shared" si="10"/>
        <v>0.60025000000000006</v>
      </c>
      <c r="H35" s="253">
        <v>-8.7799999999999994</v>
      </c>
      <c r="I35" s="99">
        <v>8.15</v>
      </c>
      <c r="J35" s="253">
        <f t="shared" si="11"/>
        <v>-18.717958984374999</v>
      </c>
      <c r="K35" s="108">
        <f t="shared" si="11"/>
        <v>16.944867187500002</v>
      </c>
      <c r="L35" s="236">
        <f>'Stl-ser gr80'!L34</f>
        <v>5</v>
      </c>
      <c r="M35" s="236">
        <f>'Stl-ser gr80'!M34</f>
        <v>6</v>
      </c>
      <c r="N35" s="297">
        <f>'Stl-ser gr80'!N34</f>
        <v>0.31</v>
      </c>
      <c r="O35" s="236">
        <f>'Stl-ser gr80'!O34</f>
        <v>0.625</v>
      </c>
      <c r="P35" s="43">
        <f t="shared" si="12"/>
        <v>0.62</v>
      </c>
      <c r="Q35" s="195">
        <f t="shared" si="13"/>
        <v>6.6875</v>
      </c>
      <c r="R35" s="102">
        <f t="shared" si="14"/>
        <v>7.1875</v>
      </c>
      <c r="S35" s="287">
        <f t="shared" si="15"/>
        <v>7.7258566978193142E-3</v>
      </c>
      <c r="T35" s="115">
        <f t="shared" si="16"/>
        <v>7.1884057971014492E-3</v>
      </c>
      <c r="U35" s="164"/>
      <c r="V35" s="253">
        <f t="shared" si="17"/>
        <v>22.867565359477126</v>
      </c>
      <c r="W35" s="108">
        <f t="shared" si="18"/>
        <v>24.727565359477126</v>
      </c>
      <c r="X35" s="253">
        <f t="shared" si="19"/>
        <v>22.616323529411769</v>
      </c>
      <c r="Y35" s="99">
        <f t="shared" si="20"/>
        <v>24.476323529411768</v>
      </c>
      <c r="Z35" s="253">
        <f t="shared" si="21"/>
        <v>23.068558823529411</v>
      </c>
      <c r="AA35" s="108">
        <f t="shared" si="22"/>
        <v>24.928558823529414</v>
      </c>
      <c r="AB35" s="3">
        <f t="shared" si="0"/>
        <v>12.25</v>
      </c>
      <c r="AC35" s="55">
        <f t="shared" si="0"/>
        <v>9.5</v>
      </c>
      <c r="AD35" s="253">
        <f t="shared" si="1"/>
        <v>-18.717958984374999</v>
      </c>
      <c r="AE35" s="108">
        <f t="shared" si="1"/>
        <v>16.944867187500002</v>
      </c>
      <c r="AF35" s="279">
        <v>67</v>
      </c>
      <c r="AG35" s="43">
        <f t="shared" si="2"/>
        <v>0.41539999999999999</v>
      </c>
      <c r="AH35" s="24">
        <v>5</v>
      </c>
      <c r="AI35" s="201">
        <v>8</v>
      </c>
      <c r="AJ35" s="218" t="str">
        <f t="shared" si="33"/>
        <v>#5 @ 8</v>
      </c>
      <c r="AK35" s="43">
        <f t="shared" si="35"/>
        <v>0.46499999999999997</v>
      </c>
      <c r="AL35" s="43">
        <f t="shared" si="24"/>
        <v>0.75</v>
      </c>
      <c r="AM35" s="43">
        <f t="shared" si="34"/>
        <v>8.1578947368421053E-3</v>
      </c>
      <c r="AN35" s="272" t="str">
        <f t="shared" si="25"/>
        <v>#5 @ 6</v>
      </c>
      <c r="AP35" s="2">
        <f t="shared" ref="AP35:AQ46" si="36">A35</f>
        <v>12.25</v>
      </c>
      <c r="AQ35" s="55">
        <f t="shared" si="36"/>
        <v>9.5</v>
      </c>
      <c r="AR35" s="169" t="str">
        <f t="shared" si="26"/>
        <v>#5 @ 6</v>
      </c>
      <c r="AS35" s="171" t="str">
        <f t="shared" si="27"/>
        <v>#5 @ 8</v>
      </c>
      <c r="AT35" s="253">
        <f t="shared" ref="AT35:AU46" si="37">AD35</f>
        <v>-18.717958984374999</v>
      </c>
      <c r="AU35" s="108">
        <f t="shared" si="37"/>
        <v>16.944867187500002</v>
      </c>
      <c r="AV35" s="253">
        <f t="shared" si="28"/>
        <v>-22.867565359477126</v>
      </c>
      <c r="AW35" s="108">
        <f t="shared" si="29"/>
        <v>24.727565359477126</v>
      </c>
      <c r="AY35" s="156"/>
      <c r="AZ35" s="156"/>
      <c r="BA35" s="156">
        <f t="shared" si="30"/>
        <v>1.221691177898512</v>
      </c>
      <c r="BB35" s="156">
        <f t="shared" si="31"/>
        <v>1.4592953185090949</v>
      </c>
      <c r="BC35" s="144">
        <f t="shared" si="32"/>
        <v>1.221691177898512</v>
      </c>
      <c r="BD35" s="144">
        <f t="shared" si="32"/>
        <v>1.4592953185090949</v>
      </c>
    </row>
    <row r="36" spans="1:56" x14ac:dyDescent="0.2">
      <c r="A36" s="2">
        <v>12.5</v>
      </c>
      <c r="B36" s="221">
        <v>9.75</v>
      </c>
      <c r="C36" s="43">
        <f t="shared" si="6"/>
        <v>0.121875</v>
      </c>
      <c r="D36" s="253">
        <f t="shared" si="7"/>
        <v>-1.904296875</v>
      </c>
      <c r="E36" s="99">
        <f t="shared" si="8"/>
        <v>1.5234375</v>
      </c>
      <c r="F36" s="253">
        <f t="shared" si="9"/>
        <v>-0.78125000000000011</v>
      </c>
      <c r="G36" s="108">
        <f t="shared" si="10"/>
        <v>0.625</v>
      </c>
      <c r="H36" s="253">
        <v>-9.0399999999999991</v>
      </c>
      <c r="I36" s="99">
        <v>8.2799999999999994</v>
      </c>
      <c r="J36" s="253">
        <f t="shared" si="11"/>
        <v>-19.37224609375</v>
      </c>
      <c r="K36" s="108">
        <f t="shared" si="11"/>
        <v>17.331796874999998</v>
      </c>
      <c r="L36" s="236">
        <f>'Stl-ser gr80'!L35</f>
        <v>5</v>
      </c>
      <c r="M36" s="236">
        <f>'Stl-ser gr80'!M35</f>
        <v>6</v>
      </c>
      <c r="N36" s="297">
        <f>'Stl-ser gr80'!N35</f>
        <v>0.31</v>
      </c>
      <c r="O36" s="236">
        <f>'Stl-ser gr80'!O35</f>
        <v>0.625</v>
      </c>
      <c r="P36" s="43">
        <f t="shared" si="12"/>
        <v>0.62</v>
      </c>
      <c r="Q36" s="195">
        <f t="shared" si="13"/>
        <v>6.9375</v>
      </c>
      <c r="R36" s="102">
        <f t="shared" si="14"/>
        <v>7.4375</v>
      </c>
      <c r="S36" s="287">
        <f t="shared" si="15"/>
        <v>7.4474474474474474E-3</v>
      </c>
      <c r="T36" s="115">
        <f t="shared" si="16"/>
        <v>6.9467787114845941E-3</v>
      </c>
      <c r="U36" s="164"/>
      <c r="V36" s="253">
        <f t="shared" si="17"/>
        <v>23.797565359477122</v>
      </c>
      <c r="W36" s="108">
        <f t="shared" si="18"/>
        <v>25.657565359477122</v>
      </c>
      <c r="X36" s="253">
        <f t="shared" si="19"/>
        <v>23.546323529411765</v>
      </c>
      <c r="Y36" s="99">
        <f t="shared" si="20"/>
        <v>25.406323529411765</v>
      </c>
      <c r="Z36" s="253">
        <f t="shared" si="21"/>
        <v>23.998558823529411</v>
      </c>
      <c r="AA36" s="108">
        <f t="shared" si="22"/>
        <v>25.85855882352941</v>
      </c>
      <c r="AB36" s="3">
        <f t="shared" si="0"/>
        <v>12.5</v>
      </c>
      <c r="AC36" s="55">
        <f t="shared" si="0"/>
        <v>9.75</v>
      </c>
      <c r="AD36" s="253">
        <f t="shared" si="1"/>
        <v>-19.37224609375</v>
      </c>
      <c r="AE36" s="108">
        <f t="shared" si="1"/>
        <v>17.331796874999998</v>
      </c>
      <c r="AF36" s="279">
        <v>67</v>
      </c>
      <c r="AG36" s="43">
        <f t="shared" si="2"/>
        <v>0.41539999999999999</v>
      </c>
      <c r="AH36" s="24">
        <v>5</v>
      </c>
      <c r="AI36" s="201">
        <v>8</v>
      </c>
      <c r="AJ36" s="218" t="str">
        <f t="shared" si="33"/>
        <v>#5 @ 8</v>
      </c>
      <c r="AK36" s="43">
        <f t="shared" si="35"/>
        <v>0.46499999999999997</v>
      </c>
      <c r="AL36" s="43">
        <f t="shared" si="24"/>
        <v>0.75</v>
      </c>
      <c r="AM36" s="43">
        <f t="shared" si="34"/>
        <v>7.9487179487179489E-3</v>
      </c>
      <c r="AN36" s="272" t="str">
        <f t="shared" si="25"/>
        <v>#5 @ 6</v>
      </c>
      <c r="AP36" s="2">
        <f t="shared" si="36"/>
        <v>12.5</v>
      </c>
      <c r="AQ36" s="55">
        <f t="shared" si="36"/>
        <v>9.75</v>
      </c>
      <c r="AR36" s="169" t="str">
        <f t="shared" si="26"/>
        <v>#5 @ 6</v>
      </c>
      <c r="AS36" s="171" t="str">
        <f t="shared" si="27"/>
        <v>#5 @ 8</v>
      </c>
      <c r="AT36" s="253">
        <f t="shared" si="37"/>
        <v>-19.37224609375</v>
      </c>
      <c r="AU36" s="108">
        <f t="shared" si="37"/>
        <v>17.331796874999998</v>
      </c>
      <c r="AV36" s="253">
        <f t="shared" si="28"/>
        <v>-23.797565359477122</v>
      </c>
      <c r="AW36" s="108">
        <f t="shared" si="29"/>
        <v>25.657565359477122</v>
      </c>
      <c r="AY36" s="156"/>
      <c r="AZ36" s="156"/>
      <c r="BA36" s="156">
        <f t="shared" si="30"/>
        <v>1.228436044241398</v>
      </c>
      <c r="BB36" s="156">
        <f t="shared" si="31"/>
        <v>1.4803753785325344</v>
      </c>
      <c r="BC36" s="144">
        <f t="shared" si="32"/>
        <v>1.228436044241398</v>
      </c>
      <c r="BD36" s="144">
        <f t="shared" si="32"/>
        <v>1.4803753785325344</v>
      </c>
    </row>
    <row r="37" spans="1:56" x14ac:dyDescent="0.2">
      <c r="A37" s="8">
        <v>12.75</v>
      </c>
      <c r="B37" s="222">
        <v>9.75</v>
      </c>
      <c r="C37" s="44">
        <f t="shared" si="6"/>
        <v>0.121875</v>
      </c>
      <c r="D37" s="61">
        <f t="shared" si="7"/>
        <v>-1.98123046875</v>
      </c>
      <c r="E37" s="101">
        <f t="shared" si="8"/>
        <v>1.5849843749999999</v>
      </c>
      <c r="F37" s="61">
        <f t="shared" si="9"/>
        <v>-0.81281250000000016</v>
      </c>
      <c r="G37" s="110">
        <f t="shared" si="10"/>
        <v>0.65024999999999999</v>
      </c>
      <c r="H37" s="61">
        <v>-9.3000000000000007</v>
      </c>
      <c r="I37" s="101">
        <v>8.41</v>
      </c>
      <c r="J37" s="61">
        <f t="shared" ref="J37:K46" si="38">1.25*D37+1.5*F37+1.75*H37</f>
        <v>-19.9707568359375</v>
      </c>
      <c r="K37" s="110">
        <f t="shared" si="38"/>
        <v>17.67410546875</v>
      </c>
      <c r="L37" s="238">
        <f>'Stl-ser gr80'!L36</f>
        <v>5</v>
      </c>
      <c r="M37" s="238">
        <f>'Stl-ser gr80'!M36</f>
        <v>5.5</v>
      </c>
      <c r="N37" s="298">
        <f>'Stl-ser gr80'!N36</f>
        <v>0.31</v>
      </c>
      <c r="O37" s="238">
        <f>'Stl-ser gr80'!O36</f>
        <v>0.625</v>
      </c>
      <c r="P37" s="44">
        <f t="shared" si="12"/>
        <v>0.67636363636363628</v>
      </c>
      <c r="Q37" s="257">
        <f t="shared" si="13"/>
        <v>6.9375</v>
      </c>
      <c r="R37" s="104">
        <f t="shared" si="14"/>
        <v>7.4375</v>
      </c>
      <c r="S37" s="289">
        <f t="shared" si="15"/>
        <v>8.1244881244881238E-3</v>
      </c>
      <c r="T37" s="117">
        <f t="shared" si="16"/>
        <v>7.5783040488922836E-3</v>
      </c>
      <c r="U37" s="164"/>
      <c r="V37" s="61">
        <f t="shared" si="17"/>
        <v>25.761648031113271</v>
      </c>
      <c r="W37" s="110">
        <f t="shared" si="18"/>
        <v>27.790738940204179</v>
      </c>
      <c r="X37" s="61">
        <f t="shared" si="19"/>
        <v>25.462649489547886</v>
      </c>
      <c r="Y37" s="101">
        <f t="shared" si="20"/>
        <v>27.491740398638793</v>
      </c>
      <c r="Z37" s="61">
        <f t="shared" si="21"/>
        <v>26.000846864365581</v>
      </c>
      <c r="AA37" s="110">
        <f t="shared" si="22"/>
        <v>28.029937773456492</v>
      </c>
      <c r="AB37" s="9">
        <f t="shared" si="0"/>
        <v>12.75</v>
      </c>
      <c r="AC37" s="57">
        <f t="shared" si="0"/>
        <v>9.75</v>
      </c>
      <c r="AD37" s="61">
        <f t="shared" si="1"/>
        <v>-19.9707568359375</v>
      </c>
      <c r="AE37" s="110">
        <f t="shared" si="1"/>
        <v>17.67410546875</v>
      </c>
      <c r="AF37" s="280">
        <v>67</v>
      </c>
      <c r="AG37" s="44">
        <f t="shared" si="2"/>
        <v>0.45316363636363632</v>
      </c>
      <c r="AH37" s="245">
        <v>5</v>
      </c>
      <c r="AI37" s="245">
        <v>8</v>
      </c>
      <c r="AJ37" s="219" t="str">
        <f t="shared" si="33"/>
        <v>#5 @ 8</v>
      </c>
      <c r="AK37" s="44">
        <f t="shared" si="35"/>
        <v>0.46499999999999997</v>
      </c>
      <c r="AL37" s="234">
        <f t="shared" si="24"/>
        <v>0.6875</v>
      </c>
      <c r="AM37" s="44">
        <f t="shared" si="34"/>
        <v>7.9487179487179489E-3</v>
      </c>
      <c r="AN37" s="219" t="str">
        <f t="shared" si="25"/>
        <v>#5 @ 5.5</v>
      </c>
      <c r="AP37" s="8">
        <f t="shared" si="36"/>
        <v>12.75</v>
      </c>
      <c r="AQ37" s="57">
        <f t="shared" si="36"/>
        <v>9.75</v>
      </c>
      <c r="AR37" s="175" t="str">
        <f t="shared" si="26"/>
        <v>#5 @ 5.5</v>
      </c>
      <c r="AS37" s="172" t="str">
        <f t="shared" si="27"/>
        <v>#5 @ 8</v>
      </c>
      <c r="AT37" s="61">
        <f t="shared" si="37"/>
        <v>-19.9707568359375</v>
      </c>
      <c r="AU37" s="110">
        <f t="shared" si="37"/>
        <v>17.67410546875</v>
      </c>
      <c r="AV37" s="61">
        <f t="shared" si="28"/>
        <v>-25.761648031113271</v>
      </c>
      <c r="AW37" s="110">
        <f t="shared" si="29"/>
        <v>27.790738940204179</v>
      </c>
      <c r="AY37" s="156"/>
      <c r="AZ37" s="156"/>
      <c r="BA37" s="156">
        <f t="shared" si="30"/>
        <v>1.2899685396376679</v>
      </c>
      <c r="BB37" s="156">
        <f t="shared" si="31"/>
        <v>1.5723986138558264</v>
      </c>
      <c r="BC37" s="144">
        <f t="shared" si="32"/>
        <v>1.2899685396376679</v>
      </c>
      <c r="BD37" s="144">
        <f t="shared" si="32"/>
        <v>1.5723986138558264</v>
      </c>
    </row>
    <row r="38" spans="1:56" x14ac:dyDescent="0.2">
      <c r="A38" s="2">
        <v>13</v>
      </c>
      <c r="B38" s="221">
        <v>10</v>
      </c>
      <c r="C38" s="32">
        <f t="shared" si="6"/>
        <v>0.125</v>
      </c>
      <c r="D38" s="253">
        <f t="shared" si="7"/>
        <v>-2.1125000000000003</v>
      </c>
      <c r="E38" s="99">
        <f t="shared" si="8"/>
        <v>1.69</v>
      </c>
      <c r="F38" s="253">
        <f t="shared" si="9"/>
        <v>-0.8450000000000002</v>
      </c>
      <c r="G38" s="108">
        <f t="shared" si="10"/>
        <v>0.67600000000000005</v>
      </c>
      <c r="H38" s="253">
        <v>-9.5500000000000007</v>
      </c>
      <c r="I38" s="99">
        <v>8.5399999999999991</v>
      </c>
      <c r="J38" s="253">
        <f t="shared" si="38"/>
        <v>-20.620625000000004</v>
      </c>
      <c r="K38" s="108">
        <f t="shared" si="38"/>
        <v>18.0715</v>
      </c>
      <c r="L38" s="236">
        <f>'Stl-ser gr80'!L37</f>
        <v>5</v>
      </c>
      <c r="M38" s="236">
        <f>'Stl-ser gr80'!M37</f>
        <v>5.5</v>
      </c>
      <c r="N38" s="297">
        <f>'Stl-ser gr80'!N37</f>
        <v>0.31</v>
      </c>
      <c r="O38" s="236">
        <f>'Stl-ser gr80'!O37</f>
        <v>0.625</v>
      </c>
      <c r="P38" s="43">
        <f t="shared" si="12"/>
        <v>0.67636363636363628</v>
      </c>
      <c r="Q38" s="195">
        <f t="shared" si="13"/>
        <v>7.1875</v>
      </c>
      <c r="R38" s="102">
        <f t="shared" si="14"/>
        <v>7.6875</v>
      </c>
      <c r="S38" s="287">
        <f t="shared" si="15"/>
        <v>7.84189723320158E-3</v>
      </c>
      <c r="T38" s="115">
        <f t="shared" si="16"/>
        <v>7.3318551367331846E-3</v>
      </c>
      <c r="U38" s="164"/>
      <c r="V38" s="253">
        <f t="shared" si="17"/>
        <v>26.776193485658723</v>
      </c>
      <c r="W38" s="108">
        <f t="shared" si="18"/>
        <v>28.805284394749634</v>
      </c>
      <c r="X38" s="253">
        <f t="shared" si="19"/>
        <v>26.477194944093338</v>
      </c>
      <c r="Y38" s="99">
        <f t="shared" si="20"/>
        <v>28.506285853184249</v>
      </c>
      <c r="Z38" s="253">
        <f t="shared" si="21"/>
        <v>27.015392318911037</v>
      </c>
      <c r="AA38" s="108">
        <f t="shared" si="22"/>
        <v>29.04448322800194</v>
      </c>
      <c r="AB38" s="3">
        <f t="shared" si="0"/>
        <v>13</v>
      </c>
      <c r="AC38" s="55">
        <f t="shared" si="0"/>
        <v>10</v>
      </c>
      <c r="AD38" s="253">
        <f t="shared" si="1"/>
        <v>-20.620625000000004</v>
      </c>
      <c r="AE38" s="108">
        <f t="shared" si="1"/>
        <v>18.0715</v>
      </c>
      <c r="AF38" s="300">
        <v>67</v>
      </c>
      <c r="AG38" s="43">
        <f t="shared" si="2"/>
        <v>0.45316363636363632</v>
      </c>
      <c r="AH38" s="24">
        <v>5</v>
      </c>
      <c r="AI38" s="201">
        <v>8</v>
      </c>
      <c r="AJ38" s="218" t="str">
        <f t="shared" si="33"/>
        <v>#5 @ 8</v>
      </c>
      <c r="AK38" s="43">
        <f t="shared" si="35"/>
        <v>0.46499999999999997</v>
      </c>
      <c r="AL38" s="191">
        <f t="shared" si="24"/>
        <v>0.6875</v>
      </c>
      <c r="AM38" s="43">
        <f t="shared" si="34"/>
        <v>7.7499999999999991E-3</v>
      </c>
      <c r="AN38" s="272" t="str">
        <f t="shared" si="25"/>
        <v>#5 @ 5.5</v>
      </c>
      <c r="AP38" s="17">
        <f t="shared" si="36"/>
        <v>13</v>
      </c>
      <c r="AQ38" s="56">
        <f t="shared" si="36"/>
        <v>10</v>
      </c>
      <c r="AR38" s="169" t="str">
        <f t="shared" si="26"/>
        <v>#5 @ 5.5</v>
      </c>
      <c r="AS38" s="171" t="str">
        <f t="shared" si="27"/>
        <v>#5 @ 8</v>
      </c>
      <c r="AT38" s="253">
        <f t="shared" si="37"/>
        <v>-20.620625000000004</v>
      </c>
      <c r="AU38" s="108">
        <f t="shared" si="37"/>
        <v>18.0715</v>
      </c>
      <c r="AV38" s="253">
        <f t="shared" si="28"/>
        <v>-26.776193485658723</v>
      </c>
      <c r="AW38" s="108">
        <f t="shared" si="29"/>
        <v>28.805284394749634</v>
      </c>
      <c r="AY38" s="156"/>
      <c r="AZ38" s="156"/>
      <c r="BA38" s="156">
        <f t="shared" si="30"/>
        <v>1.2985151267557951</v>
      </c>
      <c r="BB38" s="156">
        <f t="shared" si="31"/>
        <v>1.5939620061837498</v>
      </c>
      <c r="BC38" s="144">
        <f t="shared" si="32"/>
        <v>1.2985151267557951</v>
      </c>
      <c r="BD38" s="144">
        <f t="shared" si="32"/>
        <v>1.5939620061837498</v>
      </c>
    </row>
    <row r="39" spans="1:56" x14ac:dyDescent="0.2">
      <c r="A39" s="2">
        <v>13.25</v>
      </c>
      <c r="B39" s="221">
        <v>10</v>
      </c>
      <c r="C39" s="32">
        <f t="shared" si="6"/>
        <v>0.125</v>
      </c>
      <c r="D39" s="253">
        <f t="shared" si="7"/>
        <v>-2.1945312500000003</v>
      </c>
      <c r="E39" s="99">
        <f t="shared" si="8"/>
        <v>1.755625</v>
      </c>
      <c r="F39" s="253">
        <f t="shared" si="9"/>
        <v>-0.87781250000000022</v>
      </c>
      <c r="G39" s="108">
        <f t="shared" si="10"/>
        <v>0.70225000000000004</v>
      </c>
      <c r="H39" s="253">
        <v>-9.8000000000000007</v>
      </c>
      <c r="I39" s="99">
        <v>8.66</v>
      </c>
      <c r="J39" s="253">
        <f t="shared" si="38"/>
        <v>-21.209882812500002</v>
      </c>
      <c r="K39" s="108">
        <f t="shared" si="38"/>
        <v>18.402906250000001</v>
      </c>
      <c r="L39" s="236">
        <f>'Stl-ser gr80'!L38</f>
        <v>5</v>
      </c>
      <c r="M39" s="236">
        <f>'Stl-ser gr80'!M38</f>
        <v>5.5</v>
      </c>
      <c r="N39" s="297">
        <f>'Stl-ser gr80'!N38</f>
        <v>0.31</v>
      </c>
      <c r="O39" s="236">
        <f>'Stl-ser gr80'!O38</f>
        <v>0.625</v>
      </c>
      <c r="P39" s="43">
        <f t="shared" si="12"/>
        <v>0.67636363636363628</v>
      </c>
      <c r="Q39" s="195">
        <f t="shared" si="13"/>
        <v>7.1875</v>
      </c>
      <c r="R39" s="102">
        <f t="shared" si="14"/>
        <v>7.6875</v>
      </c>
      <c r="S39" s="287">
        <f t="shared" si="15"/>
        <v>7.84189723320158E-3</v>
      </c>
      <c r="T39" s="115">
        <f t="shared" si="16"/>
        <v>7.3318551367331846E-3</v>
      </c>
      <c r="U39" s="164"/>
      <c r="V39" s="253">
        <f t="shared" si="17"/>
        <v>26.776193485658723</v>
      </c>
      <c r="W39" s="108">
        <f t="shared" si="18"/>
        <v>28.805284394749634</v>
      </c>
      <c r="X39" s="253">
        <f t="shared" si="19"/>
        <v>26.477194944093338</v>
      </c>
      <c r="Y39" s="99">
        <f t="shared" si="20"/>
        <v>28.506285853184249</v>
      </c>
      <c r="Z39" s="253">
        <f t="shared" si="21"/>
        <v>27.015392318911037</v>
      </c>
      <c r="AA39" s="108">
        <f t="shared" si="22"/>
        <v>29.04448322800194</v>
      </c>
      <c r="AB39" s="3">
        <f t="shared" si="0"/>
        <v>13.25</v>
      </c>
      <c r="AC39" s="55">
        <f t="shared" si="0"/>
        <v>10</v>
      </c>
      <c r="AD39" s="253">
        <f t="shared" si="1"/>
        <v>-21.209882812500002</v>
      </c>
      <c r="AE39" s="108">
        <f t="shared" si="1"/>
        <v>18.402906250000001</v>
      </c>
      <c r="AF39" s="279">
        <v>67</v>
      </c>
      <c r="AG39" s="43">
        <f t="shared" si="2"/>
        <v>0.45316363636363632</v>
      </c>
      <c r="AH39" s="24">
        <v>5</v>
      </c>
      <c r="AI39" s="201">
        <v>8</v>
      </c>
      <c r="AJ39" s="218" t="str">
        <f t="shared" si="33"/>
        <v>#5 @ 8</v>
      </c>
      <c r="AK39" s="43">
        <f t="shared" si="35"/>
        <v>0.46499999999999997</v>
      </c>
      <c r="AL39" s="191">
        <f t="shared" si="24"/>
        <v>0.6875</v>
      </c>
      <c r="AM39" s="43">
        <f t="shared" si="34"/>
        <v>7.7499999999999991E-3</v>
      </c>
      <c r="AN39" s="272" t="str">
        <f t="shared" si="25"/>
        <v>#5 @ 5.5</v>
      </c>
      <c r="AP39" s="2">
        <f t="shared" si="36"/>
        <v>13.25</v>
      </c>
      <c r="AQ39" s="55">
        <f t="shared" si="36"/>
        <v>10</v>
      </c>
      <c r="AR39" s="169" t="str">
        <f t="shared" si="26"/>
        <v>#5 @ 5.5</v>
      </c>
      <c r="AS39" s="171" t="str">
        <f t="shared" si="27"/>
        <v>#5 @ 8</v>
      </c>
      <c r="AT39" s="253">
        <f t="shared" si="37"/>
        <v>-21.209882812500002</v>
      </c>
      <c r="AU39" s="108">
        <f t="shared" si="37"/>
        <v>18.402906250000001</v>
      </c>
      <c r="AV39" s="253">
        <f t="shared" si="28"/>
        <v>-26.776193485658723</v>
      </c>
      <c r="AW39" s="108">
        <f t="shared" si="29"/>
        <v>28.805284394749634</v>
      </c>
      <c r="AY39" s="156"/>
      <c r="AZ39" s="156"/>
      <c r="BA39" s="156">
        <f t="shared" si="30"/>
        <v>1.2624394826867327</v>
      </c>
      <c r="BB39" s="156">
        <f t="shared" si="31"/>
        <v>1.5652573568237154</v>
      </c>
      <c r="BC39" s="144">
        <f t="shared" si="32"/>
        <v>1.2624394826867327</v>
      </c>
      <c r="BD39" s="144">
        <f t="shared" si="32"/>
        <v>1.5652573568237154</v>
      </c>
    </row>
    <row r="40" spans="1:56" x14ac:dyDescent="0.2">
      <c r="A40" s="2">
        <v>13.5</v>
      </c>
      <c r="B40" s="221">
        <v>10.25</v>
      </c>
      <c r="C40" s="32">
        <f t="shared" si="6"/>
        <v>0.12812499999999999</v>
      </c>
      <c r="D40" s="253">
        <f t="shared" si="7"/>
        <v>-2.3350781249999999</v>
      </c>
      <c r="E40" s="99">
        <f t="shared" si="8"/>
        <v>1.8680624999999997</v>
      </c>
      <c r="F40" s="253">
        <f t="shared" si="9"/>
        <v>-0.91125000000000023</v>
      </c>
      <c r="G40" s="108">
        <f t="shared" si="10"/>
        <v>0.72899999999999998</v>
      </c>
      <c r="H40" s="253">
        <v>-10.029999999999999</v>
      </c>
      <c r="I40" s="99">
        <v>8.7799999999999994</v>
      </c>
      <c r="J40" s="253">
        <f t="shared" si="38"/>
        <v>-21.838222656249997</v>
      </c>
      <c r="K40" s="108">
        <f t="shared" si="38"/>
        <v>18.793578124999996</v>
      </c>
      <c r="L40" s="236">
        <f>'Stl-ser gr80'!L39</f>
        <v>5</v>
      </c>
      <c r="M40" s="236">
        <f>'Stl-ser gr80'!M39</f>
        <v>5.5</v>
      </c>
      <c r="N40" s="297">
        <f>'Stl-ser gr80'!N39</f>
        <v>0.31</v>
      </c>
      <c r="O40" s="236">
        <f>'Stl-ser gr80'!O39</f>
        <v>0.625</v>
      </c>
      <c r="P40" s="43">
        <f t="shared" si="12"/>
        <v>0.67636363636363628</v>
      </c>
      <c r="Q40" s="195">
        <f t="shared" si="13"/>
        <v>7.4375</v>
      </c>
      <c r="R40" s="102">
        <f t="shared" si="14"/>
        <v>7.9375</v>
      </c>
      <c r="S40" s="287">
        <f t="shared" si="15"/>
        <v>7.5783040488922836E-3</v>
      </c>
      <c r="T40" s="115">
        <f t="shared" si="16"/>
        <v>7.1009305654974935E-3</v>
      </c>
      <c r="U40" s="164"/>
      <c r="V40" s="253">
        <f t="shared" si="17"/>
        <v>27.790738940204179</v>
      </c>
      <c r="W40" s="108">
        <f t="shared" si="18"/>
        <v>29.81982984929509</v>
      </c>
      <c r="X40" s="253">
        <f t="shared" si="19"/>
        <v>27.491740398638793</v>
      </c>
      <c r="Y40" s="99">
        <f t="shared" si="20"/>
        <v>29.520831307729704</v>
      </c>
      <c r="Z40" s="253">
        <f t="shared" si="21"/>
        <v>28.029937773456492</v>
      </c>
      <c r="AA40" s="108">
        <f t="shared" si="22"/>
        <v>30.059028682547396</v>
      </c>
      <c r="AB40" s="3">
        <f t="shared" si="0"/>
        <v>13.5</v>
      </c>
      <c r="AC40" s="55">
        <f t="shared" si="0"/>
        <v>10.25</v>
      </c>
      <c r="AD40" s="253">
        <f t="shared" si="1"/>
        <v>-21.838222656249997</v>
      </c>
      <c r="AE40" s="108">
        <f t="shared" si="1"/>
        <v>18.793578124999996</v>
      </c>
      <c r="AF40" s="279">
        <v>67</v>
      </c>
      <c r="AG40" s="43">
        <f t="shared" si="2"/>
        <v>0.45316363636363632</v>
      </c>
      <c r="AH40" s="24">
        <v>5</v>
      </c>
      <c r="AI40" s="201">
        <v>8</v>
      </c>
      <c r="AJ40" s="218" t="str">
        <f t="shared" si="33"/>
        <v>#5 @ 8</v>
      </c>
      <c r="AK40" s="43">
        <f t="shared" si="35"/>
        <v>0.46499999999999997</v>
      </c>
      <c r="AL40" s="191">
        <f t="shared" si="24"/>
        <v>0.6875</v>
      </c>
      <c r="AM40" s="43">
        <f t="shared" si="34"/>
        <v>7.5609756097560973E-3</v>
      </c>
      <c r="AN40" s="272" t="str">
        <f t="shared" si="25"/>
        <v>#5 @ 5.5</v>
      </c>
      <c r="AP40" s="2">
        <f t="shared" si="36"/>
        <v>13.5</v>
      </c>
      <c r="AQ40" s="55">
        <f t="shared" si="36"/>
        <v>10.25</v>
      </c>
      <c r="AR40" s="169" t="str">
        <f t="shared" si="26"/>
        <v>#5 @ 5.5</v>
      </c>
      <c r="AS40" s="171" t="str">
        <f t="shared" si="27"/>
        <v>#5 @ 8</v>
      </c>
      <c r="AT40" s="253">
        <f t="shared" si="37"/>
        <v>-21.838222656249997</v>
      </c>
      <c r="AU40" s="108">
        <f t="shared" si="37"/>
        <v>18.793578124999996</v>
      </c>
      <c r="AV40" s="253">
        <f t="shared" si="28"/>
        <v>-27.790738940204179</v>
      </c>
      <c r="AW40" s="108">
        <f t="shared" si="29"/>
        <v>29.81982984929509</v>
      </c>
      <c r="AY40" s="156"/>
      <c r="AZ40" s="156"/>
      <c r="BA40" s="156">
        <f t="shared" si="30"/>
        <v>1.2725732939741137</v>
      </c>
      <c r="BB40" s="156">
        <f t="shared" si="31"/>
        <v>1.5867031626951078</v>
      </c>
      <c r="BC40" s="144">
        <f t="shared" si="32"/>
        <v>1.2725732939741137</v>
      </c>
      <c r="BD40" s="144">
        <f t="shared" si="32"/>
        <v>1.5867031626951078</v>
      </c>
    </row>
    <row r="41" spans="1:56" x14ac:dyDescent="0.2">
      <c r="A41" s="2">
        <v>13.75</v>
      </c>
      <c r="B41" s="222">
        <v>10.25</v>
      </c>
      <c r="C41" s="32">
        <f t="shared" si="6"/>
        <v>0.12812499999999999</v>
      </c>
      <c r="D41" s="253">
        <f t="shared" si="7"/>
        <v>-2.42236328125</v>
      </c>
      <c r="E41" s="99">
        <f t="shared" si="8"/>
        <v>1.9378906249999996</v>
      </c>
      <c r="F41" s="253">
        <f t="shared" si="9"/>
        <v>-0.94531250000000022</v>
      </c>
      <c r="G41" s="108">
        <f t="shared" si="10"/>
        <v>0.75624999999999998</v>
      </c>
      <c r="H41" s="253">
        <v>-10.27</v>
      </c>
      <c r="I41" s="99">
        <v>8.9</v>
      </c>
      <c r="J41" s="253">
        <f t="shared" si="38"/>
        <v>-22.4184228515625</v>
      </c>
      <c r="K41" s="108">
        <f t="shared" si="38"/>
        <v>19.131738281250001</v>
      </c>
      <c r="L41" s="238">
        <f>'Stl-ser gr80'!L40</f>
        <v>5</v>
      </c>
      <c r="M41" s="238">
        <f>'Stl-ser gr80'!M40</f>
        <v>5.5</v>
      </c>
      <c r="N41" s="298">
        <f>'Stl-ser gr80'!N40</f>
        <v>0.31</v>
      </c>
      <c r="O41" s="238">
        <f>'Stl-ser gr80'!O40</f>
        <v>0.625</v>
      </c>
      <c r="P41" s="44">
        <f t="shared" si="12"/>
        <v>0.67636363636363628</v>
      </c>
      <c r="Q41" s="257">
        <f t="shared" si="13"/>
        <v>7.4375</v>
      </c>
      <c r="R41" s="104">
        <f t="shared" si="14"/>
        <v>7.9375</v>
      </c>
      <c r="S41" s="287">
        <f t="shared" si="15"/>
        <v>7.5783040488922836E-3</v>
      </c>
      <c r="T41" s="115">
        <f t="shared" si="16"/>
        <v>7.1009305654974935E-3</v>
      </c>
      <c r="U41" s="164"/>
      <c r="V41" s="61">
        <f t="shared" si="17"/>
        <v>27.790738940204179</v>
      </c>
      <c r="W41" s="110">
        <f t="shared" si="18"/>
        <v>29.81982984929509</v>
      </c>
      <c r="X41" s="61">
        <f t="shared" si="19"/>
        <v>27.491740398638793</v>
      </c>
      <c r="Y41" s="101">
        <f t="shared" si="20"/>
        <v>29.520831307729704</v>
      </c>
      <c r="Z41" s="61">
        <f t="shared" si="21"/>
        <v>28.029937773456492</v>
      </c>
      <c r="AA41" s="110">
        <f t="shared" si="22"/>
        <v>30.059028682547396</v>
      </c>
      <c r="AB41" s="3">
        <f t="shared" si="0"/>
        <v>13.75</v>
      </c>
      <c r="AC41" s="55">
        <f t="shared" si="0"/>
        <v>10.25</v>
      </c>
      <c r="AD41" s="253">
        <f t="shared" si="1"/>
        <v>-22.4184228515625</v>
      </c>
      <c r="AE41" s="108">
        <f t="shared" si="1"/>
        <v>19.131738281250001</v>
      </c>
      <c r="AF41" s="280">
        <v>67</v>
      </c>
      <c r="AG41" s="43">
        <f t="shared" si="2"/>
        <v>0.45316363636363632</v>
      </c>
      <c r="AH41" s="245">
        <v>5</v>
      </c>
      <c r="AI41" s="245">
        <v>8</v>
      </c>
      <c r="AJ41" s="219" t="str">
        <f t="shared" si="33"/>
        <v>#5 @ 8</v>
      </c>
      <c r="AK41" s="44">
        <f t="shared" si="35"/>
        <v>0.46499999999999997</v>
      </c>
      <c r="AL41" s="234">
        <f t="shared" si="24"/>
        <v>0.6875</v>
      </c>
      <c r="AM41" s="43">
        <f t="shared" si="34"/>
        <v>7.5609756097560973E-3</v>
      </c>
      <c r="AN41" s="219" t="str">
        <f t="shared" si="25"/>
        <v>#5 @ 5.5</v>
      </c>
      <c r="AP41" s="8">
        <f t="shared" si="36"/>
        <v>13.75</v>
      </c>
      <c r="AQ41" s="57">
        <f t="shared" si="36"/>
        <v>10.25</v>
      </c>
      <c r="AR41" s="175" t="str">
        <f t="shared" si="26"/>
        <v>#5 @ 5.5</v>
      </c>
      <c r="AS41" s="171" t="str">
        <f t="shared" si="27"/>
        <v>#5 @ 8</v>
      </c>
      <c r="AT41" s="253">
        <f t="shared" si="37"/>
        <v>-22.4184228515625</v>
      </c>
      <c r="AU41" s="108">
        <f t="shared" si="37"/>
        <v>19.131738281250001</v>
      </c>
      <c r="AV41" s="61">
        <f t="shared" si="28"/>
        <v>-27.790738940204179</v>
      </c>
      <c r="AW41" s="110">
        <f t="shared" si="29"/>
        <v>29.81982984929509</v>
      </c>
      <c r="AY41" s="156"/>
      <c r="AZ41" s="156"/>
      <c r="BA41" s="156">
        <f t="shared" si="30"/>
        <v>1.2396384493330781</v>
      </c>
      <c r="BB41" s="156">
        <f t="shared" si="31"/>
        <v>1.5586576301077628</v>
      </c>
      <c r="BC41" s="144">
        <f t="shared" si="32"/>
        <v>1.2396384493330781</v>
      </c>
      <c r="BD41" s="144">
        <f t="shared" si="32"/>
        <v>1.5586576301077628</v>
      </c>
    </row>
    <row r="42" spans="1:56" x14ac:dyDescent="0.2">
      <c r="A42" s="17">
        <v>14</v>
      </c>
      <c r="B42" s="221">
        <v>10.5</v>
      </c>
      <c r="C42" s="42">
        <f t="shared" si="6"/>
        <v>0.13125000000000001</v>
      </c>
      <c r="D42" s="255">
        <f t="shared" si="7"/>
        <v>-2.5725000000000002</v>
      </c>
      <c r="E42" s="100">
        <f t="shared" si="8"/>
        <v>2.0580000000000003</v>
      </c>
      <c r="F42" s="255">
        <f t="shared" si="9"/>
        <v>-0.9800000000000002</v>
      </c>
      <c r="G42" s="109">
        <f t="shared" si="10"/>
        <v>0.78400000000000003</v>
      </c>
      <c r="H42" s="255">
        <v>-10.5</v>
      </c>
      <c r="I42" s="100">
        <v>9.02</v>
      </c>
      <c r="J42" s="255">
        <f t="shared" si="38"/>
        <v>-23.060625000000002</v>
      </c>
      <c r="K42" s="109">
        <f t="shared" si="38"/>
        <v>19.5335</v>
      </c>
      <c r="L42" s="236">
        <f>'Stl-ser gr80'!L41</f>
        <v>5</v>
      </c>
      <c r="M42" s="236">
        <f>'Stl-ser gr80'!M41</f>
        <v>5.5</v>
      </c>
      <c r="N42" s="297">
        <f>'Stl-ser gr80'!N41</f>
        <v>0.31</v>
      </c>
      <c r="O42" s="236">
        <f>'Stl-ser gr80'!O41</f>
        <v>0.625</v>
      </c>
      <c r="P42" s="43">
        <f t="shared" si="12"/>
        <v>0.67636363636363628</v>
      </c>
      <c r="Q42" s="195">
        <f t="shared" si="13"/>
        <v>7.6875</v>
      </c>
      <c r="R42" s="102">
        <f t="shared" si="14"/>
        <v>8.1875</v>
      </c>
      <c r="S42" s="288">
        <f t="shared" si="15"/>
        <v>7.3318551367331846E-3</v>
      </c>
      <c r="T42" s="116">
        <f t="shared" si="16"/>
        <v>6.8841082581540588E-3</v>
      </c>
      <c r="U42" s="164"/>
      <c r="V42" s="253">
        <f t="shared" si="17"/>
        <v>28.805284394749634</v>
      </c>
      <c r="W42" s="108">
        <f t="shared" si="18"/>
        <v>30.834375303840542</v>
      </c>
      <c r="X42" s="253">
        <f t="shared" si="19"/>
        <v>28.506285853184249</v>
      </c>
      <c r="Y42" s="99">
        <f t="shared" si="20"/>
        <v>30.53537676227516</v>
      </c>
      <c r="Z42" s="253">
        <f t="shared" si="21"/>
        <v>29.04448322800194</v>
      </c>
      <c r="AA42" s="108">
        <f t="shared" si="22"/>
        <v>31.073574137092852</v>
      </c>
      <c r="AB42" s="18">
        <f t="shared" si="0"/>
        <v>14</v>
      </c>
      <c r="AC42" s="56">
        <f t="shared" si="0"/>
        <v>10.5</v>
      </c>
      <c r="AD42" s="255">
        <f t="shared" si="1"/>
        <v>-23.060625000000002</v>
      </c>
      <c r="AE42" s="109">
        <f t="shared" si="1"/>
        <v>19.5335</v>
      </c>
      <c r="AF42" s="300">
        <v>67</v>
      </c>
      <c r="AG42" s="42">
        <f t="shared" si="2"/>
        <v>0.45316363636363632</v>
      </c>
      <c r="AH42" s="24">
        <v>5</v>
      </c>
      <c r="AI42" s="201">
        <v>8</v>
      </c>
      <c r="AJ42" s="218" t="str">
        <f t="shared" si="33"/>
        <v>#5 @ 8</v>
      </c>
      <c r="AK42" s="43">
        <f t="shared" si="35"/>
        <v>0.46499999999999997</v>
      </c>
      <c r="AL42" s="191">
        <f t="shared" si="24"/>
        <v>0.6875</v>
      </c>
      <c r="AM42" s="42">
        <f t="shared" si="34"/>
        <v>7.3809523809523804E-3</v>
      </c>
      <c r="AN42" s="272" t="str">
        <f t="shared" si="25"/>
        <v>#5 @ 5.5</v>
      </c>
      <c r="AP42" s="17">
        <f t="shared" si="36"/>
        <v>14</v>
      </c>
      <c r="AQ42" s="56">
        <f t="shared" si="36"/>
        <v>10.5</v>
      </c>
      <c r="AR42" s="169" t="str">
        <f t="shared" si="26"/>
        <v>#5 @ 5.5</v>
      </c>
      <c r="AS42" s="170" t="str">
        <f t="shared" si="27"/>
        <v>#5 @ 8</v>
      </c>
      <c r="AT42" s="255">
        <f t="shared" si="37"/>
        <v>-23.060625000000002</v>
      </c>
      <c r="AU42" s="109">
        <f t="shared" si="37"/>
        <v>19.5335</v>
      </c>
      <c r="AV42" s="253">
        <f t="shared" si="28"/>
        <v>-28.805284394749634</v>
      </c>
      <c r="AW42" s="108">
        <f t="shared" si="29"/>
        <v>30.834375303840542</v>
      </c>
      <c r="AY42" s="156"/>
      <c r="AZ42" s="156"/>
      <c r="BA42" s="156">
        <f t="shared" si="30"/>
        <v>1.2491111752066404</v>
      </c>
      <c r="BB42" s="156">
        <f t="shared" si="31"/>
        <v>1.5785381679596868</v>
      </c>
      <c r="BC42" s="144">
        <f t="shared" si="32"/>
        <v>1.2491111752066404</v>
      </c>
      <c r="BD42" s="144">
        <f t="shared" si="32"/>
        <v>1.5785381679596868</v>
      </c>
    </row>
    <row r="43" spans="1:56" x14ac:dyDescent="0.2">
      <c r="A43" s="2">
        <v>14.25</v>
      </c>
      <c r="B43" s="221">
        <v>10.5</v>
      </c>
      <c r="C43" s="43">
        <f t="shared" si="6"/>
        <v>0.13125000000000001</v>
      </c>
      <c r="D43" s="253">
        <f t="shared" si="7"/>
        <v>-2.6651953125000003</v>
      </c>
      <c r="E43" s="99">
        <f t="shared" si="8"/>
        <v>2.13215625</v>
      </c>
      <c r="F43" s="253">
        <f t="shared" si="9"/>
        <v>-1.0153125000000003</v>
      </c>
      <c r="G43" s="108">
        <f t="shared" si="10"/>
        <v>0.81225000000000003</v>
      </c>
      <c r="H43" s="253">
        <v>-10.72</v>
      </c>
      <c r="I43" s="99">
        <v>9.14</v>
      </c>
      <c r="J43" s="253">
        <f t="shared" si="38"/>
        <v>-23.614462890625003</v>
      </c>
      <c r="K43" s="108">
        <f t="shared" si="38"/>
        <v>19.878570312500003</v>
      </c>
      <c r="L43" s="236">
        <f>'Stl-ser gr80'!L42</f>
        <v>5</v>
      </c>
      <c r="M43" s="236">
        <f>'Stl-ser gr80'!M42</f>
        <v>5.5</v>
      </c>
      <c r="N43" s="297">
        <f>'Stl-ser gr80'!N42</f>
        <v>0.31</v>
      </c>
      <c r="O43" s="236">
        <f>'Stl-ser gr80'!O42</f>
        <v>0.625</v>
      </c>
      <c r="P43" s="43">
        <f t="shared" si="12"/>
        <v>0.67636363636363628</v>
      </c>
      <c r="Q43" s="195">
        <f t="shared" si="13"/>
        <v>7.6875</v>
      </c>
      <c r="R43" s="102">
        <f t="shared" si="14"/>
        <v>8.1875</v>
      </c>
      <c r="S43" s="287">
        <f t="shared" si="15"/>
        <v>7.3318551367331846E-3</v>
      </c>
      <c r="T43" s="115">
        <f t="shared" si="16"/>
        <v>6.8841082581540588E-3</v>
      </c>
      <c r="U43" s="164"/>
      <c r="V43" s="253">
        <f t="shared" si="17"/>
        <v>28.805284394749634</v>
      </c>
      <c r="W43" s="108">
        <f t="shared" si="18"/>
        <v>30.834375303840542</v>
      </c>
      <c r="X43" s="253">
        <f t="shared" si="19"/>
        <v>28.506285853184249</v>
      </c>
      <c r="Y43" s="99">
        <f t="shared" si="20"/>
        <v>30.53537676227516</v>
      </c>
      <c r="Z43" s="253">
        <f t="shared" si="21"/>
        <v>29.04448322800194</v>
      </c>
      <c r="AA43" s="108">
        <f t="shared" si="22"/>
        <v>31.073574137092852</v>
      </c>
      <c r="AB43" s="3">
        <f t="shared" si="0"/>
        <v>14.25</v>
      </c>
      <c r="AC43" s="55">
        <f t="shared" si="0"/>
        <v>10.5</v>
      </c>
      <c r="AD43" s="253">
        <f t="shared" si="1"/>
        <v>-23.614462890625003</v>
      </c>
      <c r="AE43" s="108">
        <f t="shared" si="1"/>
        <v>19.878570312500003</v>
      </c>
      <c r="AF43" s="279">
        <v>67</v>
      </c>
      <c r="AG43" s="43">
        <f t="shared" si="2"/>
        <v>0.45316363636363632</v>
      </c>
      <c r="AH43" s="24">
        <v>5</v>
      </c>
      <c r="AI43" s="201">
        <v>8</v>
      </c>
      <c r="AJ43" s="218" t="str">
        <f t="shared" si="33"/>
        <v>#5 @ 8</v>
      </c>
      <c r="AK43" s="43">
        <f t="shared" si="35"/>
        <v>0.46499999999999997</v>
      </c>
      <c r="AL43" s="191">
        <f t="shared" si="24"/>
        <v>0.6875</v>
      </c>
      <c r="AM43" s="43">
        <f t="shared" si="34"/>
        <v>7.3809523809523804E-3</v>
      </c>
      <c r="AN43" s="272" t="str">
        <f t="shared" si="25"/>
        <v>#5 @ 5.5</v>
      </c>
      <c r="AP43" s="2">
        <f t="shared" si="36"/>
        <v>14.25</v>
      </c>
      <c r="AQ43" s="55">
        <f t="shared" si="36"/>
        <v>10.5</v>
      </c>
      <c r="AR43" s="169" t="str">
        <f t="shared" si="26"/>
        <v>#5 @ 5.5</v>
      </c>
      <c r="AS43" s="171" t="str">
        <f t="shared" si="27"/>
        <v>#5 @ 8</v>
      </c>
      <c r="AT43" s="253">
        <f t="shared" si="37"/>
        <v>-23.614462890625003</v>
      </c>
      <c r="AU43" s="108">
        <f t="shared" si="37"/>
        <v>19.878570312500003</v>
      </c>
      <c r="AV43" s="253">
        <f t="shared" si="28"/>
        <v>-28.805284394749634</v>
      </c>
      <c r="AW43" s="108">
        <f t="shared" si="29"/>
        <v>30.834375303840542</v>
      </c>
      <c r="AY43" s="156"/>
      <c r="AZ43" s="156"/>
      <c r="BA43" s="156">
        <f t="shared" si="30"/>
        <v>1.2198153533352394</v>
      </c>
      <c r="BB43" s="156">
        <f t="shared" si="31"/>
        <v>1.5511364660088927</v>
      </c>
      <c r="BC43" s="144">
        <f t="shared" si="32"/>
        <v>1.2198153533352394</v>
      </c>
      <c r="BD43" s="144">
        <f t="shared" si="32"/>
        <v>1.5511364660088927</v>
      </c>
    </row>
    <row r="44" spans="1:56" x14ac:dyDescent="0.2">
      <c r="A44" s="2">
        <v>14.5</v>
      </c>
      <c r="B44" s="221">
        <v>10.75</v>
      </c>
      <c r="C44" s="43">
        <f t="shared" si="6"/>
        <v>0.13437499999999999</v>
      </c>
      <c r="D44" s="253">
        <f t="shared" si="7"/>
        <v>-2.825234375</v>
      </c>
      <c r="E44" s="99">
        <f t="shared" si="8"/>
        <v>2.2601874999999998</v>
      </c>
      <c r="F44" s="253">
        <f t="shared" si="9"/>
        <v>-1.0512500000000002</v>
      </c>
      <c r="G44" s="108">
        <f t="shared" si="10"/>
        <v>0.84099999999999997</v>
      </c>
      <c r="H44" s="253">
        <v>-10.94</v>
      </c>
      <c r="I44" s="99">
        <v>9.25</v>
      </c>
      <c r="J44" s="253">
        <f t="shared" si="38"/>
        <v>-24.25341796875</v>
      </c>
      <c r="K44" s="108">
        <f t="shared" si="38"/>
        <v>20.274234374999999</v>
      </c>
      <c r="L44" s="236">
        <f>'Stl-ser gr80'!L43</f>
        <v>5</v>
      </c>
      <c r="M44" s="236">
        <f>'Stl-ser gr80'!M43</f>
        <v>5.5</v>
      </c>
      <c r="N44" s="297">
        <f>'Stl-ser gr80'!N43</f>
        <v>0.31</v>
      </c>
      <c r="O44" s="236">
        <f>'Stl-ser gr80'!O43</f>
        <v>0.625</v>
      </c>
      <c r="P44" s="43">
        <f t="shared" si="12"/>
        <v>0.67636363636363628</v>
      </c>
      <c r="Q44" s="195">
        <f t="shared" si="13"/>
        <v>7.9375</v>
      </c>
      <c r="R44" s="102">
        <f t="shared" si="14"/>
        <v>8.4375</v>
      </c>
      <c r="S44" s="287">
        <f t="shared" si="15"/>
        <v>7.1009305654974935E-3</v>
      </c>
      <c r="T44" s="115">
        <f t="shared" si="16"/>
        <v>6.6801346801346794E-3</v>
      </c>
      <c r="U44" s="164"/>
      <c r="V44" s="253">
        <f t="shared" si="17"/>
        <v>29.81982984929509</v>
      </c>
      <c r="W44" s="108">
        <f t="shared" si="18"/>
        <v>31.848920758385997</v>
      </c>
      <c r="X44" s="253">
        <f t="shared" si="19"/>
        <v>29.520831307729704</v>
      </c>
      <c r="Y44" s="99">
        <f t="shared" si="20"/>
        <v>31.549922216820608</v>
      </c>
      <c r="Z44" s="253">
        <f t="shared" si="21"/>
        <v>30.059028682547396</v>
      </c>
      <c r="AA44" s="108">
        <f t="shared" si="22"/>
        <v>32.088119591638311</v>
      </c>
      <c r="AB44" s="3">
        <f t="shared" si="0"/>
        <v>14.5</v>
      </c>
      <c r="AC44" s="55">
        <f t="shared" si="0"/>
        <v>10.75</v>
      </c>
      <c r="AD44" s="253">
        <f t="shared" si="1"/>
        <v>-24.25341796875</v>
      </c>
      <c r="AE44" s="108">
        <f t="shared" si="1"/>
        <v>20.274234374999999</v>
      </c>
      <c r="AF44" s="279">
        <v>67</v>
      </c>
      <c r="AG44" s="43">
        <f t="shared" si="2"/>
        <v>0.45316363636363632</v>
      </c>
      <c r="AH44" s="24">
        <v>5</v>
      </c>
      <c r="AI44" s="201">
        <v>8</v>
      </c>
      <c r="AJ44" s="218" t="str">
        <f t="shared" si="33"/>
        <v>#5 @ 8</v>
      </c>
      <c r="AK44" s="43">
        <f t="shared" si="35"/>
        <v>0.46499999999999997</v>
      </c>
      <c r="AL44" s="191">
        <f t="shared" si="24"/>
        <v>0.6875</v>
      </c>
      <c r="AM44" s="43">
        <f t="shared" si="34"/>
        <v>7.2093023255813951E-3</v>
      </c>
      <c r="AN44" s="272" t="str">
        <f t="shared" si="25"/>
        <v>#5 @ 5.5</v>
      </c>
      <c r="AP44" s="2">
        <f t="shared" si="36"/>
        <v>14.5</v>
      </c>
      <c r="AQ44" s="55">
        <f t="shared" si="36"/>
        <v>10.75</v>
      </c>
      <c r="AR44" s="169" t="str">
        <f t="shared" si="26"/>
        <v>#5 @ 5.5</v>
      </c>
      <c r="AS44" s="171" t="str">
        <f t="shared" si="27"/>
        <v>#5 @ 8</v>
      </c>
      <c r="AT44" s="253">
        <f t="shared" si="37"/>
        <v>-24.25341796875</v>
      </c>
      <c r="AU44" s="108">
        <f t="shared" si="37"/>
        <v>20.274234374999999</v>
      </c>
      <c r="AV44" s="253">
        <f t="shared" si="28"/>
        <v>-29.81982984929509</v>
      </c>
      <c r="AW44" s="108">
        <f t="shared" si="29"/>
        <v>31.848920758385997</v>
      </c>
      <c r="AY44" s="156"/>
      <c r="AZ44" s="156"/>
      <c r="BA44" s="156">
        <f t="shared" si="30"/>
        <v>1.2295104091191307</v>
      </c>
      <c r="BB44" s="156">
        <f t="shared" si="31"/>
        <v>1.5709062137339527</v>
      </c>
      <c r="BC44" s="144">
        <f t="shared" si="32"/>
        <v>1.2295104091191307</v>
      </c>
      <c r="BD44" s="144">
        <f t="shared" si="32"/>
        <v>1.5709062137339527</v>
      </c>
    </row>
    <row r="45" spans="1:56" x14ac:dyDescent="0.2">
      <c r="A45" s="2">
        <v>14.75</v>
      </c>
      <c r="B45" s="221">
        <v>10.75</v>
      </c>
      <c r="C45" s="43">
        <f t="shared" si="6"/>
        <v>0.13437499999999999</v>
      </c>
      <c r="D45" s="253">
        <f t="shared" si="7"/>
        <v>-2.9234960937499999</v>
      </c>
      <c r="E45" s="99">
        <f t="shared" si="8"/>
        <v>2.3387968749999999</v>
      </c>
      <c r="F45" s="253">
        <f t="shared" si="9"/>
        <v>-1.0878125000000003</v>
      </c>
      <c r="G45" s="108">
        <f t="shared" si="10"/>
        <v>0.87024999999999997</v>
      </c>
      <c r="H45" s="253">
        <v>-11.16</v>
      </c>
      <c r="I45" s="99">
        <v>9.36</v>
      </c>
      <c r="J45" s="253">
        <f t="shared" si="38"/>
        <v>-24.816088867187503</v>
      </c>
      <c r="K45" s="108">
        <f t="shared" si="38"/>
        <v>20.608871093749997</v>
      </c>
      <c r="L45" s="236">
        <f>'Stl-ser gr80'!L44</f>
        <v>5</v>
      </c>
      <c r="M45" s="236">
        <f>'Stl-ser gr80'!M44</f>
        <v>5.5</v>
      </c>
      <c r="N45" s="297">
        <f>'Stl-ser gr80'!N44</f>
        <v>0.31</v>
      </c>
      <c r="O45" s="236">
        <f>'Stl-ser gr80'!O44</f>
        <v>0.625</v>
      </c>
      <c r="P45" s="43">
        <f t="shared" si="12"/>
        <v>0.67636363636363628</v>
      </c>
      <c r="Q45" s="195">
        <f t="shared" si="13"/>
        <v>7.9375</v>
      </c>
      <c r="R45" s="102">
        <f t="shared" si="14"/>
        <v>8.4375</v>
      </c>
      <c r="S45" s="287">
        <f t="shared" si="15"/>
        <v>7.1009305654974935E-3</v>
      </c>
      <c r="T45" s="115">
        <f t="shared" si="16"/>
        <v>6.6801346801346794E-3</v>
      </c>
      <c r="U45" s="164"/>
      <c r="V45" s="253">
        <f t="shared" si="17"/>
        <v>29.81982984929509</v>
      </c>
      <c r="W45" s="108">
        <f t="shared" si="18"/>
        <v>31.848920758385997</v>
      </c>
      <c r="X45" s="253">
        <f t="shared" si="19"/>
        <v>29.520831307729704</v>
      </c>
      <c r="Y45" s="99">
        <f t="shared" si="20"/>
        <v>31.549922216820608</v>
      </c>
      <c r="Z45" s="253">
        <f t="shared" si="21"/>
        <v>30.059028682547396</v>
      </c>
      <c r="AA45" s="108">
        <f t="shared" si="22"/>
        <v>32.088119591638311</v>
      </c>
      <c r="AB45" s="3">
        <f t="shared" si="0"/>
        <v>14.75</v>
      </c>
      <c r="AC45" s="55">
        <f t="shared" si="0"/>
        <v>10.75</v>
      </c>
      <c r="AD45" s="253">
        <f t="shared" si="1"/>
        <v>-24.816088867187503</v>
      </c>
      <c r="AE45" s="108">
        <f t="shared" si="1"/>
        <v>20.608871093749997</v>
      </c>
      <c r="AF45" s="279">
        <v>67</v>
      </c>
      <c r="AG45" s="43">
        <f t="shared" si="2"/>
        <v>0.45316363636363632</v>
      </c>
      <c r="AH45" s="24">
        <v>5</v>
      </c>
      <c r="AI45" s="201">
        <v>8</v>
      </c>
      <c r="AJ45" s="218" t="str">
        <f t="shared" si="33"/>
        <v>#5 @ 8</v>
      </c>
      <c r="AK45" s="43">
        <f t="shared" si="35"/>
        <v>0.46499999999999997</v>
      </c>
      <c r="AL45" s="191">
        <f t="shared" si="24"/>
        <v>0.6875</v>
      </c>
      <c r="AM45" s="43">
        <f t="shared" si="34"/>
        <v>7.2093023255813951E-3</v>
      </c>
      <c r="AN45" s="272" t="str">
        <f t="shared" si="25"/>
        <v>#5 @ 5.5</v>
      </c>
      <c r="AP45" s="2">
        <f t="shared" si="36"/>
        <v>14.75</v>
      </c>
      <c r="AQ45" s="55">
        <f t="shared" si="36"/>
        <v>10.75</v>
      </c>
      <c r="AR45" s="169" t="str">
        <f t="shared" si="26"/>
        <v>#5 @ 5.5</v>
      </c>
      <c r="AS45" s="171" t="str">
        <f t="shared" si="27"/>
        <v>#5 @ 8</v>
      </c>
      <c r="AT45" s="294">
        <f t="shared" si="37"/>
        <v>-24.816088867187503</v>
      </c>
      <c r="AU45" s="108">
        <f t="shared" si="37"/>
        <v>20.608871093749997</v>
      </c>
      <c r="AV45" s="253">
        <f t="shared" si="28"/>
        <v>-29.81982984929509</v>
      </c>
      <c r="AW45" s="108">
        <f t="shared" si="29"/>
        <v>31.848920758385997</v>
      </c>
      <c r="AY45" s="156"/>
      <c r="AZ45" s="156"/>
      <c r="BA45" s="156">
        <f t="shared" si="30"/>
        <v>1.2016329409878794</v>
      </c>
      <c r="BB45" s="156">
        <f t="shared" si="31"/>
        <v>1.5453986107975</v>
      </c>
      <c r="BC45" s="144">
        <f t="shared" si="32"/>
        <v>1.2016329409878794</v>
      </c>
      <c r="BD45" s="144">
        <f t="shared" si="32"/>
        <v>1.5453986107975</v>
      </c>
    </row>
    <row r="46" spans="1:56" x14ac:dyDescent="0.2">
      <c r="A46" s="8">
        <v>15</v>
      </c>
      <c r="B46" s="222">
        <v>11</v>
      </c>
      <c r="C46" s="44">
        <f t="shared" si="6"/>
        <v>0.13749999999999998</v>
      </c>
      <c r="D46" s="61">
        <f t="shared" si="7"/>
        <v>-3.0937499999999996</v>
      </c>
      <c r="E46" s="101">
        <f t="shared" si="8"/>
        <v>2.4749999999999996</v>
      </c>
      <c r="F46" s="61">
        <f t="shared" si="9"/>
        <v>-1.1250000000000002</v>
      </c>
      <c r="G46" s="110">
        <f t="shared" si="10"/>
        <v>0.9</v>
      </c>
      <c r="H46" s="61">
        <v>-11.37</v>
      </c>
      <c r="I46" s="101">
        <v>9.4700000000000006</v>
      </c>
      <c r="J46" s="61">
        <f t="shared" si="38"/>
        <v>-25.452187499999997</v>
      </c>
      <c r="K46" s="110">
        <f t="shared" si="38"/>
        <v>21.016249999999999</v>
      </c>
      <c r="L46" s="238">
        <f>'Stl-ser gr80'!L45</f>
        <v>5</v>
      </c>
      <c r="M46" s="238">
        <f>'Stl-ser gr80'!M45</f>
        <v>5.5</v>
      </c>
      <c r="N46" s="298">
        <f>'Stl-ser gr80'!N45</f>
        <v>0.31</v>
      </c>
      <c r="O46" s="238">
        <f>'Stl-ser gr80'!O45</f>
        <v>0.625</v>
      </c>
      <c r="P46" s="44">
        <f t="shared" si="12"/>
        <v>0.67636363636363628</v>
      </c>
      <c r="Q46" s="257">
        <f t="shared" si="13"/>
        <v>8.1875</v>
      </c>
      <c r="R46" s="104">
        <f t="shared" si="14"/>
        <v>8.6875</v>
      </c>
      <c r="S46" s="289">
        <f t="shared" si="15"/>
        <v>6.8841082581540588E-3</v>
      </c>
      <c r="T46" s="117">
        <f t="shared" si="16"/>
        <v>6.4879005886200125E-3</v>
      </c>
      <c r="U46" s="164"/>
      <c r="V46" s="61">
        <f t="shared" si="17"/>
        <v>30.834375303840542</v>
      </c>
      <c r="W46" s="110">
        <f t="shared" si="18"/>
        <v>32.863466212931456</v>
      </c>
      <c r="X46" s="61">
        <f t="shared" si="19"/>
        <v>30.53537676227516</v>
      </c>
      <c r="Y46" s="101">
        <f t="shared" si="20"/>
        <v>32.56446767136606</v>
      </c>
      <c r="Z46" s="61">
        <f t="shared" si="21"/>
        <v>31.073574137092852</v>
      </c>
      <c r="AA46" s="110">
        <f t="shared" si="22"/>
        <v>33.102665046183759</v>
      </c>
      <c r="AB46" s="9">
        <f t="shared" si="0"/>
        <v>15</v>
      </c>
      <c r="AC46" s="57">
        <f t="shared" si="0"/>
        <v>11</v>
      </c>
      <c r="AD46" s="61">
        <f t="shared" si="1"/>
        <v>-25.452187499999997</v>
      </c>
      <c r="AE46" s="110">
        <f t="shared" si="1"/>
        <v>21.016249999999999</v>
      </c>
      <c r="AF46" s="280">
        <v>67</v>
      </c>
      <c r="AG46" s="44">
        <f t="shared" si="2"/>
        <v>0.45316363636363632</v>
      </c>
      <c r="AH46" s="245">
        <v>5</v>
      </c>
      <c r="AI46" s="245">
        <v>8</v>
      </c>
      <c r="AJ46" s="219" t="str">
        <f t="shared" si="33"/>
        <v>#5 @ 8</v>
      </c>
      <c r="AK46" s="44">
        <f t="shared" si="35"/>
        <v>0.46499999999999997</v>
      </c>
      <c r="AL46" s="234">
        <f t="shared" si="24"/>
        <v>0.6875</v>
      </c>
      <c r="AM46" s="44">
        <f t="shared" si="34"/>
        <v>7.0454545454545449E-3</v>
      </c>
      <c r="AN46" s="219" t="str">
        <f t="shared" si="25"/>
        <v>#5 @ 5.5</v>
      </c>
      <c r="AP46" s="8">
        <f t="shared" si="36"/>
        <v>15</v>
      </c>
      <c r="AQ46" s="57">
        <f t="shared" si="36"/>
        <v>11</v>
      </c>
      <c r="AR46" s="175" t="str">
        <f t="shared" si="26"/>
        <v>#5 @ 5.5</v>
      </c>
      <c r="AS46" s="172" t="str">
        <f t="shared" si="27"/>
        <v>#5 @ 8</v>
      </c>
      <c r="AT46" s="61">
        <f t="shared" si="37"/>
        <v>-25.452187499999997</v>
      </c>
      <c r="AU46" s="110">
        <f t="shared" si="37"/>
        <v>21.016249999999999</v>
      </c>
      <c r="AV46" s="61">
        <f t="shared" si="28"/>
        <v>-30.834375303840542</v>
      </c>
      <c r="AW46" s="110">
        <f t="shared" si="29"/>
        <v>32.863466212931456</v>
      </c>
      <c r="AY46" s="156"/>
      <c r="AZ46" s="156"/>
      <c r="BA46" s="156">
        <f t="shared" si="30"/>
        <v>1.2114626809126148</v>
      </c>
      <c r="BB46" s="156">
        <f t="shared" si="31"/>
        <v>1.5637169434571561</v>
      </c>
      <c r="BC46" s="144">
        <f t="shared" si="32"/>
        <v>1.2114626809126148</v>
      </c>
      <c r="BD46" s="144">
        <f t="shared" si="32"/>
        <v>1.5637169434571561</v>
      </c>
    </row>
    <row r="47" spans="1:56" x14ac:dyDescent="0.2">
      <c r="Q47" s="140" t="s">
        <v>113</v>
      </c>
      <c r="R47" s="140" t="s">
        <v>113</v>
      </c>
      <c r="S47" s="140" t="s">
        <v>113</v>
      </c>
      <c r="T47" s="140" t="s">
        <v>113</v>
      </c>
      <c r="AM47" s="140" t="s">
        <v>113</v>
      </c>
      <c r="AR47" s="140" t="s">
        <v>113</v>
      </c>
      <c r="AS47" s="140" t="s">
        <v>113</v>
      </c>
      <c r="AT47" s="140" t="s">
        <v>113</v>
      </c>
      <c r="AU47" s="140" t="s">
        <v>113</v>
      </c>
      <c r="AV47" s="140" t="s">
        <v>113</v>
      </c>
      <c r="AW47" s="140" t="s">
        <v>113</v>
      </c>
      <c r="AY47" s="156"/>
      <c r="AZ47" s="156"/>
      <c r="BA47" s="203">
        <f t="shared" ref="AZ47:BB47" si="39">MIN(BA6:BA46)</f>
        <v>1.2016329409878794</v>
      </c>
      <c r="BB47" s="155">
        <f t="shared" si="39"/>
        <v>1.1469683362983554</v>
      </c>
    </row>
    <row r="48" spans="1:56" x14ac:dyDescent="0.2">
      <c r="B48" s="3"/>
      <c r="L48" s="166"/>
      <c r="M48" s="166"/>
      <c r="N48" s="166"/>
      <c r="O48" s="166"/>
      <c r="AQ48" s="134"/>
    </row>
    <row r="49" spans="2:45" x14ac:dyDescent="0.2">
      <c r="B49" s="3"/>
      <c r="L49" s="166"/>
      <c r="M49" s="166"/>
      <c r="N49" s="166"/>
      <c r="O49" s="166"/>
      <c r="AQ49" s="59"/>
      <c r="AR49" s="59"/>
      <c r="AS49" s="59"/>
    </row>
    <row r="50" spans="2:45" x14ac:dyDescent="0.2">
      <c r="B50" s="3"/>
      <c r="L50" s="166"/>
      <c r="M50" s="166"/>
      <c r="N50" s="166"/>
      <c r="O50" s="166"/>
      <c r="AK50" s="141"/>
    </row>
    <row r="51" spans="2:45" x14ac:dyDescent="0.2">
      <c r="B51" s="3"/>
      <c r="L51" s="166"/>
      <c r="M51" s="166"/>
      <c r="N51" s="166"/>
      <c r="O51" s="166"/>
    </row>
    <row r="52" spans="2:45" x14ac:dyDescent="0.2">
      <c r="B52" s="3"/>
      <c r="L52" s="166"/>
      <c r="M52" s="166"/>
      <c r="N52" s="166"/>
      <c r="O52" s="166"/>
    </row>
    <row r="53" spans="2:45" x14ac:dyDescent="0.2">
      <c r="B53" s="3"/>
      <c r="L53" s="166"/>
      <c r="M53" s="166"/>
      <c r="N53" s="166"/>
      <c r="O53" s="166"/>
    </row>
    <row r="54" spans="2:45" x14ac:dyDescent="0.2">
      <c r="B54" s="3"/>
      <c r="L54" s="166"/>
      <c r="M54" s="166"/>
      <c r="N54" s="166"/>
      <c r="O54" s="166"/>
    </row>
    <row r="55" spans="2:45" x14ac:dyDescent="0.2">
      <c r="B55" s="3"/>
      <c r="L55" s="166"/>
      <c r="M55" s="166"/>
      <c r="N55" s="166"/>
      <c r="O55" s="166"/>
    </row>
    <row r="56" spans="2:45" x14ac:dyDescent="0.2">
      <c r="B56" s="3"/>
      <c r="L56" s="166"/>
      <c r="M56" s="166"/>
      <c r="N56" s="166"/>
      <c r="O56" s="166"/>
    </row>
    <row r="57" spans="2:45" x14ac:dyDescent="0.2">
      <c r="B57" s="3"/>
      <c r="L57" s="166"/>
      <c r="M57" s="166"/>
      <c r="N57" s="166"/>
      <c r="O57" s="166"/>
    </row>
    <row r="58" spans="2:45" x14ac:dyDescent="0.2">
      <c r="B58" s="3"/>
      <c r="L58" s="166"/>
      <c r="M58" s="166"/>
      <c r="N58" s="166"/>
      <c r="O58" s="166"/>
    </row>
    <row r="59" spans="2:45" x14ac:dyDescent="0.2">
      <c r="B59" s="3"/>
      <c r="L59" s="166"/>
      <c r="M59" s="166"/>
      <c r="N59" s="166"/>
      <c r="O59" s="166"/>
    </row>
    <row r="60" spans="2:45" x14ac:dyDescent="0.2">
      <c r="B60" s="3"/>
      <c r="L60" s="166"/>
      <c r="M60" s="166"/>
      <c r="N60" s="166"/>
      <c r="O60" s="166"/>
    </row>
    <row r="61" spans="2:45" x14ac:dyDescent="0.2">
      <c r="B61" s="3"/>
      <c r="L61" s="166"/>
      <c r="M61" s="166"/>
      <c r="N61" s="166"/>
      <c r="O61" s="166"/>
    </row>
    <row r="62" spans="2:45" x14ac:dyDescent="0.2">
      <c r="B62" s="3"/>
      <c r="L62" s="166"/>
      <c r="M62" s="166"/>
      <c r="N62" s="166"/>
      <c r="O62" s="166"/>
    </row>
    <row r="63" spans="2:45" x14ac:dyDescent="0.2">
      <c r="B63" s="3"/>
      <c r="L63" s="166"/>
      <c r="M63" s="166"/>
      <c r="N63" s="166"/>
      <c r="O63" s="166"/>
    </row>
    <row r="64" spans="2:45" x14ac:dyDescent="0.2">
      <c r="B64" s="3"/>
      <c r="L64" s="166"/>
      <c r="M64" s="166"/>
      <c r="N64" s="166"/>
      <c r="O64" s="166"/>
    </row>
    <row r="65" spans="2:15" x14ac:dyDescent="0.2">
      <c r="B65" s="3"/>
      <c r="L65" s="166"/>
      <c r="M65" s="166"/>
      <c r="N65" s="166"/>
      <c r="O65" s="166"/>
    </row>
    <row r="66" spans="2:15" x14ac:dyDescent="0.2">
      <c r="B66" s="3"/>
      <c r="L66" s="166"/>
      <c r="M66" s="166"/>
      <c r="N66" s="166"/>
      <c r="O66" s="166"/>
    </row>
    <row r="67" spans="2:15" x14ac:dyDescent="0.2">
      <c r="B67" s="3"/>
      <c r="L67" s="166"/>
      <c r="M67" s="166"/>
      <c r="N67" s="166"/>
      <c r="O67" s="166"/>
    </row>
    <row r="68" spans="2:15" x14ac:dyDescent="0.2">
      <c r="B68" s="3"/>
      <c r="L68" s="166"/>
      <c r="M68" s="166"/>
      <c r="N68" s="166"/>
      <c r="O68" s="166"/>
    </row>
    <row r="69" spans="2:15" x14ac:dyDescent="0.2">
      <c r="B69" s="3"/>
      <c r="L69" s="166"/>
      <c r="M69" s="166"/>
      <c r="N69" s="166"/>
      <c r="O69" s="166"/>
    </row>
    <row r="70" spans="2:15" x14ac:dyDescent="0.2">
      <c r="B70" s="3"/>
      <c r="L70" s="166"/>
      <c r="M70" s="166"/>
      <c r="N70" s="166"/>
      <c r="O70" s="166"/>
    </row>
    <row r="71" spans="2:15" x14ac:dyDescent="0.2">
      <c r="B71" s="198"/>
      <c r="L71" s="166"/>
      <c r="M71" s="166"/>
      <c r="N71" s="166"/>
      <c r="O71" s="166"/>
    </row>
    <row r="72" spans="2:15" x14ac:dyDescent="0.2">
      <c r="B72" s="3"/>
      <c r="L72" s="166"/>
      <c r="M72" s="166"/>
      <c r="N72" s="166"/>
      <c r="O72" s="166"/>
    </row>
    <row r="73" spans="2:15" x14ac:dyDescent="0.2">
      <c r="B73" s="199"/>
      <c r="L73" s="166"/>
      <c r="M73" s="166"/>
      <c r="N73" s="166"/>
      <c r="O73" s="166"/>
    </row>
    <row r="74" spans="2:15" x14ac:dyDescent="0.2">
      <c r="B74" s="3"/>
      <c r="L74" s="166"/>
      <c r="M74" s="166"/>
      <c r="N74" s="166"/>
      <c r="O74" s="166"/>
    </row>
    <row r="75" spans="2:15" x14ac:dyDescent="0.2">
      <c r="B75" s="199"/>
      <c r="L75" s="166"/>
      <c r="M75" s="166"/>
      <c r="N75" s="166"/>
      <c r="O75" s="166"/>
    </row>
    <row r="76" spans="2:15" x14ac:dyDescent="0.2">
      <c r="B76" s="3"/>
      <c r="L76" s="166"/>
      <c r="M76" s="166"/>
      <c r="N76" s="166"/>
      <c r="O76" s="166"/>
    </row>
    <row r="77" spans="2:15" x14ac:dyDescent="0.2">
      <c r="B77" s="3"/>
      <c r="L77" s="166"/>
      <c r="M77" s="166"/>
      <c r="N77" s="166"/>
      <c r="O77" s="166"/>
    </row>
    <row r="78" spans="2:15" x14ac:dyDescent="0.2">
      <c r="B78" s="3"/>
      <c r="L78" s="166"/>
      <c r="M78" s="166"/>
      <c r="N78" s="166"/>
      <c r="O78" s="166"/>
    </row>
    <row r="79" spans="2:15" x14ac:dyDescent="0.2">
      <c r="B79" s="3"/>
      <c r="L79" s="166"/>
      <c r="M79" s="166"/>
      <c r="N79" s="166"/>
      <c r="O79" s="166"/>
    </row>
    <row r="80" spans="2:15" x14ac:dyDescent="0.2">
      <c r="B80" s="3"/>
      <c r="L80" s="166"/>
      <c r="M80" s="166"/>
      <c r="N80" s="166"/>
      <c r="O80" s="166"/>
    </row>
    <row r="81" spans="2:15" x14ac:dyDescent="0.2">
      <c r="B81" s="3"/>
      <c r="L81" s="166"/>
      <c r="M81" s="166"/>
      <c r="N81" s="166"/>
      <c r="O81" s="166"/>
    </row>
    <row r="82" spans="2:15" x14ac:dyDescent="0.2">
      <c r="B82" s="3"/>
      <c r="L82" s="166"/>
      <c r="M82" s="166"/>
      <c r="N82" s="166"/>
      <c r="O82" s="166"/>
    </row>
    <row r="83" spans="2:15" x14ac:dyDescent="0.2">
      <c r="B83" s="3"/>
      <c r="L83" s="166"/>
      <c r="M83" s="166"/>
      <c r="N83" s="166"/>
      <c r="O83" s="166"/>
    </row>
    <row r="84" spans="2:15" x14ac:dyDescent="0.2">
      <c r="B84" s="3"/>
      <c r="L84" s="166"/>
      <c r="M84" s="166"/>
      <c r="N84" s="166"/>
      <c r="O84" s="166"/>
    </row>
    <row r="85" spans="2:15" x14ac:dyDescent="0.2">
      <c r="B85" s="3"/>
      <c r="L85" s="166"/>
      <c r="M85" s="166"/>
      <c r="N85" s="166"/>
      <c r="O85" s="166"/>
    </row>
    <row r="86" spans="2:15" x14ac:dyDescent="0.2">
      <c r="B86" s="3"/>
      <c r="L86" s="166"/>
      <c r="M86" s="166"/>
      <c r="N86" s="166"/>
      <c r="O86" s="166"/>
    </row>
    <row r="87" spans="2:15" x14ac:dyDescent="0.2">
      <c r="B87" s="3"/>
      <c r="L87" s="166"/>
      <c r="M87" s="166"/>
      <c r="N87" s="166"/>
      <c r="O87" s="166"/>
    </row>
    <row r="88" spans="2:15" x14ac:dyDescent="0.2">
      <c r="B88" s="3"/>
      <c r="L88" s="166"/>
      <c r="M88" s="166"/>
      <c r="N88" s="166"/>
      <c r="O88" s="166"/>
    </row>
  </sheetData>
  <mergeCells count="6">
    <mergeCell ref="AP1:AW1"/>
    <mergeCell ref="AP2:AW2"/>
    <mergeCell ref="AP3:AW3"/>
    <mergeCell ref="AR4:AS4"/>
    <mergeCell ref="AT4:AU4"/>
    <mergeCell ref="AV4:AW4"/>
  </mergeCells>
  <pageMargins left="1.25" right="0.75" top="0.75" bottom="0.75" header="0.5" footer="0.5"/>
  <pageSetup scale="88"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519D8A51474243865EA50006EB789E" ma:contentTypeVersion="4" ma:contentTypeDescription="Create a new document." ma:contentTypeScope="" ma:versionID="7dbfc43149035b58a64a5c93facc8346">
  <xsd:schema xmlns:xsd="http://www.w3.org/2001/XMLSchema" xmlns:xs="http://www.w3.org/2001/XMLSchema" xmlns:p="http://schemas.microsoft.com/office/2006/metadata/properties" xmlns:ns2="6bf03149-50ae-449e-ba32-f930769bdadc" xmlns:ns3="6ec60af1-6d1e-4575-bf73-1b6e791fcd10" targetNamespace="http://schemas.microsoft.com/office/2006/metadata/properties" ma:root="true" ma:fieldsID="34d965e8c5187cfdec6c1b590804275d" ns2:_="" ns3:_="">
    <xsd:import namespace="6bf03149-50ae-449e-ba32-f930769bdadc"/>
    <xsd:import namespace="6ec60af1-6d1e-4575-bf73-1b6e791fcd10"/>
    <xsd:element name="properties">
      <xsd:complexType>
        <xsd:sequence>
          <xsd:element name="documentManagement">
            <xsd:complexType>
              <xsd:all>
                <xsd:element ref="ns2:Document_x0020_Type" minOccurs="0"/>
                <xsd:element ref="ns2:Edition" minOccurs="0"/>
                <xsd:element ref="ns3:SharedWithUsers" minOccurs="0"/>
                <xsd:element ref="ns2:Retention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f03149-50ae-449e-ba32-f930769bdadc" elementFormDefault="qualified">
    <xsd:import namespace="http://schemas.microsoft.com/office/2006/documentManagement/types"/>
    <xsd:import namespace="http://schemas.microsoft.com/office/infopath/2007/PartnerControls"/>
    <xsd:element name="Document_x0020_Type" ma:index="8" nillable="true" ma:displayName="Document Type" ma:format="Dropdown" ma:internalName="Document_x0020_Type">
      <xsd:simpleType>
        <xsd:union memberTypes="dms:Text">
          <xsd:simpleType>
            <xsd:restriction base="dms:Choice">
              <xsd:enumeration value="Bridge Design Manual"/>
              <xsd:enumeration value="Bridge CAD Manual"/>
            </xsd:restriction>
          </xsd:simpleType>
        </xsd:union>
      </xsd:simpleType>
    </xsd:element>
    <xsd:element name="Edition" ma:index="9" nillable="true" ma:displayName="Edition" ma:description="YYYY-MM" ma:internalName="Edition">
      <xsd:simpleType>
        <xsd:restriction base="dms:Text">
          <xsd:maxLength value="255"/>
        </xsd:restriction>
      </xsd:simpleType>
    </xsd:element>
    <xsd:element name="Retention_x0020_Date" ma:index="11" nillable="true" ma:displayName="Retention Date" ma:description="Date this document is due for review." ma:format="DateOnly" ma:internalName="Retention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_x0020_Type xmlns="6bf03149-50ae-449e-ba32-f930769bdadc" xsi:nil="true"/>
    <Edition xmlns="6bf03149-50ae-449e-ba32-f930769bdadc" xsi:nil="true"/>
    <Retention_x0020_Date xmlns="6bf03149-50ae-449e-ba32-f930769bdadc" xsi:nil="true"/>
  </documentManagement>
</p:properties>
</file>

<file path=customXml/itemProps1.xml><?xml version="1.0" encoding="utf-8"?>
<ds:datastoreItem xmlns:ds="http://schemas.openxmlformats.org/officeDocument/2006/customXml" ds:itemID="{2CBCCC87-7310-49F7-A59D-1C355436DDB2}"/>
</file>

<file path=customXml/itemProps2.xml><?xml version="1.0" encoding="utf-8"?>
<ds:datastoreItem xmlns:ds="http://schemas.openxmlformats.org/officeDocument/2006/customXml" ds:itemID="{374954E9-8A03-4BA9-AFEC-F6CEC27A6CBA}"/>
</file>

<file path=customXml/itemProps3.xml><?xml version="1.0" encoding="utf-8"?>
<ds:datastoreItem xmlns:ds="http://schemas.openxmlformats.org/officeDocument/2006/customXml" ds:itemID="{675EE57F-3581-4F34-806F-81AE7FE813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Info</vt:lpstr>
      <vt:lpstr>Concr-str gr60</vt:lpstr>
      <vt:lpstr>Conc-ser gr60</vt:lpstr>
      <vt:lpstr>Conc-str gr80 mod</vt:lpstr>
      <vt:lpstr>Conc-ser gr80 </vt:lpstr>
      <vt:lpstr>Conc-str gr80</vt:lpstr>
      <vt:lpstr>Stl-Str gr60</vt:lpstr>
      <vt:lpstr>Stl-ser gr60</vt:lpstr>
      <vt:lpstr>Stl-Str gr80</vt:lpstr>
      <vt:lpstr>Stl-ser gr80</vt:lpstr>
      <vt:lpstr>Table A4_1</vt:lpstr>
      <vt:lpstr>'Concr-str gr60'!Print_Area</vt:lpstr>
      <vt:lpstr>'Conc-ser gr60'!Print_Area</vt:lpstr>
      <vt:lpstr>'Conc-ser gr80 '!Print_Area</vt:lpstr>
      <vt:lpstr>'Conc-str gr80'!Print_Area</vt:lpstr>
      <vt:lpstr>'Conc-str gr80 mod'!Print_Area</vt:lpstr>
      <vt:lpstr>'Stl-ser gr60'!Print_Area</vt:lpstr>
      <vt:lpstr>'Stl-ser gr80'!Print_Area</vt:lpstr>
      <vt:lpstr>'Stl-Str gr60'!Print_Area</vt:lpstr>
      <vt:lpstr>'Stl-Str gr80'!Print_Area</vt:lpstr>
    </vt:vector>
  </TitlesOfParts>
  <Company>ODOT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Shike</dc:creator>
  <cp:lastModifiedBy>LIM Alex K</cp:lastModifiedBy>
  <cp:lastPrinted>2016-08-24T22:19:20Z</cp:lastPrinted>
  <dcterms:created xsi:type="dcterms:W3CDTF">2006-03-10T17:23:19Z</dcterms:created>
  <dcterms:modified xsi:type="dcterms:W3CDTF">2022-11-07T17:53:36Z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0x0101007B519D8A51474243865EA50006EB789E</vt:lpwstr>
  </property>
</Properties>
</file>