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Z:\Economist Team\Team Portfolio\CCD\State Motor Carrier Tax Comparison\2023\"/>
    </mc:Choice>
  </mc:AlternateContent>
  <xr:revisionPtr revIDLastSave="0" documentId="13_ncr:1_{3C15132E-4367-42F6-8FCE-D42248F7ED86}" xr6:coauthVersionLast="47" xr6:coauthVersionMax="47" xr10:uidLastSave="{00000000-0000-0000-0000-000000000000}"/>
  <bookViews>
    <workbookView xWindow="28680" yWindow="240" windowWidth="25440" windowHeight="15390" tabRatio="846" activeTab="8" xr2:uid="{00000000-000D-0000-FFFF-FFFF00000000}"/>
  </bookViews>
  <sheets>
    <sheet name="Assumptions" sheetId="5" r:id="rId1"/>
    <sheet name="Diesel tax rates - API w notes" sheetId="9" state="hidden" r:id="rId2"/>
    <sheet name="Diesel Fuel Tax Rates - API" sheetId="6" state="hidden" r:id="rId3"/>
    <sheet name="Diesel Rate Comparison" sheetId="12" r:id="rId4"/>
    <sheet name="EIA - Rates wNotes 0723 " sheetId="10" r:id="rId5"/>
    <sheet name="EIA - Rates wNotes 0722 " sheetId="11" r:id="rId6"/>
    <sheet name="Motor Carrier Registration Fees" sheetId="2" r:id="rId7"/>
    <sheet name="Weight-Mile Tax Rates" sheetId="4" r:id="rId8"/>
    <sheet name="Summary" sheetId="1" r:id="rId9"/>
  </sheets>
  <definedNames>
    <definedName name="_xlnm._FilterDatabase" localSheetId="6" hidden="1">'Motor Carrier Registration Fees'!$A$4:$H$64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8" i="1"/>
  <c r="H9" i="1"/>
  <c r="H10" i="1"/>
  <c r="H7" i="1"/>
  <c r="G7" i="1"/>
  <c r="G8" i="1"/>
  <c r="C6" i="4"/>
  <c r="C7" i="4"/>
  <c r="C8" i="4"/>
  <c r="C5" i="4"/>
  <c r="C4" i="4"/>
  <c r="G11" i="1"/>
  <c r="G10" i="1"/>
  <c r="G9" i="1"/>
  <c r="C38" i="12"/>
  <c r="F42" i="12" s="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4" i="1"/>
  <c r="K45" i="1"/>
  <c r="K46" i="1"/>
  <c r="K47" i="1"/>
  <c r="K48" i="1"/>
  <c r="K49" i="1"/>
  <c r="K50" i="1"/>
  <c r="K51" i="1"/>
  <c r="K52" i="1"/>
  <c r="K53" i="1"/>
  <c r="K54" i="1"/>
  <c r="K55" i="1"/>
  <c r="K56" i="1"/>
  <c r="K8" i="1"/>
  <c r="K7" i="1"/>
  <c r="D7" i="1"/>
  <c r="I6" i="10"/>
  <c r="C3" i="12"/>
  <c r="C4" i="12"/>
  <c r="C5" i="12"/>
  <c r="D5" i="12" s="1"/>
  <c r="C6" i="12"/>
  <c r="C7" i="12"/>
  <c r="C8" i="12"/>
  <c r="C9" i="12"/>
  <c r="C10" i="12"/>
  <c r="C11" i="12"/>
  <c r="D11" i="12" s="1"/>
  <c r="C12" i="12"/>
  <c r="C13" i="12"/>
  <c r="C14" i="12"/>
  <c r="C15" i="12"/>
  <c r="D15" i="12" s="1"/>
  <c r="C16" i="12"/>
  <c r="C17" i="12"/>
  <c r="C18" i="12"/>
  <c r="C19" i="12"/>
  <c r="C20" i="12"/>
  <c r="C21" i="12"/>
  <c r="C22" i="12"/>
  <c r="C23" i="12"/>
  <c r="C24" i="12"/>
  <c r="C25" i="12"/>
  <c r="C26" i="12"/>
  <c r="C27" i="12"/>
  <c r="D27" i="12" s="1"/>
  <c r="C28" i="12"/>
  <c r="C29" i="12"/>
  <c r="C30" i="12"/>
  <c r="C31" i="12"/>
  <c r="D31" i="12" s="1"/>
  <c r="C32" i="12"/>
  <c r="D32" i="12" s="1"/>
  <c r="C33" i="12"/>
  <c r="C34" i="12"/>
  <c r="C35" i="12"/>
  <c r="C36" i="12"/>
  <c r="C37" i="12"/>
  <c r="C39" i="12"/>
  <c r="C40" i="12"/>
  <c r="D40" i="12" s="1"/>
  <c r="C41" i="12"/>
  <c r="C42" i="12"/>
  <c r="C43" i="12"/>
  <c r="D43" i="12" s="1"/>
  <c r="C44" i="12"/>
  <c r="C45" i="12"/>
  <c r="C46" i="12"/>
  <c r="C47" i="12"/>
  <c r="D47" i="12" s="1"/>
  <c r="C48" i="12"/>
  <c r="C49" i="12"/>
  <c r="C50" i="12"/>
  <c r="C51" i="12"/>
  <c r="C2" i="12"/>
  <c r="B3" i="12"/>
  <c r="B4" i="12"/>
  <c r="B5" i="12"/>
  <c r="B6" i="12"/>
  <c r="B7" i="12"/>
  <c r="B8" i="12"/>
  <c r="D8" i="12" s="1"/>
  <c r="B9" i="12"/>
  <c r="D9" i="12" s="1"/>
  <c r="B10" i="12"/>
  <c r="B11" i="12"/>
  <c r="B12" i="12"/>
  <c r="B13" i="12"/>
  <c r="B14" i="12"/>
  <c r="B15" i="12"/>
  <c r="B16" i="12"/>
  <c r="B17" i="12"/>
  <c r="D17" i="12" s="1"/>
  <c r="B18" i="12"/>
  <c r="B19" i="12"/>
  <c r="B20" i="12"/>
  <c r="B21" i="12"/>
  <c r="B22" i="12"/>
  <c r="B23" i="12"/>
  <c r="B24" i="12"/>
  <c r="B25" i="12"/>
  <c r="D25" i="12" s="1"/>
  <c r="B26" i="12"/>
  <c r="B27" i="12"/>
  <c r="B28" i="12"/>
  <c r="B29" i="12"/>
  <c r="B30" i="12"/>
  <c r="B31" i="12"/>
  <c r="B32" i="12"/>
  <c r="B33" i="12"/>
  <c r="D33" i="12" s="1"/>
  <c r="B34" i="12"/>
  <c r="B35" i="12"/>
  <c r="B36" i="12"/>
  <c r="B37" i="12"/>
  <c r="B38" i="12"/>
  <c r="B39" i="12"/>
  <c r="B40" i="12"/>
  <c r="B41" i="12"/>
  <c r="D41" i="12" s="1"/>
  <c r="B42" i="12"/>
  <c r="B43" i="12"/>
  <c r="B44" i="12"/>
  <c r="B45" i="12"/>
  <c r="B46" i="12"/>
  <c r="B47" i="12"/>
  <c r="B48" i="12"/>
  <c r="D48" i="12" s="1"/>
  <c r="B49" i="12"/>
  <c r="D49" i="12" s="1"/>
  <c r="B50" i="12"/>
  <c r="B51" i="12"/>
  <c r="I12" i="11"/>
  <c r="B2" i="12"/>
  <c r="D3" i="12"/>
  <c r="D4" i="12"/>
  <c r="D6" i="12"/>
  <c r="D7" i="12"/>
  <c r="D12" i="12"/>
  <c r="D13" i="12"/>
  <c r="D14" i="12"/>
  <c r="D16" i="12"/>
  <c r="D19" i="12"/>
  <c r="D20" i="12"/>
  <c r="D21" i="12"/>
  <c r="D22" i="12"/>
  <c r="D23" i="12"/>
  <c r="D24" i="12"/>
  <c r="D28" i="12"/>
  <c r="D29" i="12"/>
  <c r="D30" i="12"/>
  <c r="D35" i="12"/>
  <c r="D36" i="12"/>
  <c r="D37" i="12"/>
  <c r="D38" i="12"/>
  <c r="D39" i="12"/>
  <c r="D44" i="12"/>
  <c r="D45" i="12"/>
  <c r="D46" i="12"/>
  <c r="D51" i="12"/>
  <c r="F10" i="12"/>
  <c r="F16" i="12"/>
  <c r="F50" i="12"/>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3" i="11"/>
  <c r="F24" i="12" l="1"/>
  <c r="F40" i="12"/>
  <c r="F18" i="12"/>
  <c r="K43" i="1"/>
  <c r="F48" i="12"/>
  <c r="F8" i="12"/>
  <c r="G8" i="12" s="1"/>
  <c r="F32" i="12"/>
  <c r="F26" i="12"/>
  <c r="F3" i="12"/>
  <c r="F34" i="12"/>
  <c r="F49" i="12"/>
  <c r="F41" i="12"/>
  <c r="G41" i="12" s="1"/>
  <c r="F33" i="12"/>
  <c r="F25" i="12"/>
  <c r="F17" i="12"/>
  <c r="F9" i="12"/>
  <c r="F47" i="12"/>
  <c r="F39" i="12"/>
  <c r="G39" i="12" s="1"/>
  <c r="F31" i="12"/>
  <c r="F23" i="12"/>
  <c r="F15" i="12"/>
  <c r="G15" i="12" s="1"/>
  <c r="F7" i="12"/>
  <c r="G7" i="12" s="1"/>
  <c r="F46" i="12"/>
  <c r="F38" i="12"/>
  <c r="G38" i="12" s="1"/>
  <c r="F30" i="12"/>
  <c r="F22" i="12"/>
  <c r="F14" i="12"/>
  <c r="F6" i="12"/>
  <c r="F45" i="12"/>
  <c r="G45" i="12" s="1"/>
  <c r="F37" i="12"/>
  <c r="G37" i="12" s="1"/>
  <c r="F29" i="12"/>
  <c r="F21" i="12"/>
  <c r="G21" i="12" s="1"/>
  <c r="F13" i="12"/>
  <c r="G13" i="12" s="1"/>
  <c r="F5" i="12"/>
  <c r="G5" i="12" s="1"/>
  <c r="F2" i="12"/>
  <c r="F44" i="12"/>
  <c r="F36" i="12"/>
  <c r="G36" i="12" s="1"/>
  <c r="F28" i="12"/>
  <c r="G28" i="12" s="1"/>
  <c r="F20" i="12"/>
  <c r="F12" i="12"/>
  <c r="F4" i="12"/>
  <c r="G4" i="12" s="1"/>
  <c r="D50" i="12"/>
  <c r="D42" i="12"/>
  <c r="D34" i="12"/>
  <c r="D26" i="12"/>
  <c r="D18" i="12"/>
  <c r="D10" i="12"/>
  <c r="F51" i="12"/>
  <c r="F43" i="12"/>
  <c r="F35" i="12"/>
  <c r="F27" i="12"/>
  <c r="F19" i="12"/>
  <c r="F11" i="12"/>
  <c r="E3" i="12"/>
  <c r="E50" i="12"/>
  <c r="E26" i="12"/>
  <c r="E49" i="12"/>
  <c r="E33" i="12"/>
  <c r="E48" i="12"/>
  <c r="E40" i="12"/>
  <c r="E32" i="12"/>
  <c r="E24" i="12"/>
  <c r="E16" i="12"/>
  <c r="E8" i="12"/>
  <c r="G3" i="12"/>
  <c r="E18" i="12"/>
  <c r="E25" i="12"/>
  <c r="E7" i="12"/>
  <c r="E46" i="12"/>
  <c r="E38" i="12"/>
  <c r="E30" i="12"/>
  <c r="E22" i="12"/>
  <c r="E14" i="12"/>
  <c r="E6" i="12"/>
  <c r="D2" i="12"/>
  <c r="E34" i="12"/>
  <c r="E2" i="12"/>
  <c r="E17" i="12"/>
  <c r="E31" i="12"/>
  <c r="E45" i="12"/>
  <c r="E37" i="12"/>
  <c r="E29" i="12"/>
  <c r="E21" i="12"/>
  <c r="E13" i="12"/>
  <c r="E5" i="12"/>
  <c r="E42" i="12"/>
  <c r="E10" i="12"/>
  <c r="E41" i="12"/>
  <c r="E47" i="12"/>
  <c r="E23" i="12"/>
  <c r="E44" i="12"/>
  <c r="E36" i="12"/>
  <c r="E28" i="12"/>
  <c r="E20" i="12"/>
  <c r="E12" i="12"/>
  <c r="E4" i="12"/>
  <c r="E9" i="12"/>
  <c r="E39" i="12"/>
  <c r="E15" i="12"/>
  <c r="E51" i="12"/>
  <c r="E43" i="12"/>
  <c r="E35" i="12"/>
  <c r="E27" i="12"/>
  <c r="E19" i="12"/>
  <c r="E11" i="12"/>
  <c r="G50" i="12"/>
  <c r="G49" i="12"/>
  <c r="G33" i="12"/>
  <c r="G17" i="12"/>
  <c r="G48" i="12"/>
  <c r="G24" i="12"/>
  <c r="G16" i="12"/>
  <c r="G29" i="12"/>
  <c r="G6" i="12" l="1"/>
  <c r="G19" i="12"/>
  <c r="G47" i="12"/>
  <c r="G14" i="12"/>
  <c r="G35" i="12"/>
  <c r="G25" i="12"/>
  <c r="G44" i="12"/>
  <c r="G40" i="12"/>
  <c r="G42" i="12"/>
  <c r="G27" i="12"/>
  <c r="G32" i="12"/>
  <c r="G23" i="12"/>
  <c r="G34" i="12"/>
  <c r="G43" i="12"/>
  <c r="G2" i="12"/>
  <c r="G31" i="12"/>
  <c r="G51" i="12"/>
  <c r="G30" i="12"/>
  <c r="G18" i="12"/>
  <c r="G12" i="12"/>
  <c r="G26" i="12"/>
  <c r="G10" i="12"/>
  <c r="G9" i="12"/>
  <c r="G20" i="12"/>
  <c r="G46" i="12"/>
  <c r="G22" i="12"/>
  <c r="G11" i="12"/>
  <c r="D3" i="6" l="1"/>
  <c r="C48" i="2" l="1"/>
  <c r="C28" i="2" l="1"/>
  <c r="C26" i="2"/>
  <c r="C21" i="2"/>
  <c r="C18" i="2" l="1"/>
  <c r="B19" i="5" l="1"/>
  <c r="B31" i="2" l="1"/>
  <c r="E57" i="9" l="1"/>
  <c r="D14" i="9"/>
  <c r="E14" i="9" s="1"/>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C15" i="9"/>
  <c r="B15" i="9"/>
  <c r="B7" i="9"/>
  <c r="C7" i="9"/>
  <c r="B8" i="9"/>
  <c r="C8" i="9"/>
  <c r="B9" i="9"/>
  <c r="C9" i="9"/>
  <c r="B10" i="9"/>
  <c r="C10" i="9"/>
  <c r="B11" i="9"/>
  <c r="C11" i="9"/>
  <c r="B12" i="9"/>
  <c r="C12" i="9"/>
  <c r="B13" i="9"/>
  <c r="C13" i="9"/>
  <c r="C6" i="9"/>
  <c r="B6" i="9"/>
  <c r="B17" i="2" l="1"/>
  <c r="C7" i="2" l="1"/>
  <c r="B7" i="2"/>
  <c r="C50" i="2" l="1"/>
  <c r="C36" i="2" l="1"/>
  <c r="B36" i="2"/>
  <c r="C31" i="2" l="1"/>
  <c r="C11" i="2" l="1"/>
  <c r="C6" i="2" l="1"/>
  <c r="C51" i="2" l="1"/>
  <c r="C42" i="2"/>
  <c r="C40" i="2" l="1"/>
  <c r="B39" i="2"/>
  <c r="C30" i="2" l="1"/>
  <c r="D52" i="6" l="1"/>
  <c r="D56" i="9" s="1"/>
  <c r="E56" i="9" s="1"/>
  <c r="D51" i="6"/>
  <c r="D55" i="9" s="1"/>
  <c r="E55" i="9" s="1"/>
  <c r="D50" i="6"/>
  <c r="D54" i="9" s="1"/>
  <c r="E54" i="9" s="1"/>
  <c r="D49" i="6"/>
  <c r="D53" i="9" s="1"/>
  <c r="E53" i="9" s="1"/>
  <c r="D48" i="6"/>
  <c r="D52" i="9" s="1"/>
  <c r="E52" i="9" s="1"/>
  <c r="D47" i="6"/>
  <c r="D51" i="9" s="1"/>
  <c r="E51" i="9" s="1"/>
  <c r="D46" i="6"/>
  <c r="D50" i="9" s="1"/>
  <c r="E50" i="9" s="1"/>
  <c r="D45" i="6"/>
  <c r="D49" i="9" s="1"/>
  <c r="E49" i="9" s="1"/>
  <c r="D44" i="6"/>
  <c r="D48" i="9" s="1"/>
  <c r="E48" i="9" s="1"/>
  <c r="D43" i="6"/>
  <c r="D47" i="9" s="1"/>
  <c r="E47" i="9" s="1"/>
  <c r="D42" i="6"/>
  <c r="D46" i="9" s="1"/>
  <c r="E46" i="9" s="1"/>
  <c r="D41" i="6"/>
  <c r="D45" i="9" s="1"/>
  <c r="E45" i="9" s="1"/>
  <c r="D40" i="6"/>
  <c r="D44" i="9" s="1"/>
  <c r="E44" i="9" s="1"/>
  <c r="D39" i="6"/>
  <c r="D43" i="9" s="1"/>
  <c r="E43" i="9" s="1"/>
  <c r="D38" i="6"/>
  <c r="D42" i="9" s="1"/>
  <c r="E42" i="9" s="1"/>
  <c r="D37" i="6"/>
  <c r="D41" i="9" s="1"/>
  <c r="E41" i="9" s="1"/>
  <c r="D36" i="6"/>
  <c r="D40" i="9" s="1"/>
  <c r="E40" i="9" s="1"/>
  <c r="D35" i="6"/>
  <c r="D39" i="9" s="1"/>
  <c r="E39" i="9" s="1"/>
  <c r="D34" i="6"/>
  <c r="D38" i="9" s="1"/>
  <c r="E38" i="9" s="1"/>
  <c r="D33" i="6"/>
  <c r="D37" i="9" s="1"/>
  <c r="E37" i="9" s="1"/>
  <c r="D32" i="6"/>
  <c r="D36" i="9" s="1"/>
  <c r="E36" i="9" s="1"/>
  <c r="D31" i="6"/>
  <c r="D35" i="9" s="1"/>
  <c r="E35" i="9" s="1"/>
  <c r="D30" i="6"/>
  <c r="D34" i="9" s="1"/>
  <c r="E34" i="9" s="1"/>
  <c r="D29" i="6"/>
  <c r="D33" i="9" s="1"/>
  <c r="E33" i="9" s="1"/>
  <c r="D28" i="6"/>
  <c r="D32" i="9" s="1"/>
  <c r="E32" i="9" s="1"/>
  <c r="D27" i="6"/>
  <c r="D31" i="9" s="1"/>
  <c r="E31" i="9" s="1"/>
  <c r="D26" i="6"/>
  <c r="D30" i="9" s="1"/>
  <c r="E30" i="9" s="1"/>
  <c r="D25" i="6"/>
  <c r="D29" i="9" s="1"/>
  <c r="E29" i="9" s="1"/>
  <c r="D24" i="6"/>
  <c r="D28" i="9" s="1"/>
  <c r="E28" i="9" s="1"/>
  <c r="D23" i="6"/>
  <c r="D27" i="9" s="1"/>
  <c r="E27" i="9" s="1"/>
  <c r="D22" i="6"/>
  <c r="D26" i="9" s="1"/>
  <c r="E26" i="9" s="1"/>
  <c r="D21" i="6"/>
  <c r="D25" i="9" s="1"/>
  <c r="E25" i="9" s="1"/>
  <c r="D20" i="6"/>
  <c r="D24" i="9" s="1"/>
  <c r="E24" i="9" s="1"/>
  <c r="D19" i="6"/>
  <c r="D23" i="9" s="1"/>
  <c r="E23" i="9" s="1"/>
  <c r="D18" i="6"/>
  <c r="D22" i="9" s="1"/>
  <c r="E22" i="9" s="1"/>
  <c r="D17" i="6"/>
  <c r="D21" i="9" s="1"/>
  <c r="E21" i="9" s="1"/>
  <c r="D16" i="6"/>
  <c r="D20" i="9" s="1"/>
  <c r="E20" i="9" s="1"/>
  <c r="D15" i="6"/>
  <c r="D19" i="9" s="1"/>
  <c r="E19" i="9" s="1"/>
  <c r="D14" i="6"/>
  <c r="D18" i="9" s="1"/>
  <c r="E18" i="9" s="1"/>
  <c r="D13" i="6"/>
  <c r="D17" i="9" s="1"/>
  <c r="E17" i="9" s="1"/>
  <c r="D12" i="6"/>
  <c r="D16" i="9" s="1"/>
  <c r="E16" i="9" s="1"/>
  <c r="D11" i="6"/>
  <c r="D15" i="9" s="1"/>
  <c r="E15" i="9" s="1"/>
  <c r="D10" i="6"/>
  <c r="D13" i="9" s="1"/>
  <c r="E13" i="9" s="1"/>
  <c r="D9" i="6"/>
  <c r="D12" i="9" s="1"/>
  <c r="E12" i="9" s="1"/>
  <c r="D8" i="6"/>
  <c r="D11" i="9" s="1"/>
  <c r="E11" i="9" s="1"/>
  <c r="D7" i="6"/>
  <c r="D10" i="9" s="1"/>
  <c r="E10" i="9" s="1"/>
  <c r="D6" i="6"/>
  <c r="D9" i="9" s="1"/>
  <c r="E9" i="9" s="1"/>
  <c r="D5" i="6"/>
  <c r="D8" i="9" s="1"/>
  <c r="E8" i="9" s="1"/>
  <c r="D4" i="6"/>
  <c r="D7" i="9" s="1"/>
  <c r="E7" i="9" s="1"/>
  <c r="D6" i="9"/>
  <c r="E6" i="9" s="1"/>
  <c r="E48" i="6" l="1"/>
  <c r="E10" i="6"/>
  <c r="E18" i="6"/>
  <c r="E26" i="6"/>
  <c r="E34" i="6"/>
  <c r="E42" i="6"/>
  <c r="E49" i="6"/>
  <c r="E52" i="6"/>
  <c r="E11" i="6"/>
  <c r="E19" i="6"/>
  <c r="E27" i="6"/>
  <c r="E35" i="6"/>
  <c r="E43" i="6"/>
  <c r="E50" i="6"/>
  <c r="E4" i="6"/>
  <c r="E12" i="6"/>
  <c r="E20" i="6"/>
  <c r="E28" i="6"/>
  <c r="E36" i="6"/>
  <c r="E51" i="6"/>
  <c r="E46" i="6"/>
  <c r="E47" i="6"/>
  <c r="E14" i="6"/>
  <c r="E22" i="6"/>
  <c r="E30" i="6"/>
  <c r="E38" i="6"/>
  <c r="E7" i="6"/>
  <c r="E15" i="6"/>
  <c r="E23" i="6"/>
  <c r="E31" i="6"/>
  <c r="E39" i="6"/>
  <c r="E8" i="6"/>
  <c r="E16" i="6"/>
  <c r="E24" i="6"/>
  <c r="E32" i="6"/>
  <c r="E40" i="6"/>
  <c r="E17" i="6"/>
  <c r="E44" i="6"/>
  <c r="E9" i="6"/>
  <c r="E13" i="6"/>
  <c r="E5" i="6"/>
  <c r="E45" i="6"/>
  <c r="E6" i="6"/>
  <c r="E3" i="6"/>
  <c r="E21" i="6"/>
  <c r="E25" i="6"/>
  <c r="E29" i="6"/>
  <c r="E33" i="6"/>
  <c r="E37" i="6"/>
  <c r="E41" i="6"/>
  <c r="C15" i="2" l="1"/>
  <c r="B6" i="2" l="1"/>
  <c r="B46" i="2"/>
  <c r="B26" i="2"/>
  <c r="B18" i="2" l="1"/>
  <c r="C49" i="2" l="1"/>
  <c r="B49" i="2"/>
  <c r="C41" i="2" l="1"/>
  <c r="B41" i="2"/>
  <c r="C16" i="2" l="1"/>
  <c r="B8" i="2" l="1"/>
  <c r="D62" i="2" l="1"/>
  <c r="D61" i="2"/>
  <c r="B52" i="2" l="1"/>
  <c r="B53" i="2" l="1"/>
  <c r="D53" i="2" s="1"/>
  <c r="B47" i="2"/>
  <c r="C47" i="2"/>
  <c r="D46" i="2"/>
  <c r="C45" i="2"/>
  <c r="B45" i="2"/>
  <c r="B44" i="2"/>
  <c r="C43" i="2"/>
  <c r="B43" i="2"/>
  <c r="B40" i="2"/>
  <c r="C39" i="2"/>
  <c r="B38" i="2"/>
  <c r="C38" i="2"/>
  <c r="D37" i="2"/>
  <c r="B35" i="2"/>
  <c r="C35" i="2"/>
  <c r="C34" i="2"/>
  <c r="B34" i="2"/>
  <c r="B33" i="2"/>
  <c r="D33" i="2" s="1"/>
  <c r="B32" i="2"/>
  <c r="D34" i="2" l="1"/>
  <c r="D43" i="2"/>
  <c r="D40" i="2"/>
  <c r="D45" i="2"/>
  <c r="D36" i="2"/>
  <c r="D35" i="2"/>
  <c r="D50" i="2"/>
  <c r="D47" i="2"/>
  <c r="D42" i="2"/>
  <c r="D51" i="2"/>
  <c r="D38" i="2"/>
  <c r="D39" i="2"/>
  <c r="D49" i="2"/>
  <c r="D31" i="2"/>
  <c r="B30" i="2"/>
  <c r="D30" i="2" l="1"/>
  <c r="C29" i="2"/>
  <c r="B29" i="2"/>
  <c r="B28" i="2"/>
  <c r="B25" i="2"/>
  <c r="C25" i="2"/>
  <c r="C24" i="2"/>
  <c r="B24" i="2"/>
  <c r="B23" i="2"/>
  <c r="B22" i="2"/>
  <c r="C22" i="2"/>
  <c r="B21" i="2"/>
  <c r="B20" i="2"/>
  <c r="B19" i="2"/>
  <c r="C20" i="2"/>
  <c r="C19" i="2"/>
  <c r="C17" i="2"/>
  <c r="B16" i="2"/>
  <c r="D16" i="2" s="1"/>
  <c r="B14" i="2"/>
  <c r="C14" i="2"/>
  <c r="B13" i="2"/>
  <c r="C13" i="2"/>
  <c r="B12" i="2"/>
  <c r="D12" i="2" s="1"/>
  <c r="B11" i="2"/>
  <c r="D11" i="2" s="1"/>
  <c r="D18" i="2" l="1"/>
  <c r="D19" i="2"/>
  <c r="D20" i="2"/>
  <c r="D25" i="2"/>
  <c r="D13" i="2"/>
  <c r="D17" i="2"/>
  <c r="D21" i="2"/>
  <c r="D26" i="2"/>
  <c r="D28" i="2"/>
  <c r="D22" i="2"/>
  <c r="D15" i="2"/>
  <c r="D24" i="2"/>
  <c r="D29" i="2"/>
  <c r="D14" i="2"/>
  <c r="B10" i="2"/>
  <c r="B9" i="2"/>
  <c r="D8" i="2" l="1"/>
  <c r="B5" i="2"/>
  <c r="D5" i="2" s="1"/>
  <c r="D41" i="2"/>
  <c r="B27" i="2"/>
  <c r="D27" i="2" s="1"/>
  <c r="D7" i="2" l="1"/>
  <c r="D6" i="2"/>
  <c r="F61" i="2" l="1"/>
  <c r="C44" i="2" s="1"/>
  <c r="C10" i="2" l="1"/>
  <c r="D10" i="2" s="1"/>
  <c r="C9" i="2"/>
  <c r="C52" i="2"/>
  <c r="D52" i="2" s="1"/>
  <c r="D44" i="2"/>
  <c r="D48" i="2"/>
  <c r="C23" i="2"/>
  <c r="D23" i="2" s="1"/>
  <c r="D9" i="2"/>
  <c r="F62" i="2"/>
  <c r="C54" i="2" l="1"/>
  <c r="D54" i="2" s="1"/>
  <c r="C32" i="2"/>
  <c r="D32" i="2" s="1"/>
  <c r="C34" i="1" s="1"/>
  <c r="C52" i="1"/>
  <c r="C51" i="1"/>
  <c r="C47" i="1"/>
  <c r="C31" i="1"/>
  <c r="C25" i="1"/>
  <c r="C20" i="1"/>
  <c r="C18" i="1"/>
  <c r="C11" i="1"/>
  <c r="C8" i="1"/>
  <c r="C9" i="1"/>
  <c r="C10" i="1"/>
  <c r="C13" i="1"/>
  <c r="C14" i="1"/>
  <c r="C15" i="1"/>
  <c r="C16" i="1"/>
  <c r="C17" i="1"/>
  <c r="C19" i="1"/>
  <c r="C21" i="1"/>
  <c r="C22" i="1"/>
  <c r="C23" i="1"/>
  <c r="C24" i="1"/>
  <c r="C27" i="1"/>
  <c r="C28" i="1"/>
  <c r="C29" i="1"/>
  <c r="C33" i="1"/>
  <c r="C35" i="1"/>
  <c r="C36" i="1"/>
  <c r="C37" i="1"/>
  <c r="C39" i="1"/>
  <c r="C40" i="1"/>
  <c r="C41" i="1"/>
  <c r="C42" i="1"/>
  <c r="C43" i="1"/>
  <c r="C44" i="1"/>
  <c r="C45" i="1"/>
  <c r="C46" i="1"/>
  <c r="C49" i="1"/>
  <c r="C53" i="1"/>
  <c r="C55" i="1"/>
  <c r="E53" i="2" l="1"/>
  <c r="E54" i="2"/>
  <c r="E19" i="2"/>
  <c r="E8" i="2"/>
  <c r="E51" i="2"/>
  <c r="C50" i="1"/>
  <c r="E46" i="2"/>
  <c r="E27" i="2"/>
  <c r="E38" i="2"/>
  <c r="E28" i="2"/>
  <c r="E36" i="2"/>
  <c r="E9" i="2"/>
  <c r="E35" i="2"/>
  <c r="E11" i="2"/>
  <c r="E43" i="2"/>
  <c r="C12" i="1"/>
  <c r="E52" i="2"/>
  <c r="E14" i="2"/>
  <c r="E24" i="2"/>
  <c r="E30" i="2"/>
  <c r="E34" i="2"/>
  <c r="E40" i="2"/>
  <c r="L51" i="1"/>
  <c r="L43" i="1"/>
  <c r="L35" i="1"/>
  <c r="L25" i="1"/>
  <c r="L55" i="1"/>
  <c r="L39" i="1"/>
  <c r="L31" i="1"/>
  <c r="L23" i="1"/>
  <c r="L15" i="1"/>
  <c r="L17" i="1"/>
  <c r="L33" i="1"/>
  <c r="L47" i="1"/>
  <c r="L53" i="1"/>
  <c r="L45" i="1"/>
  <c r="L37" i="1"/>
  <c r="L41" i="1"/>
  <c r="L52" i="1"/>
  <c r="L44" i="1"/>
  <c r="L36" i="1"/>
  <c r="L28" i="1"/>
  <c r="L49" i="1"/>
  <c r="L29" i="1"/>
  <c r="L21" i="1"/>
  <c r="L13" i="1"/>
  <c r="L20" i="1"/>
  <c r="L12" i="1"/>
  <c r="L27" i="1"/>
  <c r="L19" i="1"/>
  <c r="L11" i="1"/>
  <c r="E21" i="2"/>
  <c r="E45" i="2"/>
  <c r="E7" i="2"/>
  <c r="E39" i="2"/>
  <c r="C32" i="1"/>
  <c r="C26" i="1"/>
  <c r="E5" i="2"/>
  <c r="E29" i="2"/>
  <c r="C54" i="1"/>
  <c r="E15" i="2"/>
  <c r="E23" i="2"/>
  <c r="E31" i="2"/>
  <c r="E47" i="2"/>
  <c r="L8" i="1"/>
  <c r="L16" i="1"/>
  <c r="L24" i="1"/>
  <c r="L32" i="1"/>
  <c r="L40" i="1"/>
  <c r="L48" i="1"/>
  <c r="L56" i="1"/>
  <c r="E16" i="2"/>
  <c r="E32" i="2"/>
  <c r="E48" i="2"/>
  <c r="E17" i="2"/>
  <c r="E25" i="2"/>
  <c r="E33" i="2"/>
  <c r="E41" i="2"/>
  <c r="E49" i="2"/>
  <c r="C7" i="1"/>
  <c r="C38" i="1"/>
  <c r="C30" i="1"/>
  <c r="L9" i="1"/>
  <c r="E10" i="2"/>
  <c r="E18" i="2"/>
  <c r="E26" i="2"/>
  <c r="E42" i="2"/>
  <c r="E50" i="2"/>
  <c r="C56" i="1"/>
  <c r="L10" i="1"/>
  <c r="L14" i="1"/>
  <c r="L18" i="1"/>
  <c r="L22" i="1"/>
  <c r="L26" i="1"/>
  <c r="L30" i="1"/>
  <c r="L34" i="1"/>
  <c r="L38" i="1"/>
  <c r="L42" i="1"/>
  <c r="L46" i="1"/>
  <c r="L50" i="1"/>
  <c r="L54" i="1"/>
  <c r="E12" i="2"/>
  <c r="E20" i="2"/>
  <c r="E44" i="2"/>
  <c r="C48" i="1"/>
  <c r="E13" i="2"/>
  <c r="E37" i="2"/>
  <c r="L7" i="1"/>
  <c r="E6" i="2"/>
  <c r="E22" i="2"/>
  <c r="D48" i="1" l="1"/>
  <c r="D52" i="1"/>
  <c r="D56" i="1"/>
  <c r="D16" i="1"/>
  <c r="D35" i="1"/>
  <c r="D27" i="1"/>
  <c r="D42" i="1"/>
  <c r="D14" i="1"/>
  <c r="D22" i="1"/>
  <c r="D49" i="1"/>
  <c r="D45" i="1"/>
  <c r="D41" i="1"/>
  <c r="D37" i="1"/>
  <c r="D33" i="1"/>
  <c r="D25" i="1"/>
  <c r="D21" i="1"/>
  <c r="D17" i="1"/>
  <c r="D13" i="1"/>
  <c r="D10" i="1"/>
  <c r="D12" i="1"/>
  <c r="D43" i="1"/>
  <c r="D19" i="1"/>
  <c r="D46" i="1"/>
  <c r="D8" i="1"/>
  <c r="D39" i="1"/>
  <c r="D15" i="1"/>
  <c r="D50" i="1"/>
  <c r="D34" i="1"/>
  <c r="D26" i="1"/>
  <c r="D44" i="1"/>
  <c r="D28" i="1"/>
  <c r="D32" i="1"/>
  <c r="D55" i="1"/>
  <c r="D29" i="1"/>
  <c r="D47" i="1"/>
  <c r="D54" i="1"/>
  <c r="D20" i="1"/>
  <c r="D23" i="1"/>
  <c r="D31" i="1"/>
  <c r="D40" i="1"/>
  <c r="D18" i="1"/>
  <c r="D53" i="1"/>
  <c r="D30" i="1"/>
  <c r="D11" i="1"/>
  <c r="D9" i="1"/>
  <c r="D24" i="1"/>
  <c r="D38" i="1"/>
  <c r="D51" i="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PENNINGTON Lani S</author>
  </authors>
  <commentList>
    <comment ref="B48" authorId="0" shapeId="0" xr:uid="{00000000-0006-0000-0300-000001000000}">
      <text>
        <r>
          <rPr>
            <strike/>
            <sz val="9"/>
            <color indexed="81"/>
            <rFont val="Tahoma"/>
            <family val="2"/>
          </rPr>
          <t>(e) 
(i) $69.50 for each motor vehicle or combination of motor vehicles, excluding farm trucks, over 12,000 pounds, but not exceeding 14,000 pounds gross laden weight; plus
(ii) $19 for each 2,000 pounds over 14,000 pounds gross laden weight;</t>
        </r>
        <r>
          <rPr>
            <sz val="9"/>
            <color indexed="81"/>
            <rFont val="Tahoma"/>
            <family val="2"/>
          </rPr>
          <t xml:space="preserve">
NEW FEE SCHEDULE:
Utah Statute 14-1a-1206 (1)(b)</t>
        </r>
      </text>
    </comment>
  </commentList>
</comments>
</file>

<file path=xl/sharedStrings.xml><?xml version="1.0" encoding="utf-8"?>
<sst xmlns="http://schemas.openxmlformats.org/spreadsheetml/2006/main" count="885" uniqueCount="546">
  <si>
    <t>KRS 138.660</t>
  </si>
  <si>
    <t>http://www.leg.state.vt.us/statutes/fullsection.cfm?Title=23&amp;Chapter=007&amp;Section=00371</t>
  </si>
  <si>
    <t>http://www.dmv.virginia.gov/webdoc/citizen/vehicles/vehiclereg.asp</t>
  </si>
  <si>
    <t>http://apps.leg.wa.gov/rcw/default.aspx?cite=46.17.250</t>
  </si>
  <si>
    <t>http://www.transportation.wv.gov/dmv/vehicles/pages/vehiclelicenseinfo.aspx</t>
  </si>
  <si>
    <t>http://dot.wi.gov/drivers/vehicles/fees/license-plates.htm</t>
  </si>
  <si>
    <t>http://www.co.jackson.ms.us/officials/tax-collector/costs.php</t>
  </si>
  <si>
    <t>http://dor.mo.gov/faq/motorv/general.php#q4</t>
  </si>
  <si>
    <t>https://doj.mt.gov/driving/vehicle-title-and-registration/#trailer</t>
  </si>
  <si>
    <t>http://delcode.delaware.gov/title21/c021/sc04/index.shtml</t>
  </si>
  <si>
    <t>Based on Colorado price assumption</t>
  </si>
  <si>
    <t xml:space="preserve">       pu = power unit (i.e., tractor); s/t = semitrailer; trl = trailer; DCGW = declared combined gross weight; GVW =</t>
  </si>
  <si>
    <t xml:space="preserve">       gross vehicle weight; IRP = International Registration Plan; VSIF = Vehicle Safety Inspection Fee (State of</t>
  </si>
  <si>
    <t xml:space="preserve">        Washington); DHBTF = Dedicated Highway &amp; Bridge Trust Fund (State of New York) </t>
  </si>
  <si>
    <r>
      <t>* Abbreviations Used</t>
    </r>
    <r>
      <rPr>
        <sz val="10"/>
        <rFont val="Arial"/>
        <family val="2"/>
      </rPr>
      <t>:  ff = flat fee; mc = motor carrier; o-t = one-time; pr = permanent registration; priv = privilege; reg = registration;</t>
    </r>
  </si>
  <si>
    <t xml:space="preserve">State Motor Carrier Registration Fees </t>
  </si>
  <si>
    <t xml:space="preserve">Weight-Mile Tax Rates </t>
  </si>
  <si>
    <t xml:space="preserve">State Diesel Tax Rates </t>
  </si>
  <si>
    <t xml:space="preserve"> (per mile) 80,000 lbs.</t>
  </si>
  <si>
    <t>(per gallon)</t>
  </si>
  <si>
    <t>Dollars per</t>
  </si>
  <si>
    <t>State</t>
  </si>
  <si>
    <t>Vehicle</t>
  </si>
  <si>
    <t>Ranking</t>
  </si>
  <si>
    <t>Tax Rate</t>
  </si>
  <si>
    <t>Alabama</t>
  </si>
  <si>
    <t>Kentucky</t>
  </si>
  <si>
    <t>Alaska</t>
  </si>
  <si>
    <t>New Mexico</t>
  </si>
  <si>
    <t>Arizona</t>
  </si>
  <si>
    <t>New York</t>
  </si>
  <si>
    <t>Arkansas</t>
  </si>
  <si>
    <t>Oregon*</t>
  </si>
  <si>
    <t>California</t>
  </si>
  <si>
    <t>Colorado</t>
  </si>
  <si>
    <t>* Oregon does not levy a diesel tax on</t>
  </si>
  <si>
    <t>Connecticut</t>
  </si>
  <si>
    <t xml:space="preserve">   heavy trucks subject to the weight-mile</t>
  </si>
  <si>
    <t>Delaware</t>
  </si>
  <si>
    <t xml:space="preserve">   tax.</t>
  </si>
  <si>
    <t>Florida</t>
  </si>
  <si>
    <t>Georgia</t>
  </si>
  <si>
    <t>Hawaii</t>
  </si>
  <si>
    <t>Idaho</t>
  </si>
  <si>
    <t>Illinois</t>
  </si>
  <si>
    <t>Indiana</t>
  </si>
  <si>
    <t>Iowa</t>
  </si>
  <si>
    <t>Kansas</t>
  </si>
  <si>
    <t>Louisiana</t>
  </si>
  <si>
    <t>Maine</t>
  </si>
  <si>
    <t>Maryland</t>
  </si>
  <si>
    <t>Massachusetts</t>
  </si>
  <si>
    <t>Michigan</t>
  </si>
  <si>
    <t>Minnesota</t>
  </si>
  <si>
    <t>Mississippi</t>
  </si>
  <si>
    <t>Missouri</t>
  </si>
  <si>
    <t>Montana</t>
  </si>
  <si>
    <t>Nebraska</t>
  </si>
  <si>
    <t>Nevada</t>
  </si>
  <si>
    <t>New Hampshire</t>
  </si>
  <si>
    <t>New Jersey</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</si>
  <si>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</si>
  <si>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</si>
  <si>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</si>
  <si>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</si>
  <si>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</si>
  <si>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</si>
  <si>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</si>
  <si>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</si>
  <si>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</si>
  <si>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</si>
  <si>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</si>
  <si>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</si>
  <si>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</si>
  <si>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</si>
  <si>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</si>
  <si>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</si>
  <si>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</si>
  <si>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</si>
  <si>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tractor-semitrailer combination with GVW of 80,000 lbs.</t>
  </si>
  <si>
    <t>($ per vehicle)</t>
  </si>
  <si>
    <t>(80,000 lbs. GVW)</t>
  </si>
  <si>
    <t>Notes*</t>
  </si>
  <si>
    <r>
      <t>.</t>
    </r>
    <r>
      <rPr>
        <sz val="10"/>
        <rFont val="Arial"/>
        <family val="2"/>
      </rPr>
      <t>Alabama</t>
    </r>
  </si>
  <si>
    <r>
      <t>.</t>
    </r>
    <r>
      <rPr>
        <sz val="10"/>
        <rFont val="Arial"/>
        <family val="2"/>
      </rPr>
      <t>Arkansas</t>
    </r>
  </si>
  <si>
    <r>
      <t>.</t>
    </r>
    <r>
      <rPr>
        <sz val="10"/>
        <rFont val="Arial"/>
        <family val="2"/>
      </rPr>
      <t>Connecticut</t>
    </r>
  </si>
  <si>
    <r>
      <t>.</t>
    </r>
    <r>
      <rPr>
        <sz val="10"/>
        <rFont val="Arial"/>
        <family val="2"/>
      </rPr>
      <t>Delaware</t>
    </r>
  </si>
  <si>
    <r>
      <t>.</t>
    </r>
    <r>
      <rPr>
        <sz val="10"/>
        <rFont val="Arial"/>
        <family val="2"/>
      </rPr>
      <t>Florida</t>
    </r>
  </si>
  <si>
    <r>
      <t>.</t>
    </r>
    <r>
      <rPr>
        <sz val="10"/>
        <rFont val="Arial"/>
        <family val="2"/>
      </rPr>
      <t>Georgia</t>
    </r>
  </si>
  <si>
    <r>
      <t>.</t>
    </r>
    <r>
      <rPr>
        <sz val="10"/>
        <rFont val="Arial"/>
        <family val="2"/>
      </rPr>
      <t>Idaho</t>
    </r>
  </si>
  <si>
    <r>
      <t>.</t>
    </r>
    <r>
      <rPr>
        <sz val="10"/>
        <rFont val="Arial"/>
        <family val="2"/>
      </rPr>
      <t>Iowa</t>
    </r>
  </si>
  <si>
    <r>
      <t>.</t>
    </r>
    <r>
      <rPr>
        <sz val="10"/>
        <rFont val="Arial"/>
        <family val="2"/>
      </rPr>
      <t>Kansas</t>
    </r>
  </si>
  <si>
    <r>
      <t>.</t>
    </r>
    <r>
      <rPr>
        <sz val="10"/>
        <rFont val="Arial"/>
        <family val="2"/>
      </rPr>
      <t>Maryland</t>
    </r>
  </si>
  <si>
    <r>
      <t>.</t>
    </r>
    <r>
      <rPr>
        <sz val="10"/>
        <rFont val="Arial"/>
        <family val="2"/>
      </rPr>
      <t>Michigan</t>
    </r>
  </si>
  <si>
    <t>Incl. $30 s/t fee (= $300 pr/10 yrs.)</t>
  </si>
  <si>
    <r>
      <t>.</t>
    </r>
    <r>
      <rPr>
        <sz val="10"/>
        <rFont val="Arial"/>
        <family val="2"/>
      </rPr>
      <t>Nebraska</t>
    </r>
  </si>
  <si>
    <r>
      <t>.</t>
    </r>
    <r>
      <rPr>
        <sz val="10"/>
        <rFont val="Arial"/>
        <family val="2"/>
      </rPr>
      <t>New Hampshire</t>
    </r>
  </si>
  <si>
    <r>
      <t>.</t>
    </r>
    <r>
      <rPr>
        <sz val="10"/>
        <rFont val="Arial"/>
        <family val="2"/>
      </rPr>
      <t>New Jersey</t>
    </r>
  </si>
  <si>
    <r>
      <t>.</t>
    </r>
    <r>
      <rPr>
        <sz val="10"/>
        <rFont val="Arial"/>
        <family val="2"/>
      </rPr>
      <t>New Mexico</t>
    </r>
  </si>
  <si>
    <r>
      <t>.</t>
    </r>
    <r>
      <rPr>
        <sz val="10"/>
        <rFont val="Arial"/>
        <family val="2"/>
      </rPr>
      <t>New York</t>
    </r>
  </si>
  <si>
    <r>
      <t>.</t>
    </r>
    <r>
      <rPr>
        <sz val="10"/>
        <rFont val="Arial"/>
        <family val="2"/>
      </rPr>
      <t>North Carolina</t>
    </r>
  </si>
  <si>
    <r>
      <t>.</t>
    </r>
    <r>
      <rPr>
        <sz val="10"/>
        <rFont val="Arial"/>
        <family val="2"/>
      </rPr>
      <t>Ohio</t>
    </r>
  </si>
  <si>
    <r>
      <t>.</t>
    </r>
    <r>
      <rPr>
        <sz val="10"/>
        <rFont val="Arial"/>
        <family val="2"/>
      </rPr>
      <t>Rhode Island</t>
    </r>
  </si>
  <si>
    <r>
      <t>.</t>
    </r>
    <r>
      <rPr>
        <sz val="10"/>
        <rFont val="Arial"/>
        <family val="2"/>
      </rPr>
      <t>South Carolina</t>
    </r>
  </si>
  <si>
    <r>
      <t>.</t>
    </r>
    <r>
      <rPr>
        <sz val="10"/>
        <rFont val="Arial"/>
        <family val="2"/>
      </rPr>
      <t>Tennessee</t>
    </r>
  </si>
  <si>
    <r>
      <t>.</t>
    </r>
    <r>
      <rPr>
        <sz val="10"/>
        <rFont val="Arial"/>
        <family val="2"/>
      </rPr>
      <t>Texas</t>
    </r>
  </si>
  <si>
    <r>
      <t>.</t>
    </r>
    <r>
      <rPr>
        <sz val="10"/>
        <rFont val="Arial"/>
        <family val="2"/>
      </rPr>
      <t>Vermont</t>
    </r>
  </si>
  <si>
    <r>
      <t>.</t>
    </r>
    <r>
      <rPr>
        <sz val="10"/>
        <rFont val="Arial"/>
        <family val="2"/>
      </rPr>
      <t>Washington</t>
    </r>
  </si>
  <si>
    <r>
      <t>.</t>
    </r>
    <r>
      <rPr>
        <sz val="10"/>
        <rFont val="Arial"/>
        <family val="2"/>
      </rPr>
      <t>Wisconsin</t>
    </r>
  </si>
  <si>
    <r>
      <t>Source</t>
    </r>
    <r>
      <rPr>
        <sz val="10"/>
        <rFont val="Arial"/>
        <family val="2"/>
      </rPr>
      <t xml:space="preserve">: International Registration Plan, Inc., Information Exchange, "Fee Schedules" @ </t>
    </r>
    <r>
      <rPr>
        <u/>
        <sz val="10"/>
        <rFont val="Arial"/>
        <family val="2"/>
      </rPr>
      <t>http://www.irponline.org/</t>
    </r>
  </si>
  <si>
    <t>and individual state internet sites.</t>
  </si>
  <si>
    <t>Additional Notes &amp; Information</t>
  </si>
  <si>
    <t xml:space="preserve"> </t>
  </si>
  <si>
    <t>($ per gallon)</t>
  </si>
  <si>
    <t>($ per mile)</t>
  </si>
  <si>
    <t>Notes</t>
  </si>
  <si>
    <r>
      <t>Oregon</t>
    </r>
    <r>
      <rPr>
        <vertAlign val="superscript"/>
        <sz val="10"/>
        <rFont val="Arial"/>
        <family val="2"/>
      </rPr>
      <t>1</t>
    </r>
  </si>
  <si>
    <r>
      <t>Abbreviations Used</t>
    </r>
    <r>
      <rPr>
        <sz val="10"/>
        <rFont val="Arial"/>
        <family val="2"/>
      </rPr>
      <t>:  GVW = gross vehicle weight; WMT = weight-mile tax</t>
    </r>
  </si>
  <si>
    <r>
      <t>Source</t>
    </r>
    <r>
      <rPr>
        <sz val="10"/>
        <rFont val="Arial"/>
        <family val="2"/>
      </rPr>
      <t xml:space="preserve">: </t>
    </r>
    <r>
      <rPr>
        <u/>
        <sz val="10"/>
        <rFont val="Arial"/>
        <family val="2"/>
      </rPr>
      <t>KY</t>
    </r>
    <r>
      <rPr>
        <sz val="10"/>
        <rFont val="Arial"/>
        <family val="2"/>
      </rPr>
      <t>: Kentucky Transportation Cabinet, Division of Motor Carriers, "Kentucky Weight Distance Tax Form" on</t>
    </r>
  </si>
  <si>
    <r>
      <t>NY</t>
    </r>
    <r>
      <rPr>
        <sz val="10"/>
        <rFont val="Arial"/>
        <family val="2"/>
      </rPr>
      <t xml:space="preserve">: New York State Department of Taxation and Finance, Highway Use/Fuel Use Tax (IFTA) page, "Instructions for </t>
    </r>
  </si>
  <si>
    <r>
      <t>OR</t>
    </r>
    <r>
      <rPr>
        <sz val="10"/>
        <rFont val="Arial"/>
        <family val="2"/>
      </rPr>
      <t>: Oregon Revised Statutes (ORS) 825.476 Carrier tax tables, "Mileage Tax Rate Table A" schedule</t>
    </r>
  </si>
  <si>
    <r>
      <t xml:space="preserve">Form MT-903-1 (11/09), Highway Use Tax Return" at </t>
    </r>
    <r>
      <rPr>
        <u/>
        <sz val="10"/>
        <rFont val="Arial"/>
        <family val="2"/>
      </rPr>
      <t>http://www.tax.state.ny.us/forms/highway_use_fuel_use_tax.htm</t>
    </r>
  </si>
  <si>
    <r>
      <t>1</t>
    </r>
    <r>
      <rPr>
        <sz val="10"/>
        <rFont val="Arial"/>
        <family val="2"/>
      </rPr>
      <t xml:space="preserve"> </t>
    </r>
    <r>
      <rPr>
        <u/>
        <sz val="10"/>
        <rFont val="Arial"/>
        <family val="2"/>
      </rPr>
      <t>OR</t>
    </r>
    <r>
      <rPr>
        <sz val="10"/>
        <rFont val="Arial"/>
        <family val="2"/>
      </rPr>
      <t xml:space="preserve">: Oregon does </t>
    </r>
    <r>
      <rPr>
        <u/>
        <sz val="10"/>
        <rFont val="Arial"/>
        <family val="2"/>
      </rPr>
      <t>not</t>
    </r>
    <r>
      <rPr>
        <sz val="10"/>
        <rFont val="Arial"/>
        <family val="2"/>
      </rPr>
      <t xml:space="preserve"> levy a fuels tax on vehicles subject to the state's WMT.</t>
    </r>
  </si>
  <si>
    <r>
      <t>Carrier/Operation Type</t>
    </r>
    <r>
      <rPr>
        <sz val="10"/>
        <rFont val="Arial"/>
        <family val="2"/>
      </rPr>
      <t xml:space="preserve">: Intrastate for-hire carrier hauling general freight (i.e., </t>
    </r>
    <r>
      <rPr>
        <u/>
        <sz val="10"/>
        <rFont val="Arial"/>
        <family val="2"/>
      </rPr>
      <t>not</t>
    </r>
    <r>
      <rPr>
        <sz val="10"/>
        <rFont val="Arial"/>
        <family val="2"/>
      </rPr>
      <t xml:space="preserve"> commodities that may qualify for</t>
    </r>
  </si>
  <si>
    <t xml:space="preserve">   special, reduced fees and/or rates in some states). </t>
  </si>
  <si>
    <r>
      <t>Fees/Taxes Included</t>
    </r>
    <r>
      <rPr>
        <sz val="10"/>
        <rFont val="Arial"/>
        <family val="2"/>
      </rPr>
      <t>: All fees/taxes assessed to register and operate the subject comparison vehicle in the</t>
    </r>
  </si>
  <si>
    <t xml:space="preserve">   indicated state, including those required to register the power unit (tractor) and, where applicable, the semi-</t>
  </si>
  <si>
    <t xml:space="preserve">   trailer. Assumes no proration of registration fees. </t>
  </si>
  <si>
    <r>
      <t>Comparison Vehicle</t>
    </r>
    <r>
      <rPr>
        <sz val="10"/>
        <rFont val="Arial"/>
        <family val="2"/>
      </rPr>
      <t xml:space="preserve">:  </t>
    </r>
  </si>
  <si>
    <t xml:space="preserve">-- 80,000-pound declared combined gross weight (gross vehicle weight), five-axle tractor-semitrailer (3-S2) </t>
  </si>
  <si>
    <t xml:space="preserve">   combination; vehicle type = tractor-trailer (TT); diesel-powered </t>
  </si>
  <si>
    <t>-- Number of axle groupings = 3 (single (steering) axle plus two tandem axles)</t>
  </si>
  <si>
    <t>-- Service (useful) life of semitrailer = 10 years</t>
  </si>
  <si>
    <t>Effective</t>
  </si>
  <si>
    <t>.</t>
  </si>
  <si>
    <t xml:space="preserve"> Date</t>
  </si>
  <si>
    <t>http://www.irponline.org/InfoExchange/FeeSchedules/</t>
  </si>
  <si>
    <t xml:space="preserve">Incl. $5 s/t fee (= $50 pr/10 yrs.) </t>
  </si>
  <si>
    <r>
      <t xml:space="preserve">            which can lead to different results. Therefore, the results of the present update may </t>
    </r>
    <r>
      <rPr>
        <sz val="10"/>
        <rFont val="Arial"/>
        <family val="2"/>
      </rPr>
      <t>not be fully consistent</t>
    </r>
  </si>
  <si>
    <t xml:space="preserve">            with those of previous updates in all cases.</t>
  </si>
  <si>
    <t xml:space="preserve">Incl. s/t fee of $1 (= $10 pr registration/10 yrs.)       </t>
  </si>
  <si>
    <t>http://www.oregon.gov/odot/dmv/pages/vehicle/heavy_trailer.aspx</t>
  </si>
  <si>
    <t>http://www.dfa.arkansas.gov/offices/motorVehicle/Pages/VehicleTagRenewal.aspx</t>
  </si>
  <si>
    <t>http://www3.flhsmv.gov/dmv/Proc/RS/RSContents.html</t>
  </si>
  <si>
    <t>$1322 reg+$11.5 s/t fee (=115.35 pr/10 yrs)+$35.15 service &amp; other fees</t>
  </si>
  <si>
    <t>http://itd.idaho.gov/dmv/poe/documents/TruckersHandbook.pdf</t>
  </si>
  <si>
    <t>http://www.ilga.gov/legislation/ilcs/ilcs4.asp?DocName=062500050HCh%2E+3+Art%2E+VIII&amp;ActID=1815&amp;ChapterID=49&amp;SeqStart=53500000&amp;SeqEnd=59000000</t>
  </si>
  <si>
    <t>http://www.iowataxandtags.org/vehicle-registration/registration-fees-by-vehicle-type/</t>
  </si>
  <si>
    <t>Incl. $30 s/t fee</t>
  </si>
  <si>
    <t>http://www.kansastreasurers.org/vehicle/titling.htm#4</t>
  </si>
  <si>
    <t>http://www.lrc.ky.gov/KRS/186-00/CHAPTER.HTM</t>
  </si>
  <si>
    <t>http://dpsweb.dps.louisiana.gov/omv1.nsf?OpenDatabase&amp;Start=1&amp;Count=1200&amp;Expand=5</t>
  </si>
  <si>
    <t>http://www.mass.gov/rmv/fees/index.htm</t>
  </si>
  <si>
    <t>http://www.michigan.gov/sos/0,1607,7-127-1585_14651-75432--,00.html</t>
  </si>
  <si>
    <t>https://www.revisor.mn.gov/statutes/?id=168.013</t>
  </si>
  <si>
    <t>http://www.dmv.ne.gov/dvr/mvreg/fees_taxes.html</t>
  </si>
  <si>
    <t>http://www.dmvnv.com/regfees.htm</t>
  </si>
  <si>
    <t>http://www.gencourt.state.nh.us/rsa/html/XXI/261/261-141.htm</t>
  </si>
  <si>
    <t>http://www.state.nj.us/mvc/Commercial/Fees.htm</t>
  </si>
  <si>
    <t>Incl. $213.75/10 s/t fee ($85.50 4yr for 10 yrs = $85.5 * 2.5 = $213.75)</t>
  </si>
  <si>
    <t>https://efile.state.nm.us/renewal/home1.aspx</t>
  </si>
  <si>
    <t xml:space="preserve">Incl. $27+ $6 Misc s/t fee </t>
  </si>
  <si>
    <t>http://www.dmv.ny.gov/commfee.htm</t>
  </si>
  <si>
    <t>http://www.ncdot.gov/dmv/fees/?s=VF#0</t>
  </si>
  <si>
    <t>http://www.dot.nd.gov/divisions/mv/mvschedule.htm</t>
  </si>
  <si>
    <t>http://www.bmv.ohio.gov/fees_for_services.stm</t>
  </si>
  <si>
    <t>http://occeweb.com/TR/CommTrailer.htm</t>
  </si>
  <si>
    <t>http://www.dmv.state.pa.us/pdotforms/mv_forms/mv-70s.pdf</t>
  </si>
  <si>
    <t>-- Semi Trailer weighing 10,000 lbs empty</t>
  </si>
  <si>
    <t>http://www.dmv.ri.gov/forms/fee/index.php#5</t>
  </si>
  <si>
    <t>http://www.dmvusa.com/statelink.php?id=641</t>
  </si>
  <si>
    <t>http://www.state.sd.us/drr2/motorvehicle/title/register.htm#Trailer</t>
  </si>
  <si>
    <t>http://www.txdmv.gov/whatyouneed/publications/titles_registration/fee_schedules.htm</t>
  </si>
  <si>
    <t>Incl. $54 flat s/t fee = $1 Automation fee + $1 REG-DPS fee</t>
  </si>
  <si>
    <t>Phone Davidson Co. clerk- 615-862-6251</t>
  </si>
  <si>
    <t>Phone Laramie Co. clerk- 307-633-4268</t>
  </si>
  <si>
    <t>Incl. $20.00 s/t fee</t>
  </si>
  <si>
    <t>Based on Colorado price assumption for Ownership Tax</t>
  </si>
  <si>
    <t>Incl. $275 Alt Ad Valorem tax + $4.80 s/t fee (= $48 pr/10 yrs.)</t>
  </si>
  <si>
    <t xml:space="preserve">Incl.$400 CVM fee + $44 s/t fee + $4 modernization fee </t>
  </si>
  <si>
    <t>http://www.mva.maryland.gov/Vehicle-Services/</t>
  </si>
  <si>
    <t>(IFTA co_fees, Ownership Tax tab)</t>
  </si>
  <si>
    <t>-- Original Factory Price =</t>
  </si>
  <si>
    <r>
      <t>*</t>
    </r>
    <r>
      <rPr>
        <b/>
        <u/>
        <sz val="10"/>
        <rFont val="Arial"/>
        <family val="2"/>
      </rPr>
      <t>Note</t>
    </r>
    <r>
      <rPr>
        <sz val="10"/>
        <rFont val="Arial"/>
        <family val="2"/>
      </rPr>
      <t>:  In a few cases, these assumptions may differ from those used in previous  updates in this series,</t>
    </r>
  </si>
  <si>
    <t xml:space="preserve">Basic </t>
  </si>
  <si>
    <t>Additional</t>
  </si>
  <si>
    <t>Fees</t>
  </si>
  <si>
    <r>
      <t>.</t>
    </r>
    <r>
      <rPr>
        <sz val="10"/>
        <rFont val="Arial"/>
        <family val="2"/>
      </rPr>
      <t>Alaska</t>
    </r>
  </si>
  <si>
    <t>Total</t>
  </si>
  <si>
    <t>https://www.dmv.ca.gov/portal/dmv/detail/commercial/cvra</t>
  </si>
  <si>
    <t>http://www.irponline.org/?page=FeeSchedules</t>
  </si>
  <si>
    <r>
      <t>.</t>
    </r>
    <r>
      <rPr>
        <sz val="10"/>
        <rFont val="Arial"/>
        <family val="2"/>
      </rPr>
      <t>Colorado</t>
    </r>
  </si>
  <si>
    <t>http://www.ct.gov/dmv/cwp/view.asp?a=802&amp;q=270596</t>
  </si>
  <si>
    <t>fee = $18/(1,000 lbs less 5,000) + $40, s/t fee included.</t>
  </si>
  <si>
    <t>http://motor.etax.dor.ga.gov/forms</t>
  </si>
  <si>
    <r>
      <t>.</t>
    </r>
    <r>
      <rPr>
        <sz val="10"/>
        <rFont val="Arial"/>
        <family val="2"/>
      </rPr>
      <t>Hawaii</t>
    </r>
  </si>
  <si>
    <r>
      <t>.</t>
    </r>
    <r>
      <rPr>
        <sz val="10"/>
        <rFont val="Arial"/>
        <family val="2"/>
      </rPr>
      <t>Illinois</t>
    </r>
  </si>
  <si>
    <r>
      <t>.</t>
    </r>
    <r>
      <rPr>
        <sz val="10"/>
        <rFont val="Arial"/>
        <family val="2"/>
      </rPr>
      <t>Louisiana</t>
    </r>
  </si>
  <si>
    <r>
      <t>.</t>
    </r>
    <r>
      <rPr>
        <sz val="10"/>
        <rFont val="Arial"/>
        <family val="2"/>
      </rPr>
      <t>Maine</t>
    </r>
  </si>
  <si>
    <t>http://www.maine.gov/sos/bmv/registration/</t>
  </si>
  <si>
    <t xml:space="preserve"> Total = GVW + ad valorem fee (AVF) based on price &amp; year of purchase (current year = $0) S/t registered w/tractor + $19.50 ff</t>
  </si>
  <si>
    <t xml:space="preserve">Rate for 38,000-80,000 pound vehicles is $0.63 per 100 lbs. GVW + $70 pr/10 s/t fee  </t>
  </si>
  <si>
    <t>Total = GVW fee + AVF fee (0.40%) + $20 s/t fee</t>
  </si>
  <si>
    <t>Total = GVW + ($76.50 / 2yr) s/t fee</t>
  </si>
  <si>
    <t>Total = ($20/1,000 lbs.GVW) + s/t fee ($300 for 5 yrs./5 yrs. = $60/yr.)</t>
  </si>
  <si>
    <t>S/t registered w/power unit, so $0 extra fee</t>
  </si>
  <si>
    <r>
      <t>.</t>
    </r>
    <r>
      <rPr>
        <sz val="10"/>
        <rFont val="Arial"/>
        <family val="2"/>
      </rPr>
      <t>Minnesota</t>
    </r>
  </si>
  <si>
    <r>
      <t>.</t>
    </r>
    <r>
      <rPr>
        <sz val="10"/>
        <rFont val="Arial"/>
        <family val="2"/>
      </rPr>
      <t>Mississippi</t>
    </r>
  </si>
  <si>
    <r>
      <t>.</t>
    </r>
    <r>
      <rPr>
        <sz val="10"/>
        <rFont val="Arial"/>
        <family val="2"/>
      </rPr>
      <t>Missouri</t>
    </r>
  </si>
  <si>
    <t>Incl. $5.25 s/t fee (= $52.50 pr/10 yrs.)</t>
  </si>
  <si>
    <t>Total = Registration+ GVW &amp; Age + GVW + $14.82 s/t fee</t>
  </si>
  <si>
    <r>
      <t>.</t>
    </r>
    <r>
      <rPr>
        <sz val="10"/>
        <rFont val="Arial"/>
        <family val="2"/>
      </rPr>
      <t>Montana</t>
    </r>
  </si>
  <si>
    <t>Total = GVW + Age/Price BGST + $24 flat s/t fee</t>
  </si>
  <si>
    <r>
      <t>.</t>
    </r>
    <r>
      <rPr>
        <sz val="10"/>
        <rFont val="Arial"/>
        <family val="2"/>
      </rPr>
      <t>Nevada</t>
    </r>
  </si>
  <si>
    <t>First s/t registered w/power unit, so $0 extra fee</t>
  </si>
  <si>
    <t>Total = GVW &amp; Age + $20 trailer/s/t ID fee</t>
  </si>
  <si>
    <t>Incl. $11 Hwy. Safety fee+$39.50 s/t fee+$20 Permissive tax+ $3.50 duty reg fee</t>
  </si>
  <si>
    <t>Incl. ($1.50/1,000 lbs + $1.5) s/t fee</t>
  </si>
  <si>
    <t>Total = GVW &amp; Age fee + $10 flat s/t fee</t>
  </si>
  <si>
    <t>Incl. $5 s/t fee (= $50 pr/10 yrs.)</t>
  </si>
  <si>
    <t>http://le.utah.gov/xcode/Title41/Chapter1A/41-1a-S1206.html?v=C41-1a-S1206_2015051220150512</t>
  </si>
  <si>
    <r>
      <t>.</t>
    </r>
    <r>
      <rPr>
        <sz val="10"/>
        <rFont val="Arial"/>
        <family val="2"/>
      </rPr>
      <t>Utah</t>
    </r>
  </si>
  <si>
    <r>
      <t>.</t>
    </r>
    <r>
      <rPr>
        <sz val="10"/>
        <rFont val="Arial"/>
        <family val="2"/>
      </rPr>
      <t>Virginia</t>
    </r>
  </si>
  <si>
    <r>
      <t>.</t>
    </r>
    <r>
      <rPr>
        <sz val="10"/>
        <rFont val="Arial"/>
        <family val="2"/>
      </rPr>
      <t>Wyoming</t>
    </r>
  </si>
  <si>
    <t xml:space="preserve">Total = GVW + Age &amp; Price (0.45%) fees + $15 additional fee for each pu registered + $6 s/t fee </t>
  </si>
  <si>
    <t>Highway Use Tax: No change in rate from previous update</t>
  </si>
  <si>
    <t>Weight Distance Tax: No change in rate from previous update</t>
  </si>
  <si>
    <t>Source: International Registration Plan, Inc., Information Exchange internet site</t>
  </si>
  <si>
    <t>and Individual state internet sites</t>
  </si>
  <si>
    <r>
      <t>.</t>
    </r>
    <r>
      <rPr>
        <sz val="10"/>
        <rFont val="Arial"/>
        <family val="2"/>
      </rPr>
      <t>Massachusetts</t>
    </r>
  </si>
  <si>
    <r>
      <t>.</t>
    </r>
    <r>
      <rPr>
        <sz val="10"/>
        <rFont val="Arial"/>
        <family val="2"/>
      </rPr>
      <t>North Dakota</t>
    </r>
  </si>
  <si>
    <r>
      <t>.</t>
    </r>
    <r>
      <rPr>
        <sz val="10"/>
        <rFont val="Arial"/>
        <family val="2"/>
      </rPr>
      <t>Oklahoma</t>
    </r>
  </si>
  <si>
    <r>
      <t>.</t>
    </r>
    <r>
      <rPr>
        <sz val="10"/>
        <rFont val="Arial"/>
        <family val="2"/>
      </rPr>
      <t>Pennsylvania</t>
    </r>
  </si>
  <si>
    <r>
      <t>.</t>
    </r>
    <r>
      <rPr>
        <sz val="10"/>
        <rFont val="Arial"/>
        <family val="2"/>
      </rPr>
      <t>South Dakota</t>
    </r>
  </si>
  <si>
    <r>
      <t>.</t>
    </r>
    <r>
      <rPr>
        <sz val="10"/>
        <rFont val="Arial"/>
        <family val="2"/>
      </rPr>
      <t>West Virginia</t>
    </r>
  </si>
  <si>
    <r>
      <t>.</t>
    </r>
    <r>
      <rPr>
        <sz val="10"/>
        <rFont val="Arial"/>
        <family val="2"/>
      </rPr>
      <t>Arizona</t>
    </r>
  </si>
  <si>
    <r>
      <t>.</t>
    </r>
    <r>
      <rPr>
        <sz val="10"/>
        <rFont val="Arial"/>
        <family val="2"/>
      </rPr>
      <t>Indiana</t>
    </r>
  </si>
  <si>
    <r>
      <t>.</t>
    </r>
    <r>
      <rPr>
        <sz val="10"/>
        <rFont val="Arial"/>
        <family val="2"/>
      </rPr>
      <t>Kentucky</t>
    </r>
  </si>
  <si>
    <t>-- Vehicle model year</t>
  </si>
  <si>
    <t>--  Purchased (used) on January 1,</t>
  </si>
  <si>
    <t xml:space="preserve"> and operated (registered) for the full 12 months of the year</t>
  </si>
  <si>
    <t xml:space="preserve"> (purchase year or first year of service/operation therefore same as current year).</t>
  </si>
  <si>
    <t>Truck assumptions:</t>
  </si>
  <si>
    <t>Purchased on January 1st,</t>
  </si>
  <si>
    <t>Paid</t>
  </si>
  <si>
    <t>Model Year / Original Cost</t>
  </si>
  <si>
    <t>Incl. $11.2 s/t fee(= ($105+$3+$4)pr/10 yrs); fee for ID-based truck with Tier 5 (&gt; 50K) annual mileage + $25 part 2 fee</t>
  </si>
  <si>
    <t>Incl. $24 s/t fee</t>
  </si>
  <si>
    <t>Incl. $52 s/t fee (Title 23 V.S.A. § 371) + $7.50 of misc. fees</t>
  </si>
  <si>
    <r>
      <t>Note</t>
    </r>
    <r>
      <rPr>
        <sz val="8"/>
        <rFont val="Arial"/>
        <family val="2"/>
      </rPr>
      <t xml:space="preserve">: Based on intrastate for-hire carrier registering 2011 model year 5-axle (3-S2) </t>
    </r>
  </si>
  <si>
    <t>http://www.api.org/oil-and-natural-gas/consumer-information/motor-fuel-taxes/diesel-tax</t>
  </si>
  <si>
    <t>Sources:</t>
  </si>
  <si>
    <t>State Excise Tax</t>
  </si>
  <si>
    <t>Other State Taxes/Fees</t>
  </si>
  <si>
    <t>Total State Taxes/Fees*</t>
  </si>
  <si>
    <t>1. American Petroleum Institute (API) at</t>
  </si>
  <si>
    <t>Total = weight fees (GVW) + commercial vehicle excise tax (CVET) + $15 TII fee + $82 s/t fee +$7.00 s/t CVET fee</t>
  </si>
  <si>
    <r>
      <t>.</t>
    </r>
    <r>
      <rPr>
        <sz val="10"/>
        <rFont val="Arial"/>
        <family val="2"/>
      </rPr>
      <t>Oregon</t>
    </r>
  </si>
  <si>
    <t>Each county  (Island) assesses indiviual registration and weight fees rates, Honolulu. Basis is truck's unladen weight, 32000. Hawaii requires separate state fees paid for truck and trailer: State tax ( $300) + State registration fee ( $45) + County registration fee  ($20) + a Plate fee ($5) + Emblem fee ($0.50) + a Highway Beautification fee ($7). TT/TR purchased 1/1/2018</t>
  </si>
  <si>
    <t xml:space="preserve">Incl. $13 s/t fee ($130 divided by 10, Utah Code, Title 41, Chapter 1a-1206) + $6 mc fee + Equalized Highway tax, $600 (41-1a-301(12)): </t>
  </si>
  <si>
    <t>Incl.  ARCS fee + $11.00 s/t fee (=$48 ff in 1st yr/10 yrs+$6 p/yr. thereafter)</t>
  </si>
  <si>
    <t>Incl. $35 flat s/t fee + schedule 1 +schedule 2</t>
  </si>
  <si>
    <t>https://online.dmv.alaska.gov/MVRTCost/</t>
  </si>
  <si>
    <t>Anchorage Comm. -- incl. $2 emissions inspect. fee + $20 trl fee</t>
  </si>
  <si>
    <t>http://www.irponline.org/page/Jurisinfo</t>
  </si>
  <si>
    <t>https://azdot.gov/motor-vehicles/vehicle-services/commercial-vehicle-registration</t>
  </si>
  <si>
    <t xml:space="preserve">Total CO fee = For Hire registration weight fee ($2,350) + ownership tax +  bridge safety surcharges + road safety surcharge + age fee+ $7.50 s/t registration      </t>
  </si>
  <si>
    <t>Fee = s/t reg fee + plate fee + Adminnistration fee</t>
  </si>
  <si>
    <t>S/t registered w/power unit,  $5.50 extra misc registration fees (Emergency Medical, Recreation)</t>
  </si>
  <si>
    <t>Incl. $240 DHBTF fee + ($29 2yr / 2) s/t fee</t>
  </si>
  <si>
    <t>Incl. RUF + $10 s/t fee (= $20 pr/2 yrs.)</t>
  </si>
  <si>
    <t>Incl. ICIF fee+ $10 s/t fee (= $100 pr/10 yrs.)  flat charge of $28 + $16.25 per 1,000 pounds GVW</t>
  </si>
  <si>
    <t>Schedule B: Incl. $16 VSEF (assessed on all vehs.) +$275 Freight Fee + $3.60 s/t fee (=$36 pr/10 yrs)</t>
  </si>
  <si>
    <t>Total = GVW + AD Valorem  fee s+  $5.10 s/t fee (= $51 pr/10 yrs.)</t>
  </si>
  <si>
    <t>http://www3.honolulu.gov/mvrfeeinq/ ; http://cohproto.squarespace.com/finance-vrl-fees</t>
  </si>
  <si>
    <t>This report is intended to help consumers understand the “set costs” of a gallon of gasoline and which of the costs are from either from the various state taxes on a gallon of gasoline or federal taxes. Rates are rounded to the nearest hundredth decimal.</t>
  </si>
  <si>
    <t>Represents volume-weighted average</t>
  </si>
  <si>
    <t>US avg</t>
  </si>
  <si>
    <t>“Other Taxes” columns include 1 cpg for UST cleanup fund.</t>
  </si>
  <si>
    <t>WY</t>
  </si>
  <si>
    <t>“Other Taxes” columns include 2-cpg petroleum inspection fee on gasoline and diesel.</t>
  </si>
  <si>
    <t>WI</t>
  </si>
  <si>
    <t>WV</t>
  </si>
  <si>
    <t>WA</t>
  </si>
  <si>
    <t>VA</t>
  </si>
  <si>
    <t>VT</t>
  </si>
  <si>
    <t>UT</t>
  </si>
  <si>
    <t>--</t>
  </si>
  <si>
    <t>TX</t>
  </si>
  <si>
    <t>TN</t>
  </si>
  <si>
    <t>“Other Taxes” columns include a 2.0 cpg tank inspection fee.</t>
  </si>
  <si>
    <t>SD</t>
  </si>
  <si>
    <t>SC</t>
  </si>
  <si>
    <t>RI</t>
  </si>
  <si>
    <t>PA</t>
  </si>
  <si>
    <t>OR</t>
  </si>
  <si>
    <t>“Other Taxes” columns include a 1 cpg per gallon UST fee.</t>
  </si>
  <si>
    <t>OK</t>
  </si>
  <si>
    <t>OH</t>
  </si>
  <si>
    <t>ND</t>
  </si>
  <si>
    <t>NC</t>
  </si>
  <si>
    <t>NY</t>
  </si>
  <si>
    <t>NM</t>
  </si>
  <si>
    <t>NJ</t>
  </si>
  <si>
    <t>NH</t>
  </si>
  <si>
    <t>NV</t>
  </si>
  <si>
    <t>NE</t>
  </si>
  <si>
    <t>MT</t>
  </si>
  <si>
    <t>MO</t>
  </si>
  <si>
    <t>MS</t>
  </si>
  <si>
    <t>MN</t>
  </si>
  <si>
    <t>MI</t>
  </si>
  <si>
    <t>The UST Delivery Fee is 2.5395 cpg.</t>
  </si>
  <si>
    <t>MA</t>
  </si>
  <si>
    <t>MD</t>
  </si>
  <si>
    <t>ME</t>
  </si>
  <si>
    <t>Other fees include a 0.00125 cpg petroleum products fee and a 0.008 cpg motor fuel delivery fee.</t>
  </si>
  <si>
    <t>LA</t>
  </si>
  <si>
    <t>KY</t>
  </si>
  <si>
    <t>KS</t>
  </si>
  <si>
    <t>IA</t>
  </si>
  <si>
    <t>IN</t>
  </si>
  <si>
    <t>IL</t>
  </si>
  <si>
    <t>“Other Taxes” column includes the 1 cpg Petroleum Clean Water Trust Fund Transfer Fee.</t>
  </si>
  <si>
    <t>ID</t>
  </si>
  <si>
    <t>HI</t>
  </si>
  <si>
    <t>GA</t>
  </si>
  <si>
    <t>FL</t>
  </si>
  <si>
    <t>DC</t>
  </si>
  <si>
    <t>DE</t>
  </si>
  <si>
    <t>CT</t>
  </si>
  <si>
    <t>CO</t>
  </si>
  <si>
    <t>CA</t>
  </si>
  <si>
    <t>AR</t>
  </si>
  <si>
    <t>AZ</t>
  </si>
  <si>
    <t>AK</t>
  </si>
  <si>
    <t>AL</t>
  </si>
  <si>
    <t>Notes and Comments</t>
  </si>
  <si>
    <t>Total State</t>
  </si>
  <si>
    <t>Other State</t>
  </si>
  <si>
    <t>State Excise</t>
  </si>
  <si>
    <t>Diesel</t>
  </si>
  <si>
    <t>for rates effective</t>
  </si>
  <si>
    <t>Notes to State Motor Fuel</t>
  </si>
  <si>
    <t>S/t registered w/tractor + $19 o-t fee, total = $2,909 + ($19/10 yrs.)</t>
  </si>
  <si>
    <t>80,000 Pound Vehicle (GVW) w/trailer</t>
  </si>
  <si>
    <t>* The diesel fuel tax rates shown are those in effect July 1st, 2021 - BOLD font indicates different rate from last report (some adjustments could be due to changes in the source utilized for this report).</t>
  </si>
  <si>
    <r>
      <t>plus Federal (24.4</t>
    </r>
    <r>
      <rPr>
        <sz val="8"/>
        <color rgb="FF000000"/>
        <rFont val="Calibri"/>
        <family val="2"/>
      </rPr>
      <t>¢</t>
    </r>
    <r>
      <rPr>
        <sz val="8"/>
        <color rgb="FF000000"/>
        <rFont val="Arial"/>
        <family val="2"/>
      </rPr>
      <t>/gallon</t>
    </r>
  </si>
  <si>
    <t>The 2019 “Rebuild Alabama Act” levies an additional 10 cpg excise tax on gasoline and diesel fuel to be implemented over three years. Effective 10/1/20, the excise tax increased by 2 cpg on both gasoline and diesel. The new tax rates are reflected in the data to the left. The next increase of 2 cpg will be levied 10/1/21. Then, effective 10/1/23, and on July 1st of every other year thereafter, the gasoline and diesel excise tax rate will be adjusted by the percentage change in the yearly average of the National Highway Construction Cost Index (NHCCI) compared to the base year average, rounded to the nearest whole cent. The increase or the decrease of the excise tax shall not exceed 1 cpg and shall take effect every other year. “Other State Taxes/Fees” column includes a 1 cpg UST/AST Trust Fund Environmental Transport Fee levied at the wholesale level to cover remediation costs. The volume-weighted average of the additional city and county taxes was approximately 2 cpg on both gasoline and diesel. There is also a Wholesale Oil/Import License Fee of .75 cpg on diesel sold at the rack or imported into the state.</t>
  </si>
  <si>
    <t>The California Department of Tax and Fee Administration has set the gasoline excise tax rate at 51.1 cpg and the diesel excise tax rate at 38.9 cpg as of 7/1/21. The sales tax on gasoline is 2.25% plus applicable district taxes for gasoline and 13.00% for diesel. Sales tax rates applied are a weighted average based on county population. Other fees include the Underground Storage Tank (UST) fee which is 2.0 cpg.</t>
  </si>
  <si>
    <t>An additional 0.9% gross receipts tax for the state hazardous substance cleanup fund is also assessed at the wholesale level after yearly exclusions are met. (Title 7: 9114). State tax rates set by Title 30, Delaware Code, Chapter 51.</t>
  </si>
  <si>
    <t>Hawaii County revised its motor fuel tax rate as of 7/1/19. County level taxes are aggregated to a singular rate using a weighted average by population. Other taxes include additional county taxes and 0.1 cpg environmental response tax. Other taxes also include a sales tax amount based upon the 4% General Excise Tax (GET) rate and additional county GET surcharges weighted by population.</t>
  </si>
  <si>
    <t>Iowa tax on gasoline is subject to change each year on July 1st, based on percentage of ethanol sales compared to total motor fuel [gasoline] sold. On 7/1/20 the Iowa gasoline tax dropped to 30.0 cpg. For diesel, tax rate is subject to change each year on July 1st, based on percentage of biodiesel sales compared to total special fuel [diesel] sold.</t>
  </si>
  <si>
    <t>Excise tax includes 5.0 cpg supplemental highway user tax for gasoline. “Other Taxes” columns include 1.4 cpg collected for the petroleum storage tank environmental assurance fee. Supplemental highway user tax is 2.0 cpg for special fuels. Commercial carriers pay surtax via a quarterly report on gasoline and on special fuels.</t>
  </si>
  <si>
    <t>The Gasoline and diesel tax increased on 7/1/21 due to a change in the CPI. The Transportation Infrastructure Investment Act of 2013 indexed the motor fuel tax rates for all fuels, except aviation gasoline and turbine fuel to the annual change in the Consumer Price Index (CPI) and imposes a sales and use tax equivalent on all motor fuel, except aviation and turbine fuel. If there is a decline or no growth in the CPI, the motor fuel tax rates shall remain unchanged. The excise tax rate may not increase by more than 8% of the tax rate imposed in the previous year. The new law imposes a sales and use tax equivalent rate on motor fuel based on the average annual retail price of regular unleaded gasoline, excluding Federal and State taxes. The sales and use tax is 9.0 cpg as of 7/1/21.</t>
  </si>
  <si>
    <t>Includes 0.4 cpg Environmental Protection Fee. In Hancock, Harrison and Jackson counties there is an additional 3.0 cpg Seawall tax on gasoline only.</t>
  </si>
  <si>
    <t>On 7/1/21 the Montana gasoline tax increased 0.5 cpg to 32.5 cpg and the diesel tax increased 0.1 cpg to 29.55 cpg. "Other taxes" includes a 0.75-cpg fee assessed at the pump to go toward the state cleanup fund.</t>
  </si>
  <si>
    <t>“Other Taxes” columns include individual county taxes on gasoline, 0.75 cpg cleanup fee, and .055 cpg inspection fee. The January 2021 update now includes the Clark and Washoe additional county taxes based upon the producer price index (PPI) and consumer price index (CPI). These two taxes increased the overall Nevada motor fuel tax rate as a majority of the state's population reside in these two counties.</t>
  </si>
  <si>
    <t>“Other Taxes” includes a 0.125 cpg fee for the Oil Pollution Control Fund and an Underground Storage Tank (UST) cleanup fund fee of 1.5 cpg.</t>
  </si>
  <si>
    <t>On 10/1/20 the New Jersey Petroleum Products Gross Receipts Tax increased by 9.3 cpg resulting in a total gas tax of 40.2 cpg for gasoline and 44.2 cpg for diesel.</t>
  </si>
  <si>
    <t>“Other Taxes” columns include $150 charge per 8,000 gallon load delivery fee which works out to an additional tax of 1.875 cpg.</t>
  </si>
  <si>
    <t>Oregon raised its motor fuel tax to 36 cpg on 1/1/20. “Other Taxes” columns include additional optional county gasoline (ranging from 1 to 3 cpg) and city gasoline and diesel taxes (ranging from 1 to 5 cpg). The city of Portland has passed a 10 cpg that went into effect on 1/1/2017.</t>
  </si>
  <si>
    <t>The Transportation Funding Act 89 of 2013 eliminates the fixed diesel and gasoline excise tax. State law requires the Oil Company Franchise Tax (OCFT) to be calculated on a cpg equivalent basis and certified annually by the state Department of Revenue(DOR). In no case shall the average wholesale price be less than $2.99 per gallon. As of 1/1/19 the PA tax rate for gasoline is 57.6 cpg/gallon and the tax rate for diesel is 74.1 cpg/gallon. "Other taxes" also includes 1.1 cpg UST fee collected by the Insurance Department paid by retailers on gasoline which is billed by the distributor at the time of delivery, and for diesel, which is billed annually by USTIF based on a 8.25 cpg multiplied by the size of the UST.</t>
  </si>
  <si>
    <t>Tax is indexed every two years. As of 7/1/19 the Rhode Island Department of Revenue Division of Taxation has increased the tax to 34 cpg. “Other Taxes” columns include a 1.0 cpg environmental protection regulatory fee of which 0.5 cpg goes to the UST program and 0.5 cpg goes to the public transportation authority.</t>
  </si>
  <si>
    <t>Gasoline and diesel tax increased 2 cpg from 24.0 cpg to 26.0 cpg 7/1/21. Future 2 cpg increases phased in annually until 2022 when final rate of 28 cpg is reached. “Other Taxes” columns include a 0.25 cpg inspection fee and 0.50 cpg environmental fee for UST cleanup. Assessed on all petroleum products at the wholesale level.</t>
  </si>
  <si>
    <t>Public Chapter 181, Sections 16 – 26 of the IMPROVE Act increases the gasoline, diesel, and alternative fuel tax rates over a three-year period beginning 7/1/18. New rates as of 7/1/19 are 26 cpg for gasoline and 27 cpg for diesel. “Other Taxes” columns include a 1.0 cpg special petroleum tax for gasoline and 0.4 cpg environmental assurance fee.</t>
  </si>
  <si>
    <t>The Virginia gasoline tax was raised to 26.2 cpg from 21.2 cpg and the diesel tax was raised to 27.0 cpg from 20.2 cpg on 7/1/21. “Other Taxes” columns include 0.6 cpg petroleum storage tank fee and the wholesale tax. As of 7/1/18 the Virginia government has converted the wholesale tax, formerly calculated as 2.1% of fuels sold in NoVA and Hampton Roads, into a regular cpg tax. The VA DMV has determined that for all wholesale tax regions the new cpg wholesale tax is 7.6 cpg for gasoline and 7.7 cpg for diesel. As of 7/1/20 the wholesale tax regions includes all of Virginia.</t>
  </si>
  <si>
    <t>API adjusted variable diesel tax to 15.2 cpg from 11.7 cpg 10/1/17 to accurately reflect state law. Law states that the wholesale tax rate (11.7%) cannot fluctuate more than 10% from the previous year. For every gallon of gasoline sold, the state charges consumers a flat tax of 20.5 cpg, plus 5% of the average wholesale gasoline price.</t>
  </si>
  <si>
    <t>Note: For states with sales tax on fuel, price per gallon calculated based on AAA average prices for 7/1/2021..</t>
  </si>
  <si>
    <t>Tax rates and or notes changed since last report: CA, CT, GA, IL, IN, MD, MI, MT, NE, OH, RI, SC, VT, VA</t>
  </si>
  <si>
    <t>Note: States that assess a percentage tax based on the price of gasoline rather than a straight cents-per-gallon rate are impacted the most.</t>
  </si>
  <si>
    <t>Disclaimer: The State Motor Fuel Tax Report is posted on the web for informational purposes only. Given the changing nature of laws, rules, and regulations, there may be delays, omissions or inaccuracies in the information contained in this report. Accordingly, the information in this report is provided with the understanding that it should not be relied on as the current laws of the states. While API has made every attempt to ensure that the information contained in this report has been obtained from reliable sources, API is not responsible for any errors or omissions, or for the results obtained from the use of this information. All information in this report is provided “as is,” with no guarantee of completeness, accuracy, timeliness, or of the results obtained from the use of this information, and without warranty, express or implied. All information in this report is provided “as is,” with no guarantee of completeness, accuracy, timeliness, or of the results obtained from the use of this information, and without warranty, express or implied.</t>
  </si>
  <si>
    <t>Primary Source</t>
  </si>
  <si>
    <t xml:space="preserve">Incl. $20 s/t fee. One time s/t registration of $60 is also available. </t>
  </si>
  <si>
    <t>https://revenue.alabama.gov/wp-content/uploads/2017/05/MVPermanentTrailerTags.pdf</t>
  </si>
  <si>
    <t>(Diesel Fee= Hwy use fee + Gross Wt fee + misc fee) + Public Safety Fee+ Incl. $80 s/t fee (s/t registered w/tractor + $800 permanent ff). See ARS 28-5433, ARS 28-5472 and AR 28-5854.</t>
  </si>
  <si>
    <t>Tax Forms page at https://drive.ky.gov/motor-carriers/Pages/KYU.aspx</t>
  </si>
  <si>
    <t>Increased</t>
  </si>
  <si>
    <t>No Change</t>
  </si>
  <si>
    <t>Decreased</t>
  </si>
  <si>
    <t>2022 State</t>
  </si>
  <si>
    <t>Other Taxes" includes the 1.1 % weighted average sales tax of all cities and boroughs. The state excise tax of 8.95 cpg includes the .95 cpg refined fuel surcharge.</t>
  </si>
  <si>
    <t>“Other Taxes” includes a 1 cpg UST tax. The fuel tax on diesel is 19 cpg for light and exempt vehicles and 27 cpg if used to propel a truck with more than two axles or with a declared gross weight over 26,000 pounds. API's diesel tax rate assumes the heavier vehicle.</t>
  </si>
  <si>
    <t>“Other Taxes” includes the 0.3 cpg Petroleum Environment Assurance Fee assessed at the wholesale level. A wholesale sales tax of 1.6% on gasoline (approximately 3.0 cpg) and 2.9% on diesel (approximately 6.0 cpg) became effective 10/1/19. The wholesale tax rates will remain at these levels until at least September 30, 2021. Annual computations/adjustments for any increases will be implemented on October 1 of each year and will be capped at 0.1 cpg.</t>
  </si>
  <si>
    <t>Connecticut Department of Revenue Service calculated a new diesel tax rate of 40.1 cpg for a 12 month period starting 7/1/21; a 4.5 cpg decrease. “Other Taxes” column for gasoline includes petroleum gross receipts earnings tax collected at the wholesale level. The gross receipts tax is 8.1%, but is not assessed on diesel, biodiesel, or straight ethanol. The petroleum gross receipts earnings tax is capped at $3 per gallon per SB 457 Conn. General Statute § 12-587(a) (2) enacted in 2012. The state is calculating the gross receipts tax on $3 wholesale gasoline and not the amount in excess of $3. With this $3 per gallon cap, the maximum amount of the other fees would be 26.4 cpg and would be less when the price of gasoline falls below $3 per gallon. Failure to cap the tax at $3 per gallon would constitute a violation of the state price gouging statute. As of 7/1/20 the CT Petroleum Gross Receipts Tax is 10.75 cpg.</t>
  </si>
  <si>
    <t>The 10/1/2013 notice that raised the gasoline tax to 28.8 cpg was rescinded. The gasoline rate remains at 23.5 cpg. The gasoline surcharge increased to 10.3 cpg on October 1, 2021.</t>
  </si>
  <si>
    <t>“Other Taxes” column includes the state sales tax (14.5 cpg) which is indexed to the CPI; the average county option taxes; Inspection Fee (0.125 cpg); 9th-cent tax (up to 1.0 cpg); Local Option Tax (up to 6.0 cpg); Additional Local Option (up to 5.0 cpg); and, the SCETS (up to 8.3 cpg) along with the various state environmental import taxes which total 2.071 cpg. The gasoline total for Other Taxes and Fees represent a weighted average for Florida by county. The actual amount will depend on county where fuel is purchased.</t>
  </si>
  <si>
    <t>The Motor Fuels Tax rate is 29.1 cpg for gasoline and 32.6 cpg for diesel on 1/1/22. Motor fuel sales are exempted from the 4% state sales tax. HB170 passed in 2015 imposes a $3.00 cap on the average retail sales price used to calculate the prepaid local tax rate. The local sales tax amount is included in "other taxes." This calculation uses the state average price for fuel and a weight average for the local sales tax rate and was updated on 1/1/22.</t>
  </si>
  <si>
    <t>On 7/1/21 the state of Illinois raised its gas tax to 39.2 cpg and its diesel tax to 46.7 cpg. It also passed a provision to automatically raise the tax every July 1st by the rate of inflation recorded in March of that year, and not to exceed 1 cent. "Other Taxes" includes an Underground Storage Tank rate of .3 cpg and an Environmental Impact Fee rate of 0.8 cpg. Illinois exempts E85 and diesel blends of more than 10% biodiesel from sales taxes. The 20% sales tax exemption on E10 is no longer in effect. Other Taxes also includes a 1.1 cpg tax for underground storage tank fund, and other local sales and gasoline taxes. The state-wide sales tax is 6.25%, with some local sales taxes making it as high as 10%. Cook County collects 6 cpg, and Chicago 8 cpg which was raised by cpg under the 2021 budget. DuPage, Kane, Lake, and McHenry Counties impose a 4 cpg tax. Under the 7/1/19 tax increase these three counties, as well as the newly added counties of Lake and Will, are permitted to raise their county gas taxes to 8 cpg if needed. Any city of over 100,000 can also impose a tax of 1 cpg by referendum.</t>
  </si>
  <si>
    <t>Gasoline, diesel, and special fuels taxes increased 1.0 cpg on 7/1/20 due to legislation which calls for fuel tax rates to be raised 1.0 cpg through 2024. "Other Taxes" for gasoline includes the gasoline use tax calculated under Ind. Code Ann. § 6-2.5-3.5-15 and a 1 cpg inspection fee. The diesel surcharge was combined with the diesel excise tax on 7/1/18 and eliminated as a separate tax.</t>
  </si>
  <si>
    <t>State excise tax amounts are a weighted average. Actual amount will depend on county where fuel is purchased. “Other Taxes” columns include 0.6 cpg petroleum storage tank fee and 2.1% sales tax on motor fuels wholesalers in localities that are part of the applicable area</t>
  </si>
  <si>
    <t>The Maine Ground and Surface Waters Clean-up and Response Fund replaced the formerly separate Coastal and Inland Water and Groundwater Fund. The fee is 1.4 cpg for gasoline and .67 cpg for diesel.</t>
  </si>
  <si>
    <t>The Michigan Department of Treasury issues Revenue Administrative Bulletins on prepaid sales tax amounts on fuel. The prepaid sales tax rates for the purchase or receipt of gasoline are 14.4 cpg and 15.7 cpg for diesel as of 7/1/21. Effective 1/1/22 an inflation-adjusted tax rate of 3.3% will be imposed on each gallon of motor fuel and alternative fuel under the Motor Fuel Tax Act ("MFTA"). "Other Taxes" columns include sales tax and 0.875 cpg for environmental regulation fee for refined petroleum fund.</t>
  </si>
  <si>
    <t>“Other Taxes” column includes an inspection fee of 0.1 cpg and will (at times) include a clean up fee of 2.0 cpg depending upon the balance of environmental fund. According to the state department of revenue, the cleanup fee was applicable in 2017 only from January to April. In 2021 cleanup fee is in effect January, February, and March</t>
  </si>
  <si>
    <t>1/1/2022</t>
  </si>
  <si>
    <t>The motor fuel tax increased to 19.5 cpg for both gasoline and diesel effective 10/1/21. Additional increases will occur raising the tax to 22 cpg on 7/1/22, 24.5 cpg on 7/1/23, 27 cpg on 7/1/24, and 29.5 cpg on 7/1/25. "Other Taxes" column includes a Petroleum Inspection Fee in the amount of 3.5 cents per 50 gallons (.0007 per gallon) and the transport load fee in the amount of $28.00 per 8,000 gallons (.0035 per gallon) which works out to 0.003 cpg. "Other taxes" do not capture the municipality gas taxes of Charleston (2.0 cpg on diesel), Matthews (1.0 cpg on gasoline and diesel), and Peculiar (1.0 cpg on gasoline and diesel).</t>
  </si>
  <si>
    <t>Nebraska's fuel tax rate is subject to change every six months and decreased by 2.9 cpg for both gasoline and diesel on 1/1/22. “Other Taxes” columns include 0.9 cpg release prevention fee for gasoline and 0.3 cpg release prevention fee for diesel and other fuels.</t>
  </si>
  <si>
    <t>"The petroleum business tax increased 0.7 cpg to 17.3 cpg for gasoline and increased 0.7 cpg to 15.55 cpg for diesel on 1/1/2022. The state imposes an 8 cpg motor and diesel fuel excise tax, with an additional .05 cpg petroleum testing fee on gasoline only. Other taxes include an average state sales tax rate adjusted based on population to reflect the MCTD region (8.75 cpg) and general region (8 cpg) tax. NY counties also apply sales taxes to fuel which can be a cpg or a % basis tax. Most counties impose a % based tax and “Other Taxes” reflects a 9.6 cpg addition of the blended local sales tax rates applied to the state average retail prices. Actual amount will depend on county where fuel is purchased."</t>
  </si>
  <si>
    <t>Gasoline and diesel tax rate increased 2.4 cpg for the 1/1/22 - 12/31/22 tax period. “Other Taxes” columns include 0.25 cpg inspection tax. Effective January 1, 2021, North Carolina has implemented a “tax floor” which will prevent the gas tax rate in 2021 from falling below the 2020 rate (36.1 cpg), as it would have done automatically without legislative intervention due to the tax rate being indexed in part to energy inflation. The intent behind this policy was to recoup revenue given the pandemic’s effect on road travel and fuel consumption.</t>
  </si>
  <si>
    <t>"A special excise tax of 4 cpg is imposed on dyed diesel and other qualified special fuels sold for use in other than licensed vehicles. A special excise tax of 2% is imposed on the sale of LPG for use in other than licensed vehicles. LNG is exempt from the special excise tax of 4 cpg if used for an agricultural, industrial, or railroad purpose. Special excise tax is not imposed on these fuels if used for a qualified heating purpose.</t>
  </si>
  <si>
    <t>Effective 07/01/19, the tax on gasoline is 38.5 cpg, up from 28 cpg, and the tax on diesel is 47 cpg, up from 28 cpg. This change was implemented under HB 62 of the 133rd General Assembly. For the period of 1/1/2022 – 3/31/2022, the state gas tax on regular gasoline includes a 0.01 cpg Petroleum Activity Tax (PAT) assessment on gasoline; as well as a 0.01 cpg PAT assessment on diesel fuel. The “other taxes” column rounds the increase to 0.01 cpg for both gasoline and diesel. The PAT is assessed on suppliers of motor fuel and is calculated at 0.65% of gross receipts, and collected at the terminal rack. The PAT replaced the Commercial Activity Tax (CAT) which was assessed on 0.26% of gross receipts</t>
  </si>
  <si>
    <t>Effective 1/1/22 the motor fuel tax rate in Utah is 31.9 cpg for both gasoline and diesel, an increase of 0.5 cpg for both gasoline and diesel. "Other Taxes" is comprised of an Environmental Assurance Fee.</t>
  </si>
  <si>
    <t>The Motor Fuel Transportation Infrastructure Assessment fee is 5.64 cpg and the MFTA fee is 13.40 cpg. Rate is determined by assessing 4% of the average retail price of the previous quarter and is in addition to the 12.1 cpg excise tax and 1 cpg licensing fee</t>
  </si>
  <si>
    <t>"Other Taxes" Includes the 0.003 cpg Petroleum Products Tax</t>
  </si>
  <si>
    <t>https://www.api.org/-/media/files/statistics/state-motor-fuel-taxes-charts-january-2022.pdf</t>
  </si>
  <si>
    <t>Weight Mile Tax: Effective January 1, 2022</t>
  </si>
  <si>
    <r>
      <t>NM</t>
    </r>
    <r>
      <rPr>
        <sz val="10"/>
        <rFont val="Arial"/>
        <family val="2"/>
      </rPr>
      <t>: "New Mexico Weight Distance Tax"  http://realfile.tax.newmexico.gov/mvd10964.pdf. Also in NM Statue: https://law.justia.com/codes/new-mexico/2021/chapter-7/article-15a/section-7-15a-6/</t>
    </r>
  </si>
  <si>
    <t>Total = GVW Privi tax + addt'l GVW &amp; Age Priv tax + s/t fee (=$10 tag fee+$10 priv tax)</t>
  </si>
  <si>
    <t>2018</t>
  </si>
  <si>
    <t>2023</t>
  </si>
  <si>
    <t xml:space="preserve">; Purchase Price (on 1/1/23) = </t>
  </si>
  <si>
    <t>2023 State</t>
  </si>
  <si>
    <t>Total California Registration Fee  = Declared G/CGW Fee($1,942 for an 80,000-pound DCGW vehicle) + a CVRA Motor Vehicle Fee ($122), a flat registration fee ($118), a Cargo Theft Interdiction Program (CTIP) fee ($3) and a vehicle license fee (VLF) based on the purchase price of the vehicle and a purchase year factor (Purchase year = the current year = 0.0065) + S/t fee consists of a flat $20 permanent registration + renewal every five years at $10 = $40 over the assumed ten-year life of the trailer+$3 fee for annual weight decals</t>
  </si>
  <si>
    <t>As of Jan2022</t>
  </si>
  <si>
    <t xml:space="preserve">Alabama[4] </t>
  </si>
  <si>
    <t xml:space="preserve">Inspection Fee (applies to all gasoline): $0.02/gal. The Inspection Fee only applies to diesel fuel that is not subject to excise.  Storage Tank Trust Fund Charge: $0.012/gal.  Wholesale Oil License fee: $0.0075/gal on diesel fuel only.  Local option taxes permitted.   </t>
  </si>
  <si>
    <t>Alaska[5]</t>
  </si>
  <si>
    <t>Refined Fuel Surcharge: $0.0095/gal.</t>
  </si>
  <si>
    <t xml:space="preserve">Arizona  </t>
  </si>
  <si>
    <t>"Use Class motor vehicle" diesel rate = $0.26/gal; Storage Tank tax: $0.01/gal.</t>
  </si>
  <si>
    <t>Border Zone rates may apply (state excise rate will not be more than $0.01/gal higher than the adjoining state's rate.  See A.C.A. § 26-55-210 for details); Environmental Assurance fee: $0.003/gal.</t>
  </si>
  <si>
    <t xml:space="preserve">California[4]  </t>
  </si>
  <si>
    <r>
      <rPr>
        <sz val="9"/>
        <rFont val="Calibri"/>
        <family val="2"/>
        <scheme val="minor"/>
      </rPr>
      <t xml:space="preserve">2.25% state sales tax on gasoline, 9.0625% state sales tax on diesel (prepaid rates for these sales taxes: gasoline </t>
    </r>
    <r>
      <rPr>
        <sz val="9"/>
        <color rgb="FF00B0F0"/>
        <rFont val="Calibri"/>
        <family val="2"/>
        <scheme val="minor"/>
      </rPr>
      <t>$0.08</t>
    </r>
    <r>
      <rPr>
        <sz val="9"/>
        <rFont val="Calibri"/>
        <family val="2"/>
        <scheme val="minor"/>
      </rPr>
      <t xml:space="preserve">/gal; diesel </t>
    </r>
    <r>
      <rPr>
        <sz val="9"/>
        <color rgb="FF00B0F0"/>
        <rFont val="Calibri"/>
        <family val="2"/>
        <scheme val="minor"/>
      </rPr>
      <t>$0.345</t>
    </r>
    <r>
      <rPr>
        <sz val="9"/>
        <rFont val="Calibri"/>
        <family val="2"/>
        <scheme val="minor"/>
      </rPr>
      <t xml:space="preserve">/gal).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(OPSA) Fee (all products): </t>
    </r>
    <r>
      <rPr>
        <sz val="9"/>
        <color rgb="FF00B0F0"/>
        <rFont val="Calibri"/>
        <family val="2"/>
        <scheme val="minor"/>
      </rPr>
      <t>$0.091</t>
    </r>
    <r>
      <rPr>
        <sz val="9"/>
        <rFont val="Calibri"/>
        <family val="2"/>
        <scheme val="minor"/>
      </rPr>
      <t xml:space="preserve"> per barrel (</t>
    </r>
    <r>
      <rPr>
        <sz val="9"/>
        <color rgb="FF00B0F0"/>
        <rFont val="Calibri"/>
        <family val="2"/>
        <scheme val="minor"/>
      </rPr>
      <t>$0.0022</t>
    </r>
    <r>
      <rPr>
        <sz val="9"/>
        <rFont val="Calibri"/>
        <family val="2"/>
        <scheme val="minor"/>
      </rPr>
      <t>/gal).</t>
    </r>
  </si>
  <si>
    <t xml:space="preserve">Colorado </t>
  </si>
  <si>
    <r>
      <t xml:space="preserve">Perfluoroalkyl and polyfluoroalkyl substances (PFAS) Fee: $0.003125/gal (gasoline and diesel fuel). Bridge and Tunnel Impact (BTI) Fee: </t>
    </r>
    <r>
      <rPr>
        <sz val="9"/>
        <color rgb="FF00B0F0"/>
        <rFont val="Calibri"/>
        <family val="2"/>
        <scheme val="minor"/>
      </rPr>
      <t>$0.03</t>
    </r>
    <r>
      <rPr>
        <sz val="9"/>
        <rFont val="Calibri"/>
        <family val="2"/>
        <scheme val="minor"/>
      </rPr>
      <t xml:space="preserve">/gal (diesel fuel only). Road Usage (RUF) Fee: </t>
    </r>
    <r>
      <rPr>
        <sz val="9"/>
        <color rgb="FF00B0F0"/>
        <rFont val="Calibri"/>
        <family val="2"/>
        <scheme val="minor"/>
      </rPr>
      <t>$0.03</t>
    </r>
    <r>
      <rPr>
        <sz val="9"/>
        <rFont val="Calibri"/>
        <family val="2"/>
        <scheme val="minor"/>
      </rPr>
      <t xml:space="preserve">/gal (gasoline and diesel fuel). Environmental Response Surcharge (ERS): </t>
    </r>
    <r>
      <rPr>
        <sz val="9"/>
        <color rgb="FF00B0F0"/>
        <rFont val="Calibri"/>
        <family val="2"/>
        <scheme val="minor"/>
      </rPr>
      <t>$50</t>
    </r>
    <r>
      <rPr>
        <sz val="9"/>
        <rFont val="Calibri"/>
        <family val="2"/>
        <scheme val="minor"/>
      </rPr>
      <t xml:space="preserve"> per tanker load (8000 gallons) or </t>
    </r>
    <r>
      <rPr>
        <sz val="9"/>
        <color rgb="FF00B0F0"/>
        <rFont val="Calibri"/>
        <family val="2"/>
        <scheme val="minor"/>
      </rPr>
      <t>$0.00625</t>
    </r>
    <r>
      <rPr>
        <sz val="9"/>
        <rFont val="Calibri"/>
        <family val="2"/>
        <scheme val="minor"/>
      </rPr>
      <t xml:space="preserve">/gal (gasoline and diesel fuel). </t>
    </r>
  </si>
  <si>
    <r>
      <t xml:space="preserve">Petroleum Products Gross Earnings tax (PPGET): 8.1% on first sale of gasoline in the state. The varible rate portion for diesel fuel: </t>
    </r>
    <r>
      <rPr>
        <sz val="9"/>
        <color rgb="FF00B0F0"/>
        <rFont val="Calibri"/>
        <family val="2"/>
        <scheme val="minor"/>
      </rPr>
      <t>$0.202</t>
    </r>
    <r>
      <rPr>
        <sz val="9"/>
        <rFont val="Calibri"/>
        <family val="2"/>
        <scheme val="minor"/>
      </rPr>
      <t>/gal as of 7/1/23 (calculated as 8.1% of the average wholesale price for a 12-month period ending by June 15 each year). PPGET does not apply to products to be used as heating fuels or bunker fuels.</t>
    </r>
    <r>
      <rPr>
        <b/>
        <sz val="9"/>
        <rFont val="Calibri"/>
        <family val="2"/>
        <scheme val="minor"/>
      </rPr>
      <t xml:space="preserve"> </t>
    </r>
    <r>
      <rPr>
        <sz val="9"/>
        <rFont val="Calibri"/>
        <family val="2"/>
        <scheme val="minor"/>
      </rPr>
      <t xml:space="preserve">The State tax on gasoline (only) was suspended from 4/1/2022 to 12/31/2022. It was incrementally reinstated in 2023 ($0.05 each month) until fully restored on 5/1/2023. </t>
    </r>
  </si>
  <si>
    <t xml:space="preserve">Delaware </t>
  </si>
  <si>
    <t xml:space="preserve">DE Hazardous Substance: 0.9% tax on gross receipts from the sales of petroleum or petroleum products.  </t>
  </si>
  <si>
    <t xml:space="preserve">Florida[4]  </t>
  </si>
  <si>
    <t>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The Florida Motor Fuel Tax Relief Act of 2022, effective 10/1/2022 to 10/31/2022, reduces or suspends several components of the total tax on gasoline (does not apply to diesel fuel).</t>
  </si>
  <si>
    <t xml:space="preserve">Georgia[4]  </t>
  </si>
  <si>
    <t>Georgia Underground Storage Tank (GUST) fee on petro products: $0.0075/gal.  The average retail price used for the Prepaid Local Tax (TSPLOST) changed as of 1/1/16; for more information, see https://dor.georgia.gov/motor-fuel-rates. Suspension of state motor fuel excise tax on all taxable fuels, effective 3/1/2022 through 1/10/2023. The suspension does not apply to local sales or use taxes.</t>
  </si>
  <si>
    <t xml:space="preserve">Hawaii[4]  </t>
  </si>
  <si>
    <t xml:space="preserve">In addition to State rates: Honolulu: $0.165/gal; Maui: $0.24/gal; Hawaii: $0.23/gal; Kauai: $0.17/gal.  Environmental Response Tax $0.025/gal. </t>
  </si>
  <si>
    <t xml:space="preserve">Idaho </t>
  </si>
  <si>
    <t xml:space="preserve">Petroleum Transfer Fee (all fuels): $0.01/gal. </t>
  </si>
  <si>
    <t xml:space="preserve">Illinois[4]  </t>
  </si>
  <si>
    <r>
      <t xml:space="preserve">"Part B", mandatory prepaid sales tax, aka "Tax Prepayment by Motor Fuel Retailers" (sales tax is 6.25%): $0.20/gal for gasoline, gasohol, and diesel. For biodiesel (1 to 10% blends), the prepaid rate is </t>
    </r>
    <r>
      <rPr>
        <sz val="9"/>
        <color rgb="FF00B0F0"/>
        <rFont val="Calibri"/>
        <family val="2"/>
        <scheme val="minor"/>
      </rPr>
      <t>$0.20</t>
    </r>
    <r>
      <rPr>
        <sz val="9"/>
        <rFont val="Calibri"/>
        <family val="2"/>
        <scheme val="minor"/>
      </rPr>
      <t xml:space="preserve">/gal.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</si>
  <si>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$0.205</t>
    </r>
    <r>
      <rPr>
        <sz val="9"/>
        <rFont val="Calibri"/>
        <family val="2"/>
        <scheme val="minor"/>
      </rPr>
      <t xml:space="preserve">/gal, as of 7/1/23.  A 7% sales tax on diesel fuel no longer applies. Oil Inspection fee: $0.01/gal.  </t>
    </r>
  </si>
  <si>
    <t>Rate for ethanol-blended (E15 or higher) gasoline: $0.24/gal. Rate for B11 (or higher) diesel: $0.301/gal.  Environmental Protection Charge (EPC): Repealed as of 12/31/16 ($0.01/gal on petroleum products). Ethanol Blended Gasoline E-15 or Higher is a new fuel group effective 7/1/20.</t>
  </si>
  <si>
    <t xml:space="preserve">Kansas </t>
  </si>
  <si>
    <t>Environmental Assurance Fee: $0.01/gal (back in effect 1/1/20). Petroleum Product Inspection Fee: 0.015 cents per barrel (bbl = 50 gals) or $0.0003/gal.</t>
  </si>
  <si>
    <t xml:space="preserve">Kentucky </t>
  </si>
  <si>
    <t>Petroleum Storage Tank Environmental Assurance Fee: $0.014/gal.  Rates are calculated quarterly on the average wholesale price of fuel.  Beginning July 1, 2016, rates calculated and adjusted on an annual basis.</t>
  </si>
  <si>
    <t xml:space="preserve">Louisiana </t>
  </si>
  <si>
    <t>State Inspection fee (applies to all petroleum products): $0.00125/gal. Motor Fuels Underground Storage Tank Trust Fund fee applies to gasoline, No. 1 diesel, No. 2 diesel, kerosene, and all aviation fuels (not to LPG): $72 per 9000 gallon load ($0.008/gal).</t>
  </si>
  <si>
    <t xml:space="preserve">Maine </t>
  </si>
  <si>
    <t xml:space="preserve">Maine Coastal and Inland Surface Oil Clean-up Fund fee (no longer in effect after July 3, 2015): $0.03 per barrel ($0.0007/gal) for all crude oil and refined oil, including #6 fuel oil, #2 fuel oil, kerosene, gasoline, jet fuel, diesel fuel and liquid asphalt.  Ground Water Oil Clean-up Fund fees: $0.59 per barrel ($0.0140476/gal) of gasoline; $0.28 per barrel ($0.0067/gal) of refined petroleum products and their by-products (other than gasoline and #6 fuel oil), including #2 fuel oil, kerosene, jet fuel and diesel fuel; and $0.04 per barrel of #6 fuel oil.  Petroleum Marketing Fund Fee: $0.40 per 10,000 gallons of home heating oil and motor fuel oil.  </t>
  </si>
  <si>
    <t xml:space="preserve">Maryland </t>
  </si>
  <si>
    <r>
      <t xml:space="preserve">CPI component </t>
    </r>
    <r>
      <rPr>
        <sz val="9"/>
        <color rgb="FF00B0F0"/>
        <rFont val="Calibri"/>
        <family val="2"/>
        <scheme val="minor"/>
      </rPr>
      <t>$0.075</t>
    </r>
    <r>
      <rPr>
        <sz val="9"/>
        <rFont val="Calibri"/>
        <family val="2"/>
        <scheme val="minor"/>
      </rPr>
      <t xml:space="preserve">/gal as of 7/1/23, Sales and Use Tax Equivalent rate (SUTE) component </t>
    </r>
    <r>
      <rPr>
        <sz val="9"/>
        <color rgb="FF00B0F0"/>
        <rFont val="Calibri"/>
        <family val="2"/>
        <scheme val="minor"/>
      </rPr>
      <t>$0.16</t>
    </r>
    <r>
      <rPr>
        <sz val="9"/>
        <rFont val="Calibri"/>
        <family val="2"/>
        <scheme val="minor"/>
      </rPr>
      <t>/gal as of 7/1/23. Oil transfer Fee: $0.08 per barrel ($0.0019/gal) of oil transferred into the State. The tax on motor fuels was suspended for 30 days, from March 18, 2022 to April 16, 2022.</t>
    </r>
  </si>
  <si>
    <r>
      <t>Underground Storage Tank Petroleum Product Cleanup Fund Delivery fee: $307.99 per 10k load ($0.030799/gal).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</si>
  <si>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2023 Prepaid Sales Tax rates on fuels: gasoline </t>
    </r>
    <r>
      <rPr>
        <sz val="9"/>
        <color rgb="FF00B0F0"/>
        <rFont val="Calibri"/>
        <family val="2"/>
        <scheme val="minor"/>
      </rPr>
      <t>$0.181</t>
    </r>
    <r>
      <rPr>
        <sz val="9"/>
        <rFont val="Calibri"/>
        <family val="2"/>
        <scheme val="minor"/>
      </rPr>
      <t xml:space="preserve">/gal; diesel fuel </t>
    </r>
    <r>
      <rPr>
        <sz val="9"/>
        <color rgb="FF00B0F0"/>
        <rFont val="Calibri"/>
        <family val="2"/>
        <scheme val="minor"/>
      </rPr>
      <t>$0.213</t>
    </r>
    <r>
      <rPr>
        <sz val="9"/>
        <rFont val="Calibri"/>
        <family val="2"/>
        <scheme val="minor"/>
      </rPr>
      <t xml:space="preserve">/gal. </t>
    </r>
    <r>
      <rPr>
        <b/>
        <sz val="9"/>
        <rFont val="Calibri"/>
        <family val="2"/>
        <scheme val="minor"/>
      </rPr>
      <t>The prepaid sales tax rates are calculated each month</t>
    </r>
    <r>
      <rPr>
        <sz val="9"/>
        <rFont val="Calibri"/>
        <family val="2"/>
        <scheme val="minor"/>
      </rPr>
      <t xml:space="preserve">, see Revenue Administrative Bulletins (RABs) for current rates. Environmental protection regulatory fee: $0.01/gal all products. </t>
    </r>
  </si>
  <si>
    <t xml:space="preserve">Minnesota </t>
  </si>
  <si>
    <r>
      <t>Petroleum Tank Release Cleanup Fee (in effect April - July 2023): $20 per 1,000 gallons (</t>
    </r>
    <r>
      <rPr>
        <sz val="9"/>
        <color rgb="FF00B0F0"/>
        <rFont val="Calibri"/>
        <family val="2"/>
        <scheme val="minor"/>
      </rPr>
      <t>$0.02</t>
    </r>
    <r>
      <rPr>
        <sz val="9"/>
        <rFont val="Calibri"/>
        <family val="2"/>
        <scheme val="minor"/>
      </rPr>
      <t>/gal). Inspection fee: $1 for every 1,000 gallons received ($0.001/gal).</t>
    </r>
  </si>
  <si>
    <t xml:space="preserve">Mississippi[4] </t>
  </si>
  <si>
    <t>Seawall Tax: $0.03/gal (gasoline only) in effect in Harrison, Hancock, and Jackson Counties.  Environmental Protection Fee: $0.004/gal.  Underground Storage Tank fee: $100 per tank per year.</t>
  </si>
  <si>
    <t xml:space="preserve">Missouri[4] </t>
  </si>
  <si>
    <t>Petroleum Inspection fee: $0.035 per 50 gallons ($0.0007/gal); Transport Load Fee $32.00 per 8,000 gallons ($0.004/gal).</t>
  </si>
  <si>
    <t xml:space="preserve">Montana[4] </t>
  </si>
  <si>
    <t xml:space="preserve">Petroleum Storage Tank Cleanup fee : $0.0075/gal on gasoline, diesel and fuel oil, aviation gasoline, and (non-military use) jet fuel. </t>
  </si>
  <si>
    <t xml:space="preserve">Nebraska </t>
  </si>
  <si>
    <t>Petroleum Release Remedial Action fee: gasoline, gasohol, aviation gasoline, ethanol: $0.009/gal; diesel, jet fuel, all others products: $0.003/gal.</t>
  </si>
  <si>
    <t xml:space="preserve">Nevada[4] </t>
  </si>
  <si>
    <t>Additional county and local option taxes on motor fuels add $0.05 to $0.10/gal (or more) to the state rate (County mandatory: $0.01/gal, County Option: $0.04-$0.9/gal (or indexed rate)). Petroleum Products Inspection Fee: $0.00055/gal on gasoline; Clean-up Fee on gasoline, No. 1 and No. 2 distillates: $0.0075/gal.</t>
  </si>
  <si>
    <t xml:space="preserve">New Hampshire </t>
  </si>
  <si>
    <t xml:space="preserve">Oil Discharge and Disposal Cleanup Fund fee: $0.015/gal on gasoline and diesel fuels, excluding heating fuels.  Oil Pollution Control Fund fee: $0.00125/gal on all petroleum products except LPG and natural gas. </t>
  </si>
  <si>
    <t>Petroleum Products Gross Receipts Tax - requires quarterly adjustment. As of 1/1/23: $0.309/gal for gasoline, $0.349/gal for diesel fuel.  Spill Compensation and Control Act: $0.023  per barrel ($0.0005/gal) on all petroleum products.</t>
  </si>
  <si>
    <t xml:space="preserve">New Mexico </t>
  </si>
  <si>
    <t>Petroleum Products Loading fee: $150 per 8000 gallon load on gasoline and special fuels ($0.01875/gal).  LOTS allowed, not in effect.</t>
  </si>
  <si>
    <t xml:space="preserve">New York[4] </t>
  </si>
  <si>
    <r>
      <t>Petroleum Business Tax (13-A) - requires annual adjustment (January 1, 2022: gasoline $0.181/gal, diesel $0.1635/gal).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$0.180/gal, $0.180/gal, $0.170/gal for Regions 1, 2, 3, respectively.   Oil Spill Prevention, Control, and Compensation License fee: $0.0925/bbl plus a surcharge of $0.0425/bbl, all petroleum products ($0.003274/gal). Several state taxes applied to motor fuel/gasoline and on-highway diesel fuel were suspended,</t>
    </r>
    <r>
      <rPr>
        <b/>
        <sz val="9"/>
        <rFont val="Calibri"/>
        <family val="2"/>
        <scheme val="minor"/>
      </rPr>
      <t xml:space="preserve"> </t>
    </r>
    <r>
      <rPr>
        <sz val="9"/>
        <rFont val="Calibri"/>
        <family val="2"/>
        <scheme val="minor"/>
      </rPr>
      <t>from 6/1/2022 through 12/31/2022: $0.08/gal state excise tax (Article 12-A), the prepaid sales tax, and state sales and use taxes, and the additional $0.0075 state sales and use tax imposed in the Metropolitan Commuter Transportation District (MCTD).</t>
    </r>
  </si>
  <si>
    <t xml:space="preserve">North Carolina </t>
  </si>
  <si>
    <t xml:space="preserve">Gasoline and Oil Inspection fee: $0.0025/gal on all motor fuels.  </t>
  </si>
  <si>
    <t xml:space="preserve">North Dakota </t>
  </si>
  <si>
    <t>Inspection fee: $0.00025/gal on gasoline, kerosene, tractor fuel, heating oil, or diesel fuel.</t>
  </si>
  <si>
    <t xml:space="preserve">Ohio </t>
  </si>
  <si>
    <t xml:space="preserve">Petroleum Activity Tax (PAT): 0.65% on the gross receipts from the first sale, transfer, exchange, or other disposition of motor fuel in Ohio to a point outside of the distribution system. </t>
  </si>
  <si>
    <t xml:space="preserve">Oklahoma </t>
  </si>
  <si>
    <t xml:space="preserve">Petroleum Storage Underground Tank Release fee: $0.010/gal on gasoline, diesel fuel and blended fuel (gasohol, ethanol and fuel grade ethanol).  </t>
  </si>
  <si>
    <t xml:space="preserve">Oregon[4] </t>
  </si>
  <si>
    <t>LOTS allowed and levied at the county and municipal levels. Petroleum load fee: $10.00 per load (load = anything over 100 gals.)</t>
  </si>
  <si>
    <t xml:space="preserve">Pennsylvania </t>
  </si>
  <si>
    <r>
      <t>A variable rate is calculated annually and replaced the OCS and Liquid Fuels Tax (see PA Bulletin for updated rate info).  Underground Storage Tank (UST) Fund fee (applies only to gasoline and diesel fuel into tanks at farms: $0.011/gal. Most diesel fuel subject to the tank Capacity fee: $0.0825/gal of UST capacity</t>
    </r>
    <r>
      <rPr>
        <b/>
        <sz val="9"/>
        <rFont val="Calibri"/>
        <family val="2"/>
        <scheme val="minor"/>
      </rPr>
      <t xml:space="preserve">, </t>
    </r>
    <r>
      <rPr>
        <sz val="9"/>
        <rFont val="Calibri"/>
        <family val="2"/>
        <scheme val="minor"/>
      </rPr>
      <t>paid annually. See PA Insurance Dept, Bureau of Special Funds, USTIF for UST fees.</t>
    </r>
  </si>
  <si>
    <t xml:space="preserve">Rhode Island </t>
  </si>
  <si>
    <t>Environmental Protection Regulatory fee (EPRF): $0.01/gal. Uniform Oil Response and Prevention (UORF) fee: $0.05 cents per barrel ($0.0012/gal).</t>
  </si>
  <si>
    <t xml:space="preserve">South Carolina[4] </t>
  </si>
  <si>
    <t>Inspection Fee: $0.0025/gal; Environmental Impact Fee: $0.005/gal.</t>
  </si>
  <si>
    <t xml:space="preserve">South Dakota </t>
  </si>
  <si>
    <t>Tank Inspection Fee: $0.02/gal.</t>
  </si>
  <si>
    <t xml:space="preserve">Tennessee </t>
  </si>
  <si>
    <t xml:space="preserve">Special Privilege Tax: $0.01/gal.  Environmental Assurance fee:  $0.004/gal. </t>
  </si>
  <si>
    <t xml:space="preserve">Texas </t>
  </si>
  <si>
    <t>Petro products delivery fee varies on load size (applies to all petro products).</t>
  </si>
  <si>
    <t xml:space="preserve">Utah </t>
  </si>
  <si>
    <t xml:space="preserve">Environmental Assurance fee: $0.0065/gal. </t>
  </si>
  <si>
    <t xml:space="preserve">Vermont </t>
  </si>
  <si>
    <r>
      <t xml:space="preserve">Petroleum Distributor fee: $0.01/gal. Motor Fuel Transportation Infrastructure Assessment (MFTIA) fee: gasoline </t>
    </r>
    <r>
      <rPr>
        <sz val="9"/>
        <color rgb="FF00B0F0"/>
        <rFont val="Calibri"/>
        <family val="2"/>
        <scheme val="minor"/>
      </rPr>
      <t>$0.0602</t>
    </r>
    <r>
      <rPr>
        <sz val="9"/>
        <rFont val="Calibri"/>
        <family val="2"/>
        <scheme val="minor"/>
      </rPr>
      <t>/gal (7/1/2023-9/3/2023); diesel $0.03/gal. Motor Fuel Tax Assessment (MFTA) applies to gasoline only (1/1/2023-3/31/2023): $0.1340/gal.</t>
    </r>
  </si>
  <si>
    <r>
      <t xml:space="preserve">Storage tank fee: $0.006/gal. The Motor Vehicle Fuels Sales Tax (MVFST) (aka, Wholesale Sales Tax (WH)) rates: gasoline </t>
    </r>
    <r>
      <rPr>
        <sz val="9"/>
        <color rgb="FF00B0F0"/>
        <rFont val="Calibri"/>
        <family val="2"/>
        <scheme val="minor"/>
      </rPr>
      <t>$0.087</t>
    </r>
    <r>
      <rPr>
        <sz val="9"/>
        <rFont val="Calibri"/>
        <family val="2"/>
        <scheme val="minor"/>
      </rPr>
      <t xml:space="preserve">/gal, diesel </t>
    </r>
    <r>
      <rPr>
        <sz val="9"/>
        <color rgb="FF00B0F0"/>
        <rFont val="Calibri"/>
        <family val="2"/>
        <scheme val="minor"/>
      </rPr>
      <t>$0.088</t>
    </r>
    <r>
      <rPr>
        <sz val="9"/>
        <rFont val="Calibri"/>
        <family val="2"/>
        <scheme val="minor"/>
      </rPr>
      <t xml:space="preserve">/gal. </t>
    </r>
  </si>
  <si>
    <t xml:space="preserve">Washington[4] </t>
  </si>
  <si>
    <r>
      <t>Oil Spill Administration Tax: $0.04 per barrel ($0.0009523/gal). Oil Spill Response tax: $0.01/bbl ($0.000238/gal). Hazardous Substance tax on petroleum products that can be measured on per-barrel basis:</t>
    </r>
    <r>
      <rPr>
        <sz val="9"/>
        <color rgb="FF00B0F0"/>
        <rFont val="Calibri"/>
        <family val="2"/>
        <scheme val="minor"/>
      </rPr>
      <t xml:space="preserve"> $1.40</t>
    </r>
    <r>
      <rPr>
        <sz val="9"/>
        <rFont val="Calibri"/>
        <family val="2"/>
        <scheme val="minor"/>
      </rPr>
      <t>/bbl (</t>
    </r>
    <r>
      <rPr>
        <sz val="9"/>
        <color rgb="FF00B0F0"/>
        <rFont val="Calibri"/>
        <family val="2"/>
        <scheme val="minor"/>
      </rPr>
      <t>$0.033</t>
    </r>
    <r>
      <rPr>
        <sz val="9"/>
        <rFont val="Calibri"/>
        <family val="2"/>
        <scheme val="minor"/>
      </rPr>
      <t xml:space="preserve">/gal).  "Border Zone Area Motor Fuel Tax" $0.01/gal in counties bordering Canada. Petroleum Products Tax (PPT) reinstated as of 1/1/20: rate is based on the wholesale value of the petroleum product multiplied by .0015. </t>
    </r>
  </si>
  <si>
    <t xml:space="preserve">West Virginia </t>
  </si>
  <si>
    <t xml:space="preserve">Excise tax $0.205/gal, Consumers Sales and Service Tax: $0.167/gal. </t>
  </si>
  <si>
    <t xml:space="preserve">Wisconsin </t>
  </si>
  <si>
    <t xml:space="preserve">Petroleum Inspection fee: $0.02/gal. </t>
  </si>
  <si>
    <t xml:space="preserve">Wyoming </t>
  </si>
  <si>
    <t xml:space="preserve">License Tax: $0.01/gal.  </t>
  </si>
  <si>
    <t>State tax</t>
  </si>
  <si>
    <t xml:space="preserve">Other taxes &amp; Fees[2]   </t>
  </si>
  <si>
    <t>Total State[3]</t>
  </si>
  <si>
    <t>State &amp; Federal</t>
  </si>
  <si>
    <t xml:space="preserve">                                        Gasoline   </t>
  </si>
  <si>
    <t xml:space="preserve">                                              Diesel</t>
  </si>
  <si>
    <t xml:space="preserve"> Diesel</t>
  </si>
  <si>
    <r>
      <rPr>
        <sz val="9"/>
        <rFont val="Calibri"/>
        <family val="2"/>
        <scheme val="minor"/>
      </rPr>
      <t xml:space="preserve">2.25% state sales tax on gasoline, 13.00% state sales tax on diesel (prepaid rates for these sales taxes: gasoline </t>
    </r>
    <r>
      <rPr>
        <sz val="9"/>
        <color rgb="FF00B0F0"/>
        <rFont val="Calibri"/>
        <family val="2"/>
        <scheme val="minor"/>
      </rPr>
      <t>$0.09/gal</t>
    </r>
    <r>
      <rPr>
        <sz val="9"/>
        <rFont val="Calibri"/>
        <family val="2"/>
        <scheme val="minor"/>
      </rPr>
      <t xml:space="preserve">; diesel </t>
    </r>
    <r>
      <rPr>
        <sz val="9"/>
        <color rgb="FF00B0F0"/>
        <rFont val="Calibri"/>
        <family val="2"/>
        <scheme val="minor"/>
      </rPr>
      <t>$0.47/gal</t>
    </r>
    <r>
      <rPr>
        <sz val="9"/>
        <rFont val="Calibri"/>
        <family val="2"/>
        <scheme val="minor"/>
      </rPr>
      <t xml:space="preserve">).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</si>
  <si>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Environmental Response Surcharge (ERS Fee): $100 per tanker load (8000 gallons) or </t>
    </r>
    <r>
      <rPr>
        <sz val="9"/>
        <color rgb="FF00B0F0"/>
        <rFont val="Calibri"/>
        <family val="2"/>
        <scheme val="minor"/>
      </rPr>
      <t>$0.0125/gal</t>
    </r>
    <r>
      <rPr>
        <sz val="9"/>
        <rFont val="Calibri"/>
        <family val="2"/>
        <scheme val="minor"/>
      </rPr>
      <t xml:space="preserve"> on all motor fuels.</t>
    </r>
    <r>
      <rPr>
        <sz val="9"/>
        <color theme="8"/>
        <rFont val="Calibri"/>
        <family val="2"/>
        <scheme val="minor"/>
      </rPr>
      <t xml:space="preserve"> </t>
    </r>
    <r>
      <rPr>
        <sz val="9"/>
        <color rgb="FF00B0F0"/>
        <rFont val="Calibri"/>
        <family val="2"/>
        <scheme val="minor"/>
      </rPr>
      <t>Bridge and Tunnel Impact fee, effective 7/1/22-3/31/23: $0.02/gal on diesel fuel only</t>
    </r>
    <r>
      <rPr>
        <sz val="9"/>
        <rFont val="Calibri"/>
        <family val="2"/>
        <scheme val="minor"/>
      </rPr>
      <t>.</t>
    </r>
  </si>
  <si>
    <r>
      <t xml:space="preserve">Petroleum Products Gross Earnings tax (PPGET): 8.1% on first sale of gasoline in the state. The varible rate portion for diesel fuel: </t>
    </r>
    <r>
      <rPr>
        <sz val="9"/>
        <color rgb="FF00B0F0"/>
        <rFont val="Calibri"/>
        <family val="2"/>
        <scheme val="minor"/>
      </rPr>
      <t>$0.139/gal</t>
    </r>
    <r>
      <rPr>
        <sz val="9"/>
        <rFont val="Calibri"/>
        <family val="2"/>
        <scheme val="minor"/>
      </rPr>
      <t xml:space="preserve"> as of 7/1/22 (calculated as 8.1% of the average wholesale price for a 12-month period ending by June 15 each year). PPGET does not apply to products to be used as heating fuels or bunker fuels.</t>
    </r>
    <r>
      <rPr>
        <b/>
        <sz val="9"/>
        <rFont val="Calibri"/>
        <family val="2"/>
        <scheme val="minor"/>
      </rPr>
      <t xml:space="preserve"> </t>
    </r>
    <r>
      <rPr>
        <b/>
        <sz val="9"/>
        <color rgb="FF00B0F0"/>
        <rFont val="Calibri"/>
        <family val="2"/>
        <scheme val="minor"/>
      </rPr>
      <t xml:space="preserve">The State tax on gasoline (only) was suspended from 4/1/2022 to </t>
    </r>
    <r>
      <rPr>
        <b/>
        <strike/>
        <sz val="9"/>
        <color rgb="FF00B0F0"/>
        <rFont val="Calibri"/>
        <family val="2"/>
        <scheme val="minor"/>
      </rPr>
      <t>6/30/2022</t>
    </r>
    <r>
      <rPr>
        <b/>
        <sz val="9"/>
        <color rgb="FF00B0F0"/>
        <rFont val="Calibri"/>
        <family val="2"/>
        <scheme val="minor"/>
      </rPr>
      <t xml:space="preserve"> </t>
    </r>
    <r>
      <rPr>
        <b/>
        <sz val="9"/>
        <color rgb="FFFF0000"/>
        <rFont val="Calibri"/>
        <family val="2"/>
        <scheme val="minor"/>
      </rPr>
      <t>12/31/2022</t>
    </r>
    <r>
      <rPr>
        <sz val="9"/>
        <rFont val="Calibri"/>
        <family val="2"/>
        <scheme val="minor"/>
      </rPr>
      <t>.</t>
    </r>
  </si>
  <si>
    <r>
      <t xml:space="preserve">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r>
    <r>
      <rPr>
        <sz val="9"/>
        <color theme="8"/>
        <rFont val="Calibri"/>
        <family val="2"/>
        <scheme val="minor"/>
      </rPr>
      <t xml:space="preserve"> </t>
    </r>
    <r>
      <rPr>
        <sz val="9"/>
        <color rgb="FF00B0F0"/>
        <rFont val="Calibri"/>
        <family val="2"/>
        <scheme val="minor"/>
      </rPr>
      <t xml:space="preserve">The Florida Motor Fuel Tax Relief Act of 2022, </t>
    </r>
    <r>
      <rPr>
        <b/>
        <sz val="9"/>
        <color rgb="FF00B0F0"/>
        <rFont val="Calibri"/>
        <family val="2"/>
        <scheme val="minor"/>
      </rPr>
      <t>effective 10/1/2022 to 10/31/2022</t>
    </r>
    <r>
      <rPr>
        <sz val="9"/>
        <color rgb="FF00B0F0"/>
        <rFont val="Calibri"/>
        <family val="2"/>
        <scheme val="minor"/>
      </rPr>
      <t>, reduces or suspends several components of the total tax on gasoline (does not apply to diesel fuel).</t>
    </r>
  </si>
  <si>
    <r>
      <t xml:space="preserve">Georgia Underground Storage Tank (GUST) fee on petro products: $0.0075/gal.  The average retail price used for the Prepaid Local Tax (TSPLOST) changed as of 1/1/16; for more information, see https://dor.georgia.gov/motor-fuel-rates. </t>
    </r>
    <r>
      <rPr>
        <b/>
        <sz val="9"/>
        <color rgb="FF00B0F0"/>
        <rFont val="Calibri"/>
        <family val="2"/>
        <scheme val="minor"/>
      </rPr>
      <t xml:space="preserve">Suspension of state motor fuel excise tax on all taxable fuels, effective 3/1/2022 and currently extended through </t>
    </r>
    <r>
      <rPr>
        <b/>
        <strike/>
        <sz val="9"/>
        <color rgb="FF00B0F0"/>
        <rFont val="Calibri"/>
        <family val="2"/>
        <scheme val="minor"/>
      </rPr>
      <t>8/13/2022</t>
    </r>
    <r>
      <rPr>
        <b/>
        <sz val="9"/>
        <color rgb="FF00B0F0"/>
        <rFont val="Calibri"/>
        <family val="2"/>
        <scheme val="minor"/>
      </rPr>
      <t xml:space="preserve"> </t>
    </r>
    <r>
      <rPr>
        <b/>
        <sz val="9"/>
        <color rgb="FFFF0000"/>
        <rFont val="Calibri"/>
        <family val="2"/>
        <scheme val="minor"/>
      </rPr>
      <t>1/10/2023</t>
    </r>
    <r>
      <rPr>
        <b/>
        <sz val="9"/>
        <color rgb="FF00B0F0"/>
        <rFont val="Calibri"/>
        <family val="2"/>
        <scheme val="minor"/>
      </rPr>
      <t xml:space="preserve">. </t>
    </r>
    <r>
      <rPr>
        <sz val="9"/>
        <color rgb="FF00B0F0"/>
        <rFont val="Calibri"/>
        <family val="2"/>
        <scheme val="minor"/>
      </rPr>
      <t>The suspension does not apply to local  sales or use taxes.</t>
    </r>
  </si>
  <si>
    <r>
      <t xml:space="preserve">"Part B", mandatory prepaid sales tax, aka "Tax Prepayment by Motor Fuel Retailers" (sales tax is 6.25%): </t>
    </r>
    <r>
      <rPr>
        <sz val="9"/>
        <color rgb="FF00B0F0"/>
        <rFont val="Calibri"/>
        <family val="2"/>
        <scheme val="minor"/>
      </rPr>
      <t>$0.23/ga</t>
    </r>
    <r>
      <rPr>
        <sz val="9"/>
        <color theme="8"/>
        <rFont val="Calibri"/>
        <family val="2"/>
        <scheme val="minor"/>
      </rPr>
      <t>l</t>
    </r>
    <r>
      <rPr>
        <sz val="9"/>
        <rFont val="Calibri"/>
        <family val="2"/>
        <scheme val="minor"/>
      </rPr>
      <t xml:space="preserve"> for gasoline, gasohol, and diesel. For biodiesel (1 to 10% blends), the prepaid rate is </t>
    </r>
    <r>
      <rPr>
        <sz val="9"/>
        <color rgb="FF00B0F0"/>
        <rFont val="Calibri"/>
        <family val="2"/>
        <scheme val="minor"/>
      </rPr>
      <t>$0.23/gal</t>
    </r>
    <r>
      <rPr>
        <sz val="9"/>
        <rFont val="Calibri"/>
        <family val="2"/>
        <scheme val="minor"/>
      </rPr>
      <t xml:space="preserve">.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</si>
  <si>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$0.291/gal,</t>
    </r>
    <r>
      <rPr>
        <sz val="9"/>
        <rFont val="Calibri"/>
        <family val="2"/>
        <scheme val="minor"/>
      </rPr>
      <t xml:space="preserve"> as of 7/1/22.  A 7% sales tax on diesel fuel no longer applies. Oil Inspection fee: $0.01/gal.  </t>
    </r>
  </si>
  <si>
    <t>Petroleum Storage Tank Environmental Assurance Fee: $0.014/gal.  Rates are calculated quarterly on the average wholesale price of fuel.  Beginning July 1, 2016, rates are calculated and adjusted on an annual basis.</t>
  </si>
  <si>
    <r>
      <t xml:space="preserve">CPI component </t>
    </r>
    <r>
      <rPr>
        <sz val="9"/>
        <color rgb="FF00B0F0"/>
        <rFont val="Calibri"/>
        <family val="2"/>
        <scheme val="minor"/>
      </rPr>
      <t>$0.054/gal</t>
    </r>
    <r>
      <rPr>
        <sz val="9"/>
        <rFont val="Calibri"/>
        <family val="2"/>
        <scheme val="minor"/>
      </rPr>
      <t xml:space="preserve"> as of 7/1/22, Sales and Use Tax Equivalent rate (SUTE) component </t>
    </r>
    <r>
      <rPr>
        <sz val="9"/>
        <color rgb="FF00B0F0"/>
        <rFont val="Calibri"/>
        <family val="2"/>
        <scheme val="minor"/>
      </rPr>
      <t>$0.138/gal</t>
    </r>
    <r>
      <rPr>
        <sz val="9"/>
        <rFont val="Calibri"/>
        <family val="2"/>
        <scheme val="minor"/>
      </rPr>
      <t xml:space="preserve"> as of 7/1/22. Oil transfer Fee: $0.08 per barrel ($0.0019/gal) of oil transferred into the State. </t>
    </r>
    <r>
      <rPr>
        <b/>
        <sz val="9"/>
        <color rgb="FF00B0F0"/>
        <rFont val="Calibri"/>
        <family val="2"/>
        <scheme val="minor"/>
      </rPr>
      <t>The tax on motor fuels was suspended for 30 days, from March 18, 2022 to April 16, 2022</t>
    </r>
    <r>
      <rPr>
        <sz val="9"/>
        <rFont val="Calibri"/>
        <family val="2"/>
        <scheme val="minor"/>
      </rPr>
      <t>.</t>
    </r>
  </si>
  <si>
    <r>
      <t>Underground Storage Tank Petroleum Product Cleanup Fund Delivery fee: $286.01 per 10k load ($0.028601/gal).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</si>
  <si>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2022 Prepaid Sales Tax rates on fuels: gasoline </t>
    </r>
    <r>
      <rPr>
        <sz val="9"/>
        <color rgb="FF00B0F0"/>
        <rFont val="Calibri"/>
        <family val="2"/>
        <scheme val="minor"/>
      </rPr>
      <t>$0.235/gal</t>
    </r>
    <r>
      <rPr>
        <sz val="9"/>
        <rFont val="Calibri"/>
        <family val="2"/>
        <scheme val="minor"/>
      </rPr>
      <t xml:space="preserve">; diesel fuel </t>
    </r>
    <r>
      <rPr>
        <sz val="9"/>
        <color rgb="FF00B0F0"/>
        <rFont val="Calibri"/>
        <family val="2"/>
        <scheme val="minor"/>
      </rPr>
      <t>$0.280/gal</t>
    </r>
    <r>
      <rPr>
        <sz val="9"/>
        <rFont val="Calibri"/>
        <family val="2"/>
        <scheme val="minor"/>
      </rPr>
      <t xml:space="preserve">.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</si>
  <si>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t>Petroleum Tank Release Cleanup Fee (in effect February - May 2022): $20 per 1,000 gallons ($0.02/gal). Inspection fee: $1 for every 1,000 gallons received ($0.001/gal).</t>
  </si>
  <si>
    <t>Petroleum Inspection fee: $0.035 per 50 gallons ($0.0007/gal); Transport Load Fee $28.00 per 8,000 gallons ($0.0035/gal).</t>
  </si>
  <si>
    <t>Petroleum Products Gross Receipts Tax - requires quarterly adjustment. As of 1/1/22: $0.319/gal for gasoline, $0.359/gal for diesel fuel.  Spill Compensation and Control Act: $0.023  per barrel ($0.0005/gal) on all petroleum products.</t>
  </si>
  <si>
    <r>
      <t xml:space="preserve">Petroleum Business Tax (13-A) - requires annual adjustment (January 1, 2022: gasoline $0.173/gal, diesel $0.1555/gal).  Petroleum Testing Fee (gasoline): $0.0005/gal. </t>
    </r>
    <r>
      <rPr>
        <strike/>
        <sz val="9"/>
        <color theme="8"/>
        <rFont val="Calibri"/>
        <family val="2"/>
        <scheme val="minor"/>
      </rPr>
      <t xml:space="preserve"> </t>
    </r>
    <r>
      <rPr>
        <strike/>
        <sz val="9"/>
        <color rgb="FF00B0F0"/>
        <rFont val="Calibri"/>
        <family val="2"/>
        <scheme val="minor"/>
      </rPr>
      <t>Additional sales taxes apply: State Sales Tax: $0.08/gal ($0.0875/gal in the Metropolitan Commuter Transportation District (MCTD))</t>
    </r>
    <r>
      <rPr>
        <sz val="9"/>
        <color rgb="FF00B0F0"/>
        <rFont val="Calibri"/>
        <family val="2"/>
        <scheme val="minor"/>
      </rPr>
      <t xml:space="preserve">; </t>
    </r>
    <r>
      <rPr>
        <sz val="9"/>
        <rFont val="Calibri"/>
        <family val="2"/>
        <scheme val="minor"/>
      </rPr>
      <t xml:space="preserve">local sales taxes also apply (some counties levy this in a cents-per-gallon manner.) </t>
    </r>
    <r>
      <rPr>
        <sz val="9"/>
        <color rgb="FF00B0F0"/>
        <rFont val="Calibri"/>
        <family val="2"/>
        <scheme val="minor"/>
      </rPr>
      <t xml:space="preserve"> </t>
    </r>
    <r>
      <rPr>
        <strike/>
        <sz val="9"/>
        <color rgb="FF00B0F0"/>
        <rFont val="Calibri"/>
        <family val="2"/>
        <scheme val="minor"/>
      </rPr>
      <t>Prepaid Sales Tax rates (see Publication 790, "Chart for Prepayment of Sales Tax on Motor Fuels'): $0.180/gal, $0.180/gal, $0.170/gal for Regions 1, 2, 3, respectively.</t>
    </r>
    <r>
      <rPr>
        <sz val="9"/>
        <color rgb="FF00B0F0"/>
        <rFont val="Calibri"/>
        <family val="2"/>
        <scheme val="minor"/>
      </rPr>
      <t xml:space="preserve">   </t>
    </r>
    <r>
      <rPr>
        <sz val="9"/>
        <rFont val="Calibri"/>
        <family val="2"/>
        <scheme val="minor"/>
      </rPr>
      <t xml:space="preserve">Oil Spill Prevention, Control, and Compensation License fee: $0.0925/bbl plus a surcharge of $0.0425/bbl, all petroleum products ($0.003274/gal). </t>
    </r>
    <r>
      <rPr>
        <sz val="9"/>
        <color rgb="FF00B0F0"/>
        <rFont val="Calibri"/>
        <family val="2"/>
        <scheme val="minor"/>
      </rPr>
      <t>Several state taxes applied to motor fuel/gasoline and on-highway diesel fuel are suspended,</t>
    </r>
    <r>
      <rPr>
        <b/>
        <sz val="9"/>
        <color rgb="FF00B0F0"/>
        <rFont val="Calibri"/>
        <family val="2"/>
        <scheme val="minor"/>
      </rPr>
      <t xml:space="preserve"> effective 6/1/2022 through 12/31/2022</t>
    </r>
    <r>
      <rPr>
        <sz val="9"/>
        <color rgb="FF00B0F0"/>
        <rFont val="Calibri"/>
        <family val="2"/>
        <scheme val="minor"/>
      </rPr>
      <t>: $0.08/gal state excise tax (Article 12-A), the prepaid sales tax, and state sales and use taxes, and the additional $0.0075 state sales and use tax imposed in the Metropolitan Commuter Transportation District (MCTD)</t>
    </r>
    <r>
      <rPr>
        <sz val="9"/>
        <rFont val="Calibri"/>
        <family val="2"/>
        <scheme val="minor"/>
      </rPr>
      <t>.</t>
    </r>
  </si>
  <si>
    <r>
      <t xml:space="preserve">A variable rate is calculated annually and replaced the OCS and Liquid Fuels Tax (see PA Bulletin for updated rate info).  Underground Storage Tank (UST) Fund fee </t>
    </r>
    <r>
      <rPr>
        <sz val="9"/>
        <color rgb="FF00B0F0"/>
        <rFont val="Calibri"/>
        <family val="2"/>
        <scheme val="minor"/>
      </rPr>
      <t>(applies only to gasoline and diesel fuel into tanks at farms</t>
    </r>
    <r>
      <rPr>
        <sz val="9"/>
        <rFont val="Calibri"/>
        <family val="2"/>
        <scheme val="minor"/>
      </rPr>
      <t xml:space="preserve">: $0.011/gal. Most </t>
    </r>
    <r>
      <rPr>
        <sz val="9"/>
        <color rgb="FF00B0F0"/>
        <rFont val="Calibri"/>
        <family val="2"/>
        <scheme val="minor"/>
      </rPr>
      <t xml:space="preserve">diesel fuel subject to the tank </t>
    </r>
    <r>
      <rPr>
        <b/>
        <sz val="9"/>
        <color rgb="FF00B0F0"/>
        <rFont val="Calibri"/>
        <family val="2"/>
        <scheme val="minor"/>
      </rPr>
      <t>Capacity fee</t>
    </r>
    <r>
      <rPr>
        <sz val="9"/>
        <color rgb="FF00B0F0"/>
        <rFont val="Calibri"/>
        <family val="2"/>
        <scheme val="minor"/>
      </rPr>
      <t>: $0.0825/gal of UST capacity</t>
    </r>
    <r>
      <rPr>
        <b/>
        <sz val="9"/>
        <color rgb="FF00B0F0"/>
        <rFont val="Calibri"/>
        <family val="2"/>
        <scheme val="minor"/>
      </rPr>
      <t xml:space="preserve">, </t>
    </r>
    <r>
      <rPr>
        <sz val="9"/>
        <color rgb="FF00B0F0"/>
        <rFont val="Calibri"/>
        <family val="2"/>
        <scheme val="minor"/>
      </rPr>
      <t>paid annually</t>
    </r>
    <r>
      <rPr>
        <sz val="9"/>
        <rFont val="Calibri"/>
        <family val="2"/>
        <scheme val="minor"/>
      </rPr>
      <t>. See PA Insurance Dept, Bureau of Special Funds, USTIF for UST fees.</t>
    </r>
  </si>
  <si>
    <t>Environmental Protection Regulatory fee (EPRF): $0.01/gal. Uniform Oil Response and Prevention fee: $0.05 cents per barrel ($0.0012/gal).</t>
  </si>
  <si>
    <r>
      <t>Petroleum Distributor fee: $0.01/gal. Motor Fuel Transportation Infrastructure Assessment (MFTIA) fee: gasoline</t>
    </r>
    <r>
      <rPr>
        <sz val="9"/>
        <color theme="8"/>
        <rFont val="Calibri"/>
        <family val="2"/>
        <scheme val="minor"/>
      </rPr>
      <t xml:space="preserve"> </t>
    </r>
    <r>
      <rPr>
        <sz val="9"/>
        <color rgb="FF00B0F0"/>
        <rFont val="Calibri"/>
        <family val="2"/>
        <scheme val="minor"/>
      </rPr>
      <t>$0.0795/gal</t>
    </r>
    <r>
      <rPr>
        <sz val="9"/>
        <rFont val="Calibri"/>
        <family val="2"/>
        <scheme val="minor"/>
      </rPr>
      <t xml:space="preserve">; diesel $0.03/gal. Motor Fuel Tax Assessment (MFTA) applies to gasoline only: </t>
    </r>
    <r>
      <rPr>
        <sz val="9"/>
        <color rgb="FF00B0F0"/>
        <rFont val="Calibri"/>
        <family val="2"/>
        <scheme val="minor"/>
      </rPr>
      <t>$0.1591/gal</t>
    </r>
    <r>
      <rPr>
        <sz val="9"/>
        <rFont val="Calibri"/>
        <family val="2"/>
        <scheme val="minor"/>
      </rPr>
      <t>.</t>
    </r>
  </si>
  <si>
    <r>
      <t xml:space="preserve">Storage tank fee: </t>
    </r>
    <r>
      <rPr>
        <sz val="9"/>
        <color rgb="FF00B0F0"/>
        <rFont val="Calibri"/>
        <family val="2"/>
        <scheme val="minor"/>
      </rPr>
      <t>$0.006/gal</t>
    </r>
    <r>
      <rPr>
        <sz val="9"/>
        <color theme="8"/>
        <rFont val="Calibri"/>
        <family val="2"/>
        <scheme val="minor"/>
      </rPr>
      <t>.</t>
    </r>
    <r>
      <rPr>
        <sz val="9"/>
        <rFont val="Calibri"/>
        <family val="2"/>
        <scheme val="minor"/>
      </rPr>
      <t xml:space="preserve"> The Motor Vehicle Fuels Sales Tax (MVFST) (aka, Wholesale Sales Tax (WH)) rates: gasoline</t>
    </r>
    <r>
      <rPr>
        <sz val="9"/>
        <color theme="8"/>
        <rFont val="Calibri"/>
        <family val="2"/>
        <scheme val="minor"/>
      </rPr>
      <t xml:space="preserve"> </t>
    </r>
    <r>
      <rPr>
        <sz val="9"/>
        <color rgb="FF00B0F0"/>
        <rFont val="Calibri"/>
        <family val="2"/>
        <scheme val="minor"/>
      </rPr>
      <t>$0.082/gal</t>
    </r>
    <r>
      <rPr>
        <sz val="9"/>
        <rFont val="Calibri"/>
        <family val="2"/>
        <scheme val="minor"/>
      </rPr>
      <t xml:space="preserve">, diesel </t>
    </r>
    <r>
      <rPr>
        <sz val="9"/>
        <color rgb="FF00B0F0"/>
        <rFont val="Calibri"/>
        <family val="2"/>
        <scheme val="minor"/>
      </rPr>
      <t>$0.083/gal</t>
    </r>
    <r>
      <rPr>
        <sz val="9"/>
        <color theme="8"/>
        <rFont val="Calibri"/>
        <family val="2"/>
        <scheme val="minor"/>
      </rPr>
      <t>.</t>
    </r>
    <r>
      <rPr>
        <sz val="9"/>
        <rFont val="Calibri"/>
        <family val="2"/>
        <scheme val="minor"/>
      </rPr>
      <t xml:space="preserve"> </t>
    </r>
  </si>
  <si>
    <r>
      <t xml:space="preserve">Oil Spill Administration Tax: $0.04 per barrel ($0.0009523/gal). Oil Spill Response tax: $0.01/bbl ($0.000238/gal). Hazardous Substance tax on petroleum products that can be measured on per-barrel basis: </t>
    </r>
    <r>
      <rPr>
        <sz val="9"/>
        <color rgb="FF00B0F0"/>
        <rFont val="Calibri"/>
        <family val="2"/>
        <scheme val="minor"/>
      </rPr>
      <t>$1.20/bbl ($0.0286/gal)</t>
    </r>
    <r>
      <rPr>
        <sz val="9"/>
        <rFont val="Calibri"/>
        <family val="2"/>
        <scheme val="minor"/>
      </rPr>
      <t xml:space="preserve">.  "Border Zone Area Motor Fuel Tax" $0.01/gal in counties bordering Canada. Petroleum Products Tax (PPT) reinstated as of 1/1/20: rate is based on the wholesale value of the petroleum product multiplied by .0015. </t>
    </r>
  </si>
  <si>
    <t xml:space="preserve">Excise tax $0.205/gal, Consumers Sales and Service Tax: $0.152/gal. </t>
  </si>
  <si>
    <t>2022 rank</t>
  </si>
  <si>
    <t>2023 rank</t>
  </si>
  <si>
    <t>2022 Total State Diesel Tax</t>
  </si>
  <si>
    <t>2023 Total State Diesel Tax</t>
  </si>
  <si>
    <t>2022 Rank</t>
  </si>
  <si>
    <t>2023 Rank</t>
  </si>
  <si>
    <t>Change in rank</t>
  </si>
  <si>
    <t>Change in rate ($)</t>
  </si>
  <si>
    <t>CT: https://portal.ct.gov/DRS/Businesses/Highway-Use-Fee/HUF</t>
  </si>
  <si>
    <t xml:space="preserve">NOTE: </t>
  </si>
  <si>
    <t xml:space="preserve">The data used for the 2023 comparison is different from previous years. The previous data (API) was unavailable at the time of the analysis. This comparison uses two years of EIA data to make meaningful comparisons between diesel rates.  </t>
  </si>
  <si>
    <t>Highway Use Fee: Implemented Jan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</si>
</sst>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quot;#,##0"/>
    <numFmt numFmtId="167" formatCode="&quot;$&quot;#,##0.0000;[Red]&quot;$&quot;#,##0.0000"/>
    <numFmt numFmtId="168" formatCode="&quot;$&quot;#,##0.000_);[Red]\(&quot;$&quot;#,##0.000\)"/>
    <numFmt numFmtId="169" formatCode="_(&quot;$&quot;* #,##0.0000_);_(&quot;$&quot;* \(#,##0.0000\);_(&quot;$&quot;* &quot;-&quot;??_);_(@_)"/>
    <numFmt numFmtId="170" formatCode="_(&quot;$&quot;* #,##0.00000_);_(&quot;$&quot;* \(#,##0.00000\);_(&quot;$&quot;* &quot;-&quot;??_);_(@_)"/>
    <numFmt numFmtId="171" formatCode="mm/yyyy"/>
    <numFmt numFmtId="172" formatCode="_(* #,##0.000000_);_(* \(#,##0.000000\);_(* &quot;-&quot;??_);_(@_)"/>
    <numFmt numFmtId="173" formatCode="0.0000%"/>
    <numFmt numFmtId="174" formatCode="0.####"/>
    <numFmt numFmtId="175" formatCode="\(0.####\)"/>
  </numFmts>
  <fonts count="50"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name val="Arial"/>
      <family val="2"/>
    </font>
    <font>
      <b/>
      <sz val="11"/>
      <name val="Arial"/>
      <family val="2"/>
    </font>
    <font>
      <sz val="11"/>
      <name val="Arial"/>
      <family val="2"/>
    </font>
    <font>
      <sz val="11"/>
      <name val="Arial"/>
      <family val="2"/>
    </font>
    <font>
      <u/>
      <sz val="8"/>
      <name val="Arial"/>
      <family val="2"/>
    </font>
    <font>
      <i/>
      <sz val="8"/>
      <name val="Arial"/>
      <family val="2"/>
    </font>
    <font>
      <sz val="10"/>
      <color indexed="9"/>
      <name val="Arial"/>
      <family val="2"/>
    </font>
    <font>
      <vertAlign val="superscript"/>
      <sz val="10"/>
      <name val="Arial"/>
      <family val="2"/>
    </font>
    <font>
      <u/>
      <sz val="10"/>
      <name val="Arial"/>
      <family val="2"/>
    </font>
    <font>
      <b/>
      <u/>
      <sz val="10"/>
      <name val="Arial"/>
      <family val="2"/>
    </font>
    <font>
      <u/>
      <sz val="10"/>
      <color indexed="12"/>
      <name val="Arial"/>
      <family val="2"/>
    </font>
    <font>
      <sz val="9"/>
      <name val="Arial"/>
      <family val="2"/>
    </font>
    <font>
      <b/>
      <sz val="9"/>
      <name val="Arial"/>
      <family val="2"/>
    </font>
    <font>
      <b/>
      <sz val="12"/>
      <color indexed="57"/>
      <name val="Arial"/>
      <family val="2"/>
    </font>
    <font>
      <b/>
      <sz val="10"/>
      <color indexed="57"/>
      <name val="Arial"/>
      <family val="2"/>
    </font>
    <font>
      <b/>
      <sz val="8"/>
      <name val="Arial"/>
      <family val="2"/>
    </font>
    <font>
      <sz val="10"/>
      <name val="Courier New"/>
      <family val="3"/>
    </font>
    <font>
      <b/>
      <sz val="9"/>
      <name val="Arial"/>
      <family val="2"/>
    </font>
    <font>
      <sz val="10"/>
      <name val="MS Sans Serif"/>
    </font>
    <font>
      <sz val="10"/>
      <name val="MS Sans Serif"/>
      <family val="2"/>
    </font>
    <font>
      <sz val="9"/>
      <name val="MS Sans Serif"/>
      <family val="2"/>
    </font>
    <font>
      <sz val="9"/>
      <color indexed="81"/>
      <name val="Tahoma"/>
      <family val="2"/>
    </font>
    <font>
      <sz val="10"/>
      <name val="Arial"/>
      <family val="2"/>
    </font>
    <font>
      <sz val="9"/>
      <color theme="1"/>
      <name val="Calibri"/>
      <family val="2"/>
      <scheme val="minor"/>
    </font>
    <font>
      <sz val="8"/>
      <color rgb="FF000000"/>
      <name val="Arial"/>
      <family val="2"/>
    </font>
    <font>
      <sz val="8"/>
      <color rgb="FF000000"/>
      <name val="Arial Bold"/>
    </font>
    <font>
      <sz val="8"/>
      <color rgb="FF0016A3"/>
      <name val="Arial Bold"/>
    </font>
    <font>
      <sz val="8"/>
      <color rgb="FF0016A3"/>
      <name val="Arial"/>
      <family val="2"/>
    </font>
    <font>
      <sz val="19"/>
      <color rgb="FF0016A3"/>
      <name val="Arial"/>
      <family val="2"/>
    </font>
    <font>
      <sz val="8"/>
      <color rgb="FF000000"/>
      <name val="Calibri"/>
      <family val="2"/>
    </font>
    <font>
      <strike/>
      <sz val="9"/>
      <color indexed="81"/>
      <name val="Tahoma"/>
      <family val="2"/>
    </font>
    <font>
      <sz val="9"/>
      <name val="Calibri"/>
      <family val="2"/>
      <scheme val="minor"/>
    </font>
    <font>
      <sz val="9"/>
      <color rgb="FF00B0F0"/>
      <name val="Calibri"/>
      <family val="2"/>
      <scheme val="minor"/>
    </font>
    <font>
      <b/>
      <sz val="9"/>
      <name val="Calibri"/>
      <family val="2"/>
      <scheme val="minor"/>
    </font>
    <font>
      <b/>
      <sz val="9"/>
      <color theme="1"/>
      <name val="Calibri"/>
      <family val="2"/>
      <scheme val="minor"/>
    </font>
    <font>
      <sz val="9"/>
      <color rgb="FFFF0000"/>
      <name val="Calibri"/>
      <family val="2"/>
      <scheme val="minor"/>
    </font>
    <font>
      <sz val="9"/>
      <color theme="8"/>
      <name val="Calibri"/>
      <family val="2"/>
      <scheme val="minor"/>
    </font>
    <font>
      <b/>
      <sz val="9"/>
      <color rgb="FF00B0F0"/>
      <name val="Calibri"/>
      <family val="2"/>
      <scheme val="minor"/>
    </font>
    <font>
      <b/>
      <strike/>
      <sz val="9"/>
      <color rgb="FF00B0F0"/>
      <name val="Calibri"/>
      <family val="2"/>
      <scheme val="minor"/>
    </font>
    <font>
      <b/>
      <sz val="9"/>
      <color rgb="FFFF0000"/>
      <name val="Calibri"/>
      <family val="2"/>
      <scheme val="minor"/>
    </font>
    <font>
      <b/>
      <u/>
      <sz val="9"/>
      <name val="Calibri"/>
      <family val="2"/>
      <scheme val="minor"/>
    </font>
    <font>
      <strike/>
      <sz val="9"/>
      <color theme="8"/>
      <name val="Calibri"/>
      <family val="2"/>
      <scheme val="minor"/>
    </font>
    <font>
      <strike/>
      <sz val="9"/>
      <color rgb="FF00B0F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bottom style="dashed">
        <color theme="0" tint="-0.24994659260841701"/>
      </bottom>
      <diagonal/>
    </border>
    <border>
      <left/>
      <right/>
      <top/>
      <bottom style="thick">
        <color theme="4"/>
      </bottom>
      <diagonal/>
    </border>
    <border>
      <left/>
      <right/>
      <top style="dashed">
        <color theme="0" tint="-0.24994659260841701"/>
      </top>
      <bottom style="thin">
        <color theme="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alignment vertical="top"/>
      <protection locked="0"/>
    </xf>
    <xf numFmtId="0" fontId="25" fillId="0" borderId="0"/>
    <xf numFmtId="40" fontId="26" fillId="0" borderId="0" applyFont="0" applyFill="0" applyBorder="0" applyAlignment="0" applyProtection="0"/>
    <xf numFmtId="9" fontId="26" fillId="0" borderId="0" applyFont="0" applyFill="0" applyBorder="0" applyAlignment="0" applyProtection="0"/>
    <xf numFmtId="0" fontId="2" fillId="0" borderId="0"/>
    <xf numFmtId="0" fontId="29" fillId="0" borderId="0"/>
    <xf numFmtId="44" fontId="3" fillId="0" borderId="0" applyFont="0" applyFill="0" applyBorder="0" applyAlignment="0" applyProtection="0"/>
    <xf numFmtId="43" fontId="3" fillId="0" borderId="0" applyFont="0" applyFill="0" applyBorder="0" applyAlignment="0" applyProtection="0"/>
    <xf numFmtId="0" fontId="30" fillId="0" borderId="35" applyNumberFormat="0" applyFont="0" applyProtection="0">
      <alignment wrapText="1"/>
    </xf>
    <xf numFmtId="0" fontId="1" fillId="0" borderId="0"/>
    <xf numFmtId="0" fontId="41" fillId="0" borderId="36" applyNumberFormat="0" applyProtection="0">
      <alignment wrapText="1"/>
    </xf>
  </cellStyleXfs>
  <cellXfs count="263">
    <xf numFmtId="0" fontId="0" fillId="0" borderId="0" xfId="0"/>
    <xf numFmtId="0" fontId="7" fillId="0" borderId="0" xfId="0" applyFont="1"/>
    <xf numFmtId="171" fontId="0" fillId="0" borderId="0" xfId="0" applyNumberFormat="1" applyAlignment="1">
      <alignment horizontal="center"/>
    </xf>
    <xf numFmtId="0" fontId="0" fillId="0" borderId="0" xfId="0" applyAlignment="1">
      <alignment horizontal="center"/>
    </xf>
    <xf numFmtId="0" fontId="20" fillId="0" borderId="0" xfId="0" applyFont="1" applyAlignment="1">
      <alignment horizontal="left"/>
    </xf>
    <xf numFmtId="44" fontId="20" fillId="0" borderId="0" xfId="0" applyNumberFormat="1" applyFont="1" applyAlignment="1">
      <alignment horizontal="left"/>
    </xf>
    <xf numFmtId="49" fontId="15" fillId="0" borderId="0" xfId="0" applyNumberFormat="1" applyFont="1"/>
    <xf numFmtId="49" fontId="0" fillId="0" borderId="0" xfId="0" applyNumberFormat="1"/>
    <xf numFmtId="0" fontId="15" fillId="0" borderId="0" xfId="0" applyFont="1"/>
    <xf numFmtId="49" fontId="7" fillId="0" borderId="0" xfId="0" applyNumberFormat="1" applyFont="1"/>
    <xf numFmtId="49" fontId="3" fillId="0" borderId="0" xfId="0" applyNumberFormat="1" applyFont="1"/>
    <xf numFmtId="49" fontId="0" fillId="0" borderId="13" xfId="0" applyNumberFormat="1" applyBorder="1"/>
    <xf numFmtId="49" fontId="6" fillId="0" borderId="0" xfId="0" applyNumberFormat="1" applyFont="1"/>
    <xf numFmtId="10" fontId="0" fillId="0" borderId="0" xfId="0" applyNumberFormat="1"/>
    <xf numFmtId="42" fontId="7" fillId="0" borderId="0" xfId="0" applyNumberFormat="1" applyFont="1"/>
    <xf numFmtId="5" fontId="6"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6" fillId="0" borderId="10" xfId="0" applyFont="1" applyBorder="1" applyAlignment="1">
      <alignment horizontal="center"/>
    </xf>
    <xf numFmtId="0" fontId="16" fillId="0" borderId="0" xfId="0" applyFont="1"/>
    <xf numFmtId="0" fontId="0" fillId="0" borderId="9" xfId="0" applyBorder="1"/>
    <xf numFmtId="0" fontId="6" fillId="0" borderId="9"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169" fontId="0" fillId="0" borderId="10" xfId="2" applyNumberFormat="1" applyFont="1" applyFill="1" applyBorder="1"/>
    <xf numFmtId="0" fontId="0" fillId="0" borderId="9" xfId="0" applyBorder="1" applyAlignment="1">
      <alignment horizontal="center"/>
    </xf>
    <xf numFmtId="170" fontId="0" fillId="0" borderId="10" xfId="2" applyNumberFormat="1" applyFont="1" applyFill="1" applyBorder="1"/>
    <xf numFmtId="0" fontId="6" fillId="0" borderId="11" xfId="0" applyFont="1" applyBorder="1"/>
    <xf numFmtId="169" fontId="6" fillId="0" borderId="12" xfId="2" applyNumberFormat="1" applyFont="1" applyFill="1" applyBorder="1"/>
    <xf numFmtId="0" fontId="0" fillId="0" borderId="0" xfId="0" applyAlignment="1">
      <alignment horizontal="left" vertical="top" wrapText="1"/>
    </xf>
    <xf numFmtId="0" fontId="0" fillId="0" borderId="0" xfId="0" applyAlignment="1">
      <alignment horizontal="center"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0" fontId="17" fillId="0" borderId="0" xfId="3" applyFill="1" applyAlignment="1" applyProtection="1"/>
    <xf numFmtId="3" fontId="23" fillId="0" borderId="0" xfId="0" applyNumberFormat="1" applyFont="1" applyAlignment="1">
      <alignment horizontal="center" vertical="top" wrapText="1"/>
    </xf>
    <xf numFmtId="172" fontId="0" fillId="0" borderId="0" xfId="0" applyNumberFormat="1"/>
    <xf numFmtId="0" fontId="14" fillId="0" borderId="0" xfId="0" applyFont="1"/>
    <xf numFmtId="43" fontId="0" fillId="0" borderId="0" xfId="1" applyFont="1" applyFill="1"/>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right"/>
    </xf>
    <xf numFmtId="164" fontId="7" fillId="0" borderId="0" xfId="0" applyNumberFormat="1" applyFont="1" applyAlignment="1">
      <alignment horizontal="center"/>
    </xf>
    <xf numFmtId="165" fontId="7" fillId="0" borderId="0" xfId="0" applyNumberFormat="1" applyFont="1" applyAlignment="1">
      <alignment horizontal="center"/>
    </xf>
    <xf numFmtId="0" fontId="7"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0" xfId="0" applyFont="1" applyAlignment="1">
      <alignment horizontal="right"/>
    </xf>
    <xf numFmtId="164" fontId="8" fillId="0" borderId="1" xfId="0" applyNumberFormat="1" applyFont="1" applyBorder="1"/>
    <xf numFmtId="164" fontId="8" fillId="0" borderId="2" xfId="0" applyNumberFormat="1" applyFont="1" applyBorder="1"/>
    <xf numFmtId="164" fontId="8" fillId="0" borderId="0" xfId="0" applyNumberFormat="1" applyFont="1" applyAlignment="1">
      <alignment horizontal="center"/>
    </xf>
    <xf numFmtId="0" fontId="8" fillId="0" borderId="0" xfId="0" applyFont="1"/>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64" fontId="8" fillId="0" borderId="5" xfId="0" applyNumberFormat="1" applyFont="1" applyBorder="1" applyAlignment="1">
      <alignment horizontal="center"/>
    </xf>
    <xf numFmtId="165" fontId="8" fillId="0" borderId="0" xfId="0" applyNumberFormat="1" applyFont="1" applyAlignment="1">
      <alignment horizontal="center"/>
    </xf>
    <xf numFmtId="0" fontId="8" fillId="0" borderId="0" xfId="0" applyFont="1" applyAlignment="1">
      <alignment horizontal="center"/>
    </xf>
    <xf numFmtId="0" fontId="9" fillId="0" borderId="1" xfId="0" applyFont="1" applyBorder="1"/>
    <xf numFmtId="166" fontId="10" fillId="0" borderId="0" xfId="2" applyNumberFormat="1" applyFont="1" applyFill="1" applyBorder="1" applyAlignment="1">
      <alignment horizontal="right"/>
    </xf>
    <xf numFmtId="1" fontId="10" fillId="0" borderId="3" xfId="1" applyNumberFormat="1" applyFont="1" applyFill="1" applyBorder="1" applyAlignment="1">
      <alignment horizontal="center"/>
    </xf>
    <xf numFmtId="0" fontId="9" fillId="0" borderId="0" xfId="0" applyFont="1"/>
    <xf numFmtId="0" fontId="9" fillId="0" borderId="7" xfId="0" applyFont="1" applyBorder="1"/>
    <xf numFmtId="167" fontId="9" fillId="0" borderId="0" xfId="0" applyNumberFormat="1" applyFont="1" applyAlignment="1">
      <alignment horizontal="center"/>
    </xf>
    <xf numFmtId="0" fontId="9" fillId="0" borderId="8" xfId="0" applyFont="1" applyBorder="1" applyAlignment="1">
      <alignment horizontal="center"/>
    </xf>
    <xf numFmtId="0" fontId="9" fillId="0" borderId="0" xfId="0" applyFont="1" applyAlignment="1">
      <alignment horizontal="right"/>
    </xf>
    <xf numFmtId="168" fontId="10" fillId="0" borderId="2" xfId="2" applyNumberFormat="1" applyFont="1" applyFill="1" applyBorder="1" applyAlignment="1">
      <alignment horizontal="center"/>
    </xf>
    <xf numFmtId="1" fontId="10" fillId="0" borderId="0" xfId="1" applyNumberFormat="1" applyFont="1" applyFill="1" applyBorder="1" applyAlignment="1">
      <alignment horizontal="center"/>
    </xf>
    <xf numFmtId="1" fontId="10" fillId="0" borderId="8" xfId="1" applyNumberFormat="1" applyFont="1" applyFill="1" applyBorder="1" applyAlignment="1">
      <alignment horizontal="center"/>
    </xf>
    <xf numFmtId="168" fontId="10" fillId="0" borderId="0" xfId="2" applyNumberFormat="1" applyFont="1" applyFill="1" applyBorder="1" applyAlignment="1">
      <alignment horizontal="center"/>
    </xf>
    <xf numFmtId="0" fontId="8" fillId="0" borderId="7" xfId="0" applyFont="1" applyBorder="1"/>
    <xf numFmtId="167" fontId="8" fillId="0" borderId="0" xfId="0" applyNumberFormat="1" applyFont="1" applyAlignment="1">
      <alignment horizontal="center"/>
    </xf>
    <xf numFmtId="0" fontId="0" fillId="0" borderId="8" xfId="0" applyBorder="1" applyAlignment="1">
      <alignment horizontal="right"/>
    </xf>
    <xf numFmtId="0" fontId="4" fillId="0" borderId="7" xfId="0" applyFont="1" applyBorder="1"/>
    <xf numFmtId="0" fontId="0" fillId="0" borderId="8" xfId="0" applyBorder="1"/>
    <xf numFmtId="0" fontId="4" fillId="0" borderId="4" xfId="0" applyFont="1" applyBorder="1"/>
    <xf numFmtId="0" fontId="0" fillId="0" borderId="5" xfId="0" applyBorder="1"/>
    <xf numFmtId="0" fontId="0" fillId="0" borderId="6" xfId="0" applyBorder="1"/>
    <xf numFmtId="0" fontId="4" fillId="0" borderId="0" xfId="0" applyFont="1"/>
    <xf numFmtId="166" fontId="8" fillId="0" borderId="0" xfId="2" applyNumberFormat="1" applyFont="1" applyFill="1" applyBorder="1" applyAlignment="1">
      <alignment horizontal="right"/>
    </xf>
    <xf numFmtId="1" fontId="8" fillId="0" borderId="8" xfId="1" applyNumberFormat="1" applyFont="1" applyFill="1" applyBorder="1" applyAlignment="1">
      <alignment horizontal="center"/>
    </xf>
    <xf numFmtId="0" fontId="9" fillId="0" borderId="4" xfId="0" applyFont="1" applyBorder="1"/>
    <xf numFmtId="166" fontId="10" fillId="0" borderId="5" xfId="2" applyNumberFormat="1" applyFont="1" applyFill="1" applyBorder="1" applyAlignment="1">
      <alignment horizontal="right"/>
    </xf>
    <xf numFmtId="1" fontId="10" fillId="0" borderId="6" xfId="1" applyNumberFormat="1" applyFont="1" applyFill="1" applyBorder="1" applyAlignment="1">
      <alignment horizontal="center"/>
    </xf>
    <xf numFmtId="168" fontId="10" fillId="0" borderId="5" xfId="2" applyNumberFormat="1"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11" fillId="0" borderId="0" xfId="0" applyFont="1"/>
    <xf numFmtId="0" fontId="12" fillId="0" borderId="0" xfId="0" applyFont="1" applyAlignment="1">
      <alignment horizontal="left"/>
    </xf>
    <xf numFmtId="0" fontId="7" fillId="0" borderId="11" xfId="0" applyFont="1" applyBorder="1" applyAlignment="1">
      <alignment horizontal="center" wrapText="1"/>
    </xf>
    <xf numFmtId="0" fontId="6" fillId="0" borderId="0" xfId="0" applyFont="1" applyAlignment="1">
      <alignment horizontal="left"/>
    </xf>
    <xf numFmtId="0" fontId="0" fillId="0" borderId="0" xfId="0" applyAlignment="1">
      <alignment wrapText="1"/>
    </xf>
    <xf numFmtId="0" fontId="17" fillId="0" borderId="2" xfId="3" applyFill="1" applyBorder="1" applyAlignment="1" applyProtection="1">
      <alignment wrapText="1"/>
    </xf>
    <xf numFmtId="0" fontId="19" fillId="0" borderId="28" xfId="0" applyFont="1" applyBorder="1" applyAlignment="1">
      <alignment horizontal="center" wrapText="1"/>
    </xf>
    <xf numFmtId="49" fontId="6" fillId="0" borderId="0" xfId="0" applyNumberFormat="1" applyFont="1" applyAlignment="1">
      <alignment horizontal="left"/>
    </xf>
    <xf numFmtId="0" fontId="7" fillId="0" borderId="13" xfId="0" applyFont="1" applyBorder="1" applyAlignment="1">
      <alignment wrapText="1"/>
    </xf>
    <xf numFmtId="0" fontId="7" fillId="0" borderId="18" xfId="0" applyFont="1" applyBorder="1" applyAlignment="1">
      <alignment wrapText="1"/>
    </xf>
    <xf numFmtId="0" fontId="6" fillId="0" borderId="20" xfId="0" applyFont="1" applyBorder="1" applyAlignment="1">
      <alignment horizontal="center" wrapText="1"/>
    </xf>
    <xf numFmtId="0" fontId="24" fillId="0" borderId="21" xfId="0" applyFont="1" applyBorder="1" applyAlignment="1">
      <alignment horizontal="center" wrapText="1"/>
    </xf>
    <xf numFmtId="0" fontId="18" fillId="0" borderId="20" xfId="0" applyFont="1" applyBorder="1" applyAlignment="1">
      <alignment wrapText="1"/>
    </xf>
    <xf numFmtId="171" fontId="18" fillId="0" borderId="22" xfId="0" applyNumberFormat="1" applyFont="1" applyBorder="1" applyAlignment="1">
      <alignment horizontal="center" wrapText="1"/>
    </xf>
    <xf numFmtId="0" fontId="20" fillId="0" borderId="0" xfId="0" applyFont="1" applyAlignment="1">
      <alignment horizontal="left" wrapText="1"/>
    </xf>
    <xf numFmtId="41" fontId="19" fillId="0" borderId="10" xfId="0" applyNumberFormat="1" applyFont="1" applyBorder="1" applyAlignment="1">
      <alignment horizontal="center" wrapText="1"/>
    </xf>
    <xf numFmtId="0" fontId="24" fillId="0" borderId="9" xfId="0" applyFont="1" applyBorder="1" applyAlignment="1">
      <alignment horizontal="center" wrapText="1"/>
    </xf>
    <xf numFmtId="0" fontId="18" fillId="0" borderId="9" xfId="0" applyFont="1" applyBorder="1" applyAlignment="1">
      <alignment wrapText="1"/>
    </xf>
    <xf numFmtId="171" fontId="18" fillId="0" borderId="24" xfId="0" applyNumberFormat="1" applyFont="1" applyBorder="1" applyAlignment="1">
      <alignment horizontal="center" wrapText="1"/>
    </xf>
    <xf numFmtId="0" fontId="17" fillId="0" borderId="0" xfId="3" applyFill="1" applyAlignment="1" applyProtection="1">
      <alignment horizontal="left" wrapText="1"/>
    </xf>
    <xf numFmtId="0" fontId="19" fillId="0" borderId="9" xfId="0" applyFont="1" applyBorder="1" applyAlignment="1">
      <alignment horizontal="center" wrapText="1"/>
    </xf>
    <xf numFmtId="171" fontId="19" fillId="0" borderId="24" xfId="0" applyNumberFormat="1" applyFont="1" applyBorder="1" applyAlignment="1">
      <alignment horizontal="center" wrapText="1"/>
    </xf>
    <xf numFmtId="0" fontId="20" fillId="0" borderId="0" xfId="0" applyFont="1" applyAlignment="1">
      <alignment horizontal="center" wrapText="1"/>
    </xf>
    <xf numFmtId="41" fontId="22" fillId="0" borderId="26" xfId="0" applyNumberFormat="1" applyFont="1" applyBorder="1" applyAlignment="1">
      <alignment wrapText="1"/>
    </xf>
    <xf numFmtId="0" fontId="24" fillId="0" borderId="27" xfId="0" applyFont="1" applyBorder="1" applyAlignment="1">
      <alignment horizontal="center" wrapText="1"/>
    </xf>
    <xf numFmtId="0" fontId="19" fillId="0" borderId="26" xfId="0" applyFont="1" applyBorder="1" applyAlignment="1">
      <alignment horizontal="center" wrapText="1"/>
    </xf>
    <xf numFmtId="0" fontId="19" fillId="0" borderId="29" xfId="0" applyFont="1" applyBorder="1" applyAlignment="1">
      <alignment horizontal="center" wrapText="1"/>
    </xf>
    <xf numFmtId="0" fontId="17" fillId="0" borderId="0" xfId="3" applyFill="1" applyAlignment="1" applyProtection="1">
      <alignment horizontal="center" wrapText="1"/>
    </xf>
    <xf numFmtId="41" fontId="7" fillId="0" borderId="10" xfId="2" applyNumberFormat="1" applyFont="1" applyFill="1" applyBorder="1" applyAlignment="1">
      <alignment wrapText="1"/>
    </xf>
    <xf numFmtId="0" fontId="7" fillId="0" borderId="10" xfId="0" applyFont="1" applyBorder="1" applyAlignment="1">
      <alignment horizontal="center" wrapText="1"/>
    </xf>
    <xf numFmtId="171" fontId="7" fillId="0" borderId="24" xfId="0" applyNumberFormat="1" applyFont="1" applyBorder="1" applyAlignment="1">
      <alignment horizontal="center" wrapText="1"/>
    </xf>
    <xf numFmtId="0" fontId="17" fillId="0" borderId="0" xfId="3" applyFill="1" applyBorder="1" applyAlignment="1" applyProtection="1">
      <alignment horizontal="left" wrapText="1"/>
    </xf>
    <xf numFmtId="0" fontId="15" fillId="0" borderId="0" xfId="3" applyFont="1" applyFill="1" applyAlignment="1" applyProtection="1">
      <alignment horizontal="left" wrapText="1"/>
    </xf>
    <xf numFmtId="0" fontId="6" fillId="0" borderId="0" xfId="0" applyFont="1" applyAlignment="1">
      <alignment horizontal="left" wrapText="1"/>
    </xf>
    <xf numFmtId="41" fontId="0" fillId="0" borderId="0" xfId="0" applyNumberFormat="1" applyAlignment="1">
      <alignment wrapText="1"/>
    </xf>
    <xf numFmtId="171" fontId="0" fillId="0" borderId="0" xfId="0" applyNumberFormat="1" applyAlignment="1">
      <alignment horizontal="center" wrapText="1"/>
    </xf>
    <xf numFmtId="44" fontId="20" fillId="0" borderId="0" xfId="2" applyFont="1" applyFill="1" applyBorder="1" applyAlignment="1">
      <alignment horizontal="left" wrapText="1"/>
    </xf>
    <xf numFmtId="41" fontId="0" fillId="0" borderId="0" xfId="0" applyNumberFormat="1"/>
    <xf numFmtId="0" fontId="6" fillId="0" borderId="0" xfId="0" applyFont="1"/>
    <xf numFmtId="0" fontId="21" fillId="0" borderId="0" xfId="0" applyFont="1" applyAlignment="1">
      <alignment horizontal="left" wrapText="1"/>
    </xf>
    <xf numFmtId="0" fontId="7" fillId="0" borderId="12" xfId="0" applyFont="1" applyBorder="1" applyAlignment="1">
      <alignment horizontal="center" wrapText="1"/>
    </xf>
    <xf numFmtId="171" fontId="7" fillId="0" borderId="31" xfId="0" applyNumberFormat="1" applyFont="1" applyBorder="1" applyAlignment="1">
      <alignment horizontal="center" wrapText="1"/>
    </xf>
    <xf numFmtId="0" fontId="7" fillId="0" borderId="16" xfId="0" applyFont="1" applyBorder="1" applyAlignment="1">
      <alignment horizontal="center" wrapText="1"/>
    </xf>
    <xf numFmtId="171" fontId="7" fillId="0" borderId="33" xfId="0" applyNumberFormat="1" applyFont="1" applyBorder="1" applyAlignment="1">
      <alignment horizontal="center" wrapText="1"/>
    </xf>
    <xf numFmtId="0" fontId="7" fillId="0" borderId="16" xfId="0" applyFont="1" applyBorder="1" applyAlignment="1" applyProtection="1">
      <alignment horizontal="center" wrapText="1"/>
      <protection locked="0"/>
    </xf>
    <xf numFmtId="165" fontId="7" fillId="0" borderId="17" xfId="0" applyNumberFormat="1" applyFont="1" applyBorder="1" applyAlignment="1" applyProtection="1">
      <alignment horizontal="center" wrapText="1"/>
      <protection locked="0"/>
    </xf>
    <xf numFmtId="165" fontId="7" fillId="0" borderId="11" xfId="0" applyNumberFormat="1" applyFont="1" applyBorder="1" applyAlignment="1">
      <alignment horizontal="center" wrapText="1"/>
    </xf>
    <xf numFmtId="165" fontId="7" fillId="0" borderId="0" xfId="0" applyNumberFormat="1" applyFont="1" applyAlignment="1">
      <alignment wrapText="1"/>
    </xf>
    <xf numFmtId="0" fontId="7" fillId="0" borderId="0" xfId="0" applyFont="1" applyAlignment="1" applyProtection="1">
      <alignment wrapText="1"/>
      <protection locked="0"/>
    </xf>
    <xf numFmtId="165" fontId="7" fillId="0" borderId="0" xfId="0" applyNumberFormat="1" applyFont="1" applyAlignment="1" applyProtection="1">
      <alignment wrapText="1"/>
      <protection locked="0"/>
    </xf>
    <xf numFmtId="0" fontId="7" fillId="0" borderId="0" xfId="0" applyFont="1" applyAlignment="1">
      <alignment horizontal="center" wrapText="1"/>
    </xf>
    <xf numFmtId="165" fontId="7" fillId="0" borderId="0" xfId="2" applyNumberFormat="1" applyFont="1" applyFill="1" applyBorder="1" applyAlignment="1">
      <alignment wrapText="1"/>
    </xf>
    <xf numFmtId="0" fontId="17" fillId="0" borderId="0" xfId="3" applyAlignment="1" applyProtection="1">
      <alignment horizontal="left" indent="2"/>
    </xf>
    <xf numFmtId="0" fontId="3" fillId="0" borderId="0" xfId="0" applyFont="1" applyAlignment="1">
      <alignment wrapText="1"/>
    </xf>
    <xf numFmtId="165" fontId="3" fillId="0" borderId="10" xfId="0" applyNumberFormat="1" applyFont="1" applyBorder="1" applyAlignment="1" applyProtection="1">
      <alignment wrapText="1"/>
      <protection locked="0"/>
    </xf>
    <xf numFmtId="0" fontId="3" fillId="0" borderId="10" xfId="0" applyFont="1" applyBorder="1" applyAlignment="1" applyProtection="1">
      <alignment wrapText="1"/>
      <protection locked="0"/>
    </xf>
    <xf numFmtId="165" fontId="3" fillId="0" borderId="15" xfId="2" applyNumberFormat="1" applyFont="1" applyFill="1" applyBorder="1" applyAlignment="1">
      <alignment wrapText="1"/>
    </xf>
    <xf numFmtId="165" fontId="3" fillId="0" borderId="34" xfId="0" applyNumberFormat="1" applyFont="1" applyBorder="1" applyAlignment="1">
      <alignment horizontal="center" wrapText="1"/>
    </xf>
    <xf numFmtId="165" fontId="7" fillId="0" borderId="14" xfId="0" applyNumberFormat="1" applyFont="1" applyBorder="1" applyAlignment="1">
      <alignment horizontal="center" wrapText="1"/>
    </xf>
    <xf numFmtId="41" fontId="3" fillId="0" borderId="10" xfId="2" applyNumberFormat="1" applyFont="1" applyFill="1" applyBorder="1" applyAlignment="1">
      <alignment wrapText="1"/>
    </xf>
    <xf numFmtId="0" fontId="3" fillId="0" borderId="9" xfId="0" applyFont="1" applyBorder="1" applyAlignment="1">
      <alignment horizontal="center" wrapText="1"/>
    </xf>
    <xf numFmtId="171" fontId="3" fillId="0" borderId="24" xfId="0" applyNumberFormat="1" applyFont="1" applyBorder="1" applyAlignment="1">
      <alignment horizontal="center" wrapText="1"/>
    </xf>
    <xf numFmtId="0" fontId="3" fillId="0" borderId="0" xfId="0" applyFont="1"/>
    <xf numFmtId="3" fontId="24" fillId="0" borderId="21" xfId="0" applyNumberFormat="1" applyFont="1" applyBorder="1" applyAlignment="1">
      <alignment horizontal="center" wrapText="1"/>
    </xf>
    <xf numFmtId="3" fontId="24" fillId="0" borderId="9" xfId="0" applyNumberFormat="1" applyFont="1" applyBorder="1" applyAlignment="1">
      <alignment horizontal="center" wrapText="1"/>
    </xf>
    <xf numFmtId="3" fontId="24" fillId="0" borderId="27" xfId="0" applyNumberFormat="1" applyFont="1" applyBorder="1" applyAlignment="1">
      <alignment horizontal="center" wrapText="1"/>
    </xf>
    <xf numFmtId="3" fontId="7" fillId="0" borderId="10" xfId="0" applyNumberFormat="1" applyFont="1" applyBorder="1" applyAlignment="1" applyProtection="1">
      <alignment wrapText="1"/>
      <protection locked="0"/>
    </xf>
    <xf numFmtId="3" fontId="7" fillId="0" borderId="10" xfId="2" applyNumberFormat="1" applyFont="1" applyFill="1" applyBorder="1" applyAlignment="1">
      <alignment wrapText="1"/>
    </xf>
    <xf numFmtId="3" fontId="7" fillId="0" borderId="12" xfId="0" applyNumberFormat="1" applyFont="1" applyBorder="1" applyAlignment="1" applyProtection="1">
      <alignment wrapText="1"/>
      <protection locked="0"/>
    </xf>
    <xf numFmtId="3" fontId="7" fillId="0" borderId="16" xfId="2" applyNumberFormat="1" applyFont="1" applyFill="1" applyBorder="1" applyAlignment="1">
      <alignment wrapText="1"/>
    </xf>
    <xf numFmtId="3" fontId="6" fillId="0" borderId="15" xfId="0" applyNumberFormat="1" applyFont="1" applyBorder="1" applyAlignment="1" applyProtection="1">
      <alignment wrapText="1"/>
      <protection locked="0"/>
    </xf>
    <xf numFmtId="3" fontId="7" fillId="0" borderId="0" xfId="0" applyNumberFormat="1" applyFont="1" applyAlignment="1">
      <alignment wrapText="1"/>
    </xf>
    <xf numFmtId="3" fontId="15" fillId="0" borderId="0" xfId="0" applyNumberFormat="1" applyFont="1"/>
    <xf numFmtId="3" fontId="7" fillId="0" borderId="0" xfId="0" applyNumberFormat="1" applyFont="1"/>
    <xf numFmtId="3" fontId="6" fillId="0" borderId="0" xfId="0" applyNumberFormat="1" applyFont="1"/>
    <xf numFmtId="165" fontId="3" fillId="0" borderId="14" xfId="2" applyNumberFormat="1" applyFont="1" applyFill="1" applyBorder="1" applyAlignment="1">
      <alignment wrapText="1"/>
    </xf>
    <xf numFmtId="3" fontId="3" fillId="0" borderId="10" xfId="0" applyNumberFormat="1" applyFont="1" applyBorder="1" applyAlignment="1" applyProtection="1">
      <alignment wrapText="1"/>
      <protection locked="0"/>
    </xf>
    <xf numFmtId="0" fontId="3" fillId="0" borderId="10" xfId="0" applyFont="1" applyBorder="1" applyAlignment="1">
      <alignment horizontal="center" wrapText="1"/>
    </xf>
    <xf numFmtId="0" fontId="3" fillId="0" borderId="0" xfId="0" applyFont="1" applyAlignment="1">
      <alignment vertical="center" wrapText="1"/>
    </xf>
    <xf numFmtId="173" fontId="27" fillId="0" borderId="0" xfId="4" applyNumberFormat="1" applyFont="1"/>
    <xf numFmtId="41" fontId="7" fillId="0" borderId="26" xfId="2" applyNumberFormat="1" applyFont="1" applyFill="1" applyBorder="1" applyAlignment="1">
      <alignment wrapText="1"/>
    </xf>
    <xf numFmtId="41" fontId="3" fillId="0" borderId="26" xfId="2" applyNumberFormat="1" applyFont="1" applyFill="1" applyBorder="1" applyAlignment="1">
      <alignment wrapText="1"/>
    </xf>
    <xf numFmtId="0" fontId="7" fillId="0" borderId="26" xfId="0" applyFont="1" applyBorder="1" applyAlignment="1">
      <alignment horizontal="center" wrapText="1"/>
    </xf>
    <xf numFmtId="0" fontId="7" fillId="0" borderId="5" xfId="0" applyFont="1" applyBorder="1" applyAlignment="1">
      <alignment wrapText="1"/>
    </xf>
    <xf numFmtId="171" fontId="7" fillId="0" borderId="29" xfId="0" applyNumberFormat="1" applyFont="1" applyBorder="1" applyAlignment="1">
      <alignment horizontal="center" wrapText="1"/>
    </xf>
    <xf numFmtId="44" fontId="21" fillId="0" borderId="0" xfId="2" applyFont="1" applyFill="1" applyBorder="1" applyAlignment="1">
      <alignment horizontal="left" wrapText="1"/>
    </xf>
    <xf numFmtId="0" fontId="6" fillId="0" borderId="14" xfId="0" applyFont="1" applyBorder="1"/>
    <xf numFmtId="0" fontId="3" fillId="0" borderId="0" xfId="0" applyFont="1" applyAlignment="1">
      <alignment horizontal="left" wrapText="1"/>
    </xf>
    <xf numFmtId="0" fontId="1" fillId="0" borderId="0" xfId="12"/>
    <xf numFmtId="49" fontId="31" fillId="0" borderId="0" xfId="12" applyNumberFormat="1" applyFont="1"/>
    <xf numFmtId="49" fontId="32" fillId="0" borderId="0" xfId="12" applyNumberFormat="1" applyFont="1"/>
    <xf numFmtId="0" fontId="32" fillId="0" borderId="0" xfId="12" applyFont="1"/>
    <xf numFmtId="2" fontId="31" fillId="0" borderId="0" xfId="12" applyNumberFormat="1" applyFont="1"/>
    <xf numFmtId="49" fontId="33" fillId="0" borderId="0" xfId="12" applyNumberFormat="1" applyFont="1"/>
    <xf numFmtId="49" fontId="34" fillId="0" borderId="0" xfId="12" applyNumberFormat="1" applyFont="1"/>
    <xf numFmtId="49" fontId="35" fillId="0" borderId="0" xfId="12" applyNumberFormat="1" applyFont="1"/>
    <xf numFmtId="0" fontId="6" fillId="0" borderId="9" xfId="0" applyFont="1" applyBorder="1" applyAlignment="1">
      <alignment horizontal="center" wrapText="1"/>
    </xf>
    <xf numFmtId="0" fontId="6" fillId="0" borderId="17" xfId="0" applyFont="1" applyBorder="1" applyAlignment="1">
      <alignment horizontal="center" wrapText="1"/>
    </xf>
    <xf numFmtId="41" fontId="3" fillId="0" borderId="12" xfId="2" applyNumberFormat="1" applyFont="1" applyFill="1" applyBorder="1" applyAlignment="1">
      <alignment wrapText="1"/>
    </xf>
    <xf numFmtId="41" fontId="3" fillId="0" borderId="16" xfId="2" applyNumberFormat="1" applyFont="1" applyFill="1" applyBorder="1" applyAlignment="1">
      <alignment wrapText="1"/>
    </xf>
    <xf numFmtId="3" fontId="3" fillId="0" borderId="10" xfId="2" applyNumberFormat="1" applyFont="1" applyFill="1" applyBorder="1" applyAlignment="1">
      <alignment wrapText="1"/>
    </xf>
    <xf numFmtId="49" fontId="3" fillId="2" borderId="0" xfId="0" applyNumberFormat="1" applyFont="1" applyFill="1" applyAlignment="1">
      <alignment horizontal="center"/>
    </xf>
    <xf numFmtId="0" fontId="6" fillId="0" borderId="11" xfId="0" applyFont="1" applyBorder="1" applyAlignment="1">
      <alignment horizontal="center" wrapText="1"/>
    </xf>
    <xf numFmtId="0" fontId="6" fillId="0" borderId="12" xfId="0" applyFont="1" applyBorder="1" applyAlignment="1" applyProtection="1">
      <alignment horizontal="center" wrapText="1"/>
      <protection locked="0"/>
    </xf>
    <xf numFmtId="0" fontId="3" fillId="0" borderId="12" xfId="0" applyFont="1" applyBorder="1" applyAlignment="1" applyProtection="1">
      <alignment wrapText="1"/>
      <protection locked="0"/>
    </xf>
    <xf numFmtId="165" fontId="3" fillId="0" borderId="12" xfId="0" applyNumberFormat="1" applyFont="1" applyBorder="1" applyAlignment="1" applyProtection="1">
      <alignment wrapText="1"/>
      <protection locked="0"/>
    </xf>
    <xf numFmtId="0" fontId="3" fillId="0" borderId="16" xfId="0" applyFont="1" applyBorder="1" applyAlignment="1" applyProtection="1">
      <alignment wrapText="1"/>
      <protection locked="0"/>
    </xf>
    <xf numFmtId="165" fontId="3" fillId="0" borderId="16" xfId="0" applyNumberFormat="1" applyFont="1" applyBorder="1" applyAlignment="1" applyProtection="1">
      <alignment wrapText="1"/>
      <protection locked="0"/>
    </xf>
    <xf numFmtId="165" fontId="3" fillId="0" borderId="12" xfId="2" applyNumberFormat="1" applyFont="1" applyFill="1" applyBorder="1" applyAlignment="1">
      <alignment wrapText="1"/>
    </xf>
    <xf numFmtId="2" fontId="7" fillId="0" borderId="0" xfId="0" applyNumberFormat="1" applyFont="1" applyAlignment="1">
      <alignment wrapText="1"/>
    </xf>
    <xf numFmtId="165" fontId="31" fillId="0" borderId="0" xfId="12" applyNumberFormat="1" applyFont="1"/>
    <xf numFmtId="41" fontId="7" fillId="0" borderId="12" xfId="2" applyNumberFormat="1" applyFont="1" applyFill="1" applyBorder="1" applyAlignment="1">
      <alignment wrapText="1"/>
    </xf>
    <xf numFmtId="41" fontId="7" fillId="0" borderId="16" xfId="2" applyNumberFormat="1" applyFont="1" applyFill="1" applyBorder="1" applyAlignment="1">
      <alignment wrapText="1"/>
    </xf>
    <xf numFmtId="2" fontId="7" fillId="0" borderId="0" xfId="0" applyNumberFormat="1" applyFont="1"/>
    <xf numFmtId="0" fontId="3" fillId="0" borderId="17" xfId="0" applyFont="1" applyBorder="1" applyAlignment="1">
      <alignment horizontal="center" wrapText="1"/>
    </xf>
    <xf numFmtId="0" fontId="3" fillId="0" borderId="12" xfId="0" applyFont="1" applyBorder="1"/>
    <xf numFmtId="0" fontId="7" fillId="0" borderId="13" xfId="0" applyFont="1" applyBorder="1"/>
    <xf numFmtId="2" fontId="7" fillId="3" borderId="0" xfId="0" applyNumberFormat="1" applyFont="1" applyFill="1"/>
    <xf numFmtId="2" fontId="7" fillId="4" borderId="0" xfId="0" applyNumberFormat="1" applyFont="1" applyFill="1"/>
    <xf numFmtId="0" fontId="3" fillId="0" borderId="0" xfId="0" applyFont="1" applyAlignment="1" applyProtection="1">
      <alignment wrapText="1"/>
      <protection locked="0"/>
    </xf>
    <xf numFmtId="42" fontId="3" fillId="0" borderId="0" xfId="0" applyNumberFormat="1" applyFont="1"/>
    <xf numFmtId="165" fontId="3" fillId="0" borderId="34" xfId="2" applyNumberFormat="1" applyFont="1" applyFill="1" applyBorder="1" applyAlignment="1">
      <alignment wrapText="1"/>
    </xf>
    <xf numFmtId="165" fontId="3" fillId="0" borderId="10" xfId="0" applyNumberFormat="1" applyFont="1" applyBorder="1" applyAlignment="1" applyProtection="1">
      <alignment horizontal="right" wrapText="1"/>
      <protection locked="0"/>
    </xf>
    <xf numFmtId="0" fontId="38" fillId="0" borderId="35" xfId="11" applyFont="1">
      <alignment wrapText="1"/>
    </xf>
    <xf numFmtId="174" fontId="38" fillId="0" borderId="35" xfId="11" applyNumberFormat="1" applyFont="1">
      <alignment wrapText="1"/>
    </xf>
    <xf numFmtId="0" fontId="39" fillId="0" borderId="35" xfId="11" applyFont="1">
      <alignment wrapText="1"/>
    </xf>
    <xf numFmtId="174" fontId="39" fillId="0" borderId="35" xfId="11" applyNumberFormat="1" applyFont="1">
      <alignment wrapText="1"/>
    </xf>
    <xf numFmtId="0" fontId="38" fillId="0" borderId="37" xfId="13" applyFont="1" applyBorder="1">
      <alignment wrapText="1"/>
    </xf>
    <xf numFmtId="174" fontId="38" fillId="0" borderId="37" xfId="13" applyNumberFormat="1" applyFont="1" applyBorder="1">
      <alignment wrapText="1"/>
    </xf>
    <xf numFmtId="0" fontId="38" fillId="0" borderId="0" xfId="11" applyFont="1" applyBorder="1">
      <alignment wrapText="1"/>
    </xf>
    <xf numFmtId="174" fontId="38" fillId="0" borderId="0" xfId="11" applyNumberFormat="1" applyFont="1" applyBorder="1">
      <alignment wrapText="1"/>
    </xf>
    <xf numFmtId="0" fontId="38" fillId="0" borderId="35" xfId="11" applyFont="1" applyAlignment="1"/>
    <xf numFmtId="0" fontId="40" fillId="0" borderId="35" xfId="11" applyFont="1" applyAlignment="1"/>
    <xf numFmtId="0" fontId="38" fillId="0" borderId="35" xfId="11" applyFont="1" applyAlignment="1">
      <alignment horizontal="left"/>
    </xf>
    <xf numFmtId="0" fontId="38" fillId="0" borderId="37" xfId="13" applyFont="1" applyBorder="1" applyAlignment="1"/>
    <xf numFmtId="0" fontId="38" fillId="0" borderId="0" xfId="11" applyFont="1" applyBorder="1" applyAlignment="1"/>
    <xf numFmtId="0" fontId="42" fillId="0" borderId="35" xfId="11" applyFont="1">
      <alignment wrapText="1"/>
    </xf>
    <xf numFmtId="175" fontId="39" fillId="0" borderId="35" xfId="11" applyNumberFormat="1" applyFont="1">
      <alignment wrapText="1"/>
    </xf>
    <xf numFmtId="0" fontId="40" fillId="0" borderId="35" xfId="11" applyFont="1" applyAlignment="1">
      <alignment vertical="top"/>
    </xf>
    <xf numFmtId="165" fontId="3" fillId="0" borderId="0" xfId="2" applyNumberFormat="1" applyFont="1" applyFill="1" applyBorder="1" applyAlignment="1">
      <alignment wrapText="1"/>
    </xf>
    <xf numFmtId="165" fontId="3" fillId="0" borderId="0" xfId="0" applyNumberFormat="1" applyFont="1" applyAlignment="1" applyProtection="1">
      <alignment horizontal="center" wrapText="1"/>
      <protection locked="0"/>
    </xf>
    <xf numFmtId="0" fontId="3" fillId="0" borderId="0" xfId="0" applyFont="1" applyAlignment="1">
      <alignment horizontal="center" wrapText="1"/>
    </xf>
    <xf numFmtId="165" fontId="7" fillId="0" borderId="0" xfId="0" applyNumberFormat="1" applyFont="1" applyAlignment="1">
      <alignment horizontal="center" wrapText="1"/>
    </xf>
    <xf numFmtId="165" fontId="3" fillId="0" borderId="0" xfId="0" applyNumberFormat="1" applyFont="1" applyAlignment="1" applyProtection="1">
      <alignment wrapText="1"/>
      <protection locked="0"/>
    </xf>
    <xf numFmtId="0" fontId="6" fillId="0" borderId="0" xfId="0" applyFont="1" applyAlignment="1">
      <alignment horizontal="center" wrapText="1"/>
    </xf>
    <xf numFmtId="0" fontId="6" fillId="0" borderId="0" xfId="0" applyFont="1" applyAlignment="1" applyProtection="1">
      <alignment horizontal="center" wrapText="1"/>
      <protection locked="0"/>
    </xf>
    <xf numFmtId="1" fontId="7" fillId="0" borderId="0" xfId="0" applyNumberFormat="1" applyFont="1" applyAlignment="1">
      <alignment horizontal="center" wrapText="1"/>
    </xf>
    <xf numFmtId="165" fontId="7" fillId="0" borderId="0" xfId="1" applyNumberFormat="1" applyFont="1" applyFill="1" applyBorder="1" applyAlignment="1">
      <alignment horizontal="center" wrapText="1"/>
    </xf>
    <xf numFmtId="1" fontId="3" fillId="0" borderId="0" xfId="0" applyNumberFormat="1" applyFont="1"/>
    <xf numFmtId="0" fontId="18" fillId="0" borderId="19" xfId="0" applyFont="1" applyBorder="1" applyAlignment="1">
      <alignment wrapText="1"/>
    </xf>
    <xf numFmtId="0" fontId="18" fillId="0" borderId="23" xfId="0" applyFont="1" applyBorder="1" applyAlignment="1">
      <alignment wrapText="1"/>
    </xf>
    <xf numFmtId="0" fontId="19" fillId="0" borderId="23" xfId="0" applyFont="1" applyBorder="1" applyAlignment="1">
      <alignment horizontal="center" wrapText="1"/>
    </xf>
    <xf numFmtId="0" fontId="19" fillId="0" borderId="25" xfId="0" applyFont="1" applyBorder="1" applyAlignment="1">
      <alignment horizontal="center" wrapText="1"/>
    </xf>
    <xf numFmtId="0" fontId="13" fillId="0" borderId="23" xfId="0" applyFont="1" applyBorder="1" applyAlignment="1" applyProtection="1">
      <alignment wrapText="1"/>
      <protection locked="0"/>
    </xf>
    <xf numFmtId="0" fontId="3" fillId="0" borderId="23" xfId="0" applyFont="1" applyBorder="1" applyAlignment="1" applyProtection="1">
      <alignment wrapText="1"/>
      <protection locked="0"/>
    </xf>
    <xf numFmtId="0" fontId="13" fillId="0" borderId="30" xfId="0" applyFont="1" applyBorder="1" applyAlignment="1" applyProtection="1">
      <alignment wrapText="1"/>
      <protection locked="0"/>
    </xf>
    <xf numFmtId="0" fontId="13" fillId="0" borderId="32" xfId="0" applyFont="1" applyBorder="1" applyAlignment="1" applyProtection="1">
      <alignment wrapText="1"/>
      <protection locked="0"/>
    </xf>
    <xf numFmtId="0" fontId="13" fillId="0" borderId="7" xfId="0" applyFont="1" applyBorder="1" applyAlignment="1" applyProtection="1">
      <alignment wrapText="1"/>
      <protection locked="0"/>
    </xf>
    <xf numFmtId="0" fontId="13" fillId="0" borderId="25" xfId="0" applyFont="1" applyBorder="1" applyAlignment="1" applyProtection="1">
      <alignment wrapText="1"/>
      <protection locked="0"/>
    </xf>
    <xf numFmtId="8" fontId="6" fillId="0" borderId="0" xfId="0" applyNumberFormat="1" applyFont="1" applyAlignment="1">
      <alignment horizontal="right"/>
    </xf>
    <xf numFmtId="0" fontId="6" fillId="0" borderId="0" xfId="0" applyFont="1" applyAlignment="1" applyProtection="1">
      <alignment wrapText="1"/>
      <protection locked="0"/>
    </xf>
    <xf numFmtId="165" fontId="6" fillId="0" borderId="0" xfId="0" applyNumberFormat="1" applyFont="1" applyAlignment="1">
      <alignment horizontal="center" wrapText="1"/>
    </xf>
    <xf numFmtId="165" fontId="6" fillId="0" borderId="0" xfId="1" applyNumberFormat="1" applyFont="1" applyFill="1" applyBorder="1" applyAlignment="1">
      <alignment horizontal="center" wrapText="1"/>
    </xf>
    <xf numFmtId="1" fontId="6" fillId="0" borderId="0" xfId="0" applyNumberFormat="1" applyFont="1" applyAlignment="1">
      <alignment horizontal="center" wrapText="1"/>
    </xf>
    <xf numFmtId="1" fontId="6" fillId="0" borderId="0" xfId="0" applyNumberFormat="1" applyFont="1"/>
    <xf numFmtId="17" fontId="0" fillId="0" borderId="0" xfId="0" applyNumberFormat="1"/>
    <xf numFmtId="0" fontId="3" fillId="0" borderId="0" xfId="0" applyFont="1" applyAlignment="1" applyProtection="1">
      <alignment wrapText="1"/>
      <protection locked="0"/>
    </xf>
    <xf numFmtId="0" fontId="0" fillId="0" borderId="0" xfId="0" applyAlignment="1">
      <alignment wrapText="1"/>
    </xf>
    <xf numFmtId="0" fontId="15" fillId="0" borderId="0" xfId="0" applyFont="1" applyAlignment="1" applyProtection="1">
      <alignment wrapText="1"/>
      <protection locked="0"/>
    </xf>
    <xf numFmtId="0" fontId="15" fillId="0" borderId="0" xfId="0" applyFont="1" applyAlignment="1">
      <alignment wrapText="1"/>
    </xf>
    <xf numFmtId="0" fontId="5" fillId="0" borderId="0" xfId="0" applyFont="1" applyAlignment="1">
      <alignment horizontal="center"/>
    </xf>
    <xf numFmtId="0" fontId="6" fillId="0" borderId="0" xfId="0" applyFont="1" applyAlignment="1">
      <alignment horizontal="center"/>
    </xf>
    <xf numFmtId="0" fontId="8" fillId="0" borderId="8" xfId="0" applyFont="1" applyBorder="1" applyAlignment="1">
      <alignment horizontal="center"/>
    </xf>
    <xf numFmtId="0" fontId="6" fillId="0" borderId="0" xfId="0" applyFont="1" applyAlignment="1">
      <alignment wrapText="1"/>
    </xf>
    <xf numFmtId="0" fontId="5" fillId="0" borderId="0" xfId="0" applyFont="1" applyAlignment="1">
      <alignment horizontal="left"/>
    </xf>
  </cellXfs>
  <cellStyles count="14">
    <cellStyle name="Body: normal cell" xfId="11" xr:uid="{00000000-0005-0000-0000-000000000000}"/>
    <cellStyle name="Comma" xfId="1" builtinId="3"/>
    <cellStyle name="Comma 2" xfId="5" xr:uid="{00000000-0005-0000-0000-000002000000}"/>
    <cellStyle name="Comma 2 2" xfId="10" xr:uid="{00000000-0005-0000-0000-000003000000}"/>
    <cellStyle name="Currency" xfId="2" builtinId="4"/>
    <cellStyle name="Currency 2" xfId="9" xr:uid="{00000000-0005-0000-0000-000005000000}"/>
    <cellStyle name="Header: bottom row" xfId="13" xr:uid="{3AD52178-E24D-4915-9204-F67013DE5606}"/>
    <cellStyle name="Hyperlink" xfId="3" builtinId="8"/>
    <cellStyle name="Normal" xfId="0" builtinId="0"/>
    <cellStyle name="Normal 2" xfId="4" xr:uid="{00000000-0005-0000-0000-000008000000}"/>
    <cellStyle name="Normal 2 2" xfId="8" xr:uid="{00000000-0005-0000-0000-000009000000}"/>
    <cellStyle name="Normal 3" xfId="7" xr:uid="{00000000-0005-0000-0000-00000A000000}"/>
    <cellStyle name="Normal 4" xfId="12" xr:uid="{00000000-0005-0000-0000-00000B000000}"/>
    <cellStyle name="Percent 2" xfId="6" xr:uid="{00000000-0005-0000-0000-00000C000000}"/>
  </cellStyles>
  <dxfs count="3">
    <dxf>
      <fill>
        <patternFill>
          <bgColor theme="9" tint="0.39994506668294322"/>
        </patternFill>
      </fill>
    </dxf>
    <dxf>
      <fill>
        <patternFill>
          <bgColor theme="6" tint="0.59996337778862885"/>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57</xdr:row>
      <xdr:rowOff>0</xdr:rowOff>
    </xdr:from>
    <xdr:to>
      <xdr:col>5</xdr:col>
      <xdr:colOff>19050</xdr:colOff>
      <xdr:row>57</xdr:row>
      <xdr:rowOff>19050</xdr:rowOff>
    </xdr:to>
    <xdr:pic>
      <xdr:nvPicPr>
        <xdr:cNvPr id="2" name="Picture 1" descr="http://www.iftach.org/trans.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25" y="955357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api.org/oil-and-natural-gas/consumer-information/motor-fuel-taxes/diesel-ta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dpsweb.dps.louisiana.gov/omv1.nsf?OpenDatabase&amp;Start=1&amp;Count=1200&amp;Expand=5" TargetMode="External"/><Relationship Id="rId18" Type="http://schemas.openxmlformats.org/officeDocument/2006/relationships/hyperlink" Target="http://www.kansastreasurers.org/vehicle/titling.htm" TargetMode="External"/><Relationship Id="rId26" Type="http://schemas.openxmlformats.org/officeDocument/2006/relationships/hyperlink" Target="http://www.iowataxandtags.org/vehicle-registration/registration-fees-by-vehicle-type/" TargetMode="External"/><Relationship Id="rId21" Type="http://schemas.openxmlformats.org/officeDocument/2006/relationships/hyperlink" Target="http://www.state.sd.us/drr2/motorvehicle/title/register.htm" TargetMode="External"/><Relationship Id="rId34" Type="http://schemas.openxmlformats.org/officeDocument/2006/relationships/hyperlink" Target="http://www.dmv.ne.gov/dvr/mvreg/fees_taxes.html" TargetMode="External"/><Relationship Id="rId7" Type="http://schemas.openxmlformats.org/officeDocument/2006/relationships/hyperlink" Target="http://www3.flhsmv.gov/dmv/Proc/RS/RSContents.html" TargetMode="External"/><Relationship Id="rId12" Type="http://schemas.openxmlformats.org/officeDocument/2006/relationships/hyperlink" Target="http://www.maine.gov/sos/bmv/registration/" TargetMode="External"/><Relationship Id="rId17" Type="http://schemas.openxmlformats.org/officeDocument/2006/relationships/hyperlink" Target="http://www.dmv.state.pa.us/pdotforms/mv_forms/mv-70s.pdf" TargetMode="External"/><Relationship Id="rId25" Type="http://schemas.openxmlformats.org/officeDocument/2006/relationships/hyperlink" Target="http://www.irponline.org/?page=FeeSchedules" TargetMode="External"/><Relationship Id="rId33" Type="http://schemas.openxmlformats.org/officeDocument/2006/relationships/hyperlink" Target="http://le.utah.gov/xcode/Title41/Chapter1A/41-1a-S1206.html?v=C41-1a-S1206_2015051220150512" TargetMode="External"/><Relationship Id="rId38" Type="http://schemas.openxmlformats.org/officeDocument/2006/relationships/comments" Target="../comments1.xml"/><Relationship Id="rId2" Type="http://schemas.openxmlformats.org/officeDocument/2006/relationships/hyperlink" Target="http://www.oregon.gov/odot/dmv/pages/vehicle/heavy_trailer.aspx" TargetMode="External"/><Relationship Id="rId16" Type="http://schemas.openxmlformats.org/officeDocument/2006/relationships/hyperlink" Target="https://efile.state.nm.us/renewal/home1.aspx" TargetMode="External"/><Relationship Id="rId20" Type="http://schemas.openxmlformats.org/officeDocument/2006/relationships/hyperlink" Target="http://www.co.jackson.ms.us/officials/tax-collector/costs.php" TargetMode="External"/><Relationship Id="rId29" Type="http://schemas.openxmlformats.org/officeDocument/2006/relationships/hyperlink" Target="http://www.bmv.ohio.gov/fees_for_services.stm" TargetMode="External"/><Relationship Id="rId1" Type="http://schemas.openxmlformats.org/officeDocument/2006/relationships/hyperlink" Target="https://revenue.alabama.gov/wp-content/uploads/2017/05/MVPermanentTrailerTags.pdf" TargetMode="External"/><Relationship Id="rId6" Type="http://schemas.openxmlformats.org/officeDocument/2006/relationships/hyperlink" Target="http://delcode.delaware.gov/title21/c021/sc04/index.shtml" TargetMode="External"/><Relationship Id="rId11" Type="http://schemas.openxmlformats.org/officeDocument/2006/relationships/hyperlink" Target="http://www.mva.maryland.gov/Vehicle-Services/" TargetMode="External"/><Relationship Id="rId24" Type="http://schemas.openxmlformats.org/officeDocument/2006/relationships/hyperlink" Target="http://itd.idaho.gov/dmv/poe/documents/TruckersHandbook.pdf" TargetMode="External"/><Relationship Id="rId32" Type="http://schemas.openxmlformats.org/officeDocument/2006/relationships/hyperlink" Target="https://online.dmv.alaska.gov/MVRTCost/" TargetMode="External"/><Relationship Id="rId37" Type="http://schemas.openxmlformats.org/officeDocument/2006/relationships/vmlDrawing" Target="../drawings/vmlDrawing1.vml"/><Relationship Id="rId5" Type="http://schemas.openxmlformats.org/officeDocument/2006/relationships/hyperlink" Target="http://www.ct.gov/dmv/cwp/view.asp?a=802&amp;q=270596" TargetMode="External"/><Relationship Id="rId15" Type="http://schemas.openxmlformats.org/officeDocument/2006/relationships/hyperlink" Target="http://www.michigan.gov/sos/0,1607,7-127-1585_14651-75432--,00.html" TargetMode="External"/><Relationship Id="rId23" Type="http://schemas.openxmlformats.org/officeDocument/2006/relationships/hyperlink" Target="http://www.irponline.org/page/Jurisinfo" TargetMode="External"/><Relationship Id="rId28" Type="http://schemas.openxmlformats.org/officeDocument/2006/relationships/hyperlink" Target="http://www.gencourt.state.nh.us/rsa/html/XXI/261/261-141.htm" TargetMode="External"/><Relationship Id="rId36" Type="http://schemas.openxmlformats.org/officeDocument/2006/relationships/printerSettings" Target="../printerSettings/printerSettings4.bin"/><Relationship Id="rId10" Type="http://schemas.openxmlformats.org/officeDocument/2006/relationships/hyperlink" Target="http://www.ilga.gov/legislation/ilcs/ilcs4.asp?DocName=062500050HCh%2E+3+Art%2E+VIII&amp;ActID=1815&amp;ChapterID=49&amp;SeqStart=53500000&amp;SeqEnd=59000000" TargetMode="External"/><Relationship Id="rId19" Type="http://schemas.openxmlformats.org/officeDocument/2006/relationships/hyperlink" Target="http://www.irponline.org/InfoExchange/FeeSchedules/" TargetMode="External"/><Relationship Id="rId31" Type="http://schemas.openxmlformats.org/officeDocument/2006/relationships/hyperlink" Target="http://www.leg.state.vt.us/statutes/fullsection.cfm?Title=23&amp;Chapter=007&amp;Section=00371" TargetMode="External"/><Relationship Id="rId4" Type="http://schemas.openxmlformats.org/officeDocument/2006/relationships/hyperlink" Target="http://www.dfa.arkansas.gov/offices/motorVehicle/Pages/VehicleTagRenewal.aspx" TargetMode="External"/><Relationship Id="rId9" Type="http://schemas.openxmlformats.org/officeDocument/2006/relationships/hyperlink" Target="http://www3.honolulu.gov/mvrfeeinq/" TargetMode="External"/><Relationship Id="rId14" Type="http://schemas.openxmlformats.org/officeDocument/2006/relationships/hyperlink" Target="http://www.lrc.ky.gov/KRS/186-00/CHAPTER.HTM" TargetMode="External"/><Relationship Id="rId22" Type="http://schemas.openxmlformats.org/officeDocument/2006/relationships/hyperlink" Target="https://www.dmv.ca.gov/portal/dmv/detail/commercial/cvra" TargetMode="External"/><Relationship Id="rId27" Type="http://schemas.openxmlformats.org/officeDocument/2006/relationships/hyperlink" Target="http://www.dmvnv.com/regfees.htm" TargetMode="External"/><Relationship Id="rId30" Type="http://schemas.openxmlformats.org/officeDocument/2006/relationships/hyperlink" Target="http://apps.leg.wa.gov/rcw/default.aspx?cite=46.17.250" TargetMode="External"/><Relationship Id="rId35" Type="http://schemas.openxmlformats.org/officeDocument/2006/relationships/hyperlink" Target="http://www.dot.nd.gov/divisions/mv/mvschedule.htm" TargetMode="External"/><Relationship Id="rId8" Type="http://schemas.openxmlformats.org/officeDocument/2006/relationships/hyperlink" Target="http://motor.etax.dor.ga.gov/forms" TargetMode="External"/><Relationship Id="rId3" Type="http://schemas.openxmlformats.org/officeDocument/2006/relationships/hyperlink" Target="https://azdot.gov/motor-vehicles/vehicle-services/commercial-vehicle-registr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zoomScaleNormal="100" workbookViewId="0">
      <selection activeCell="I19" sqref="I19"/>
    </sheetView>
  </sheetViews>
  <sheetFormatPr defaultColWidth="9.109375" defaultRowHeight="13.2" x14ac:dyDescent="0.25"/>
  <cols>
    <col min="1" max="1" width="21.88671875" customWidth="1"/>
    <col min="2" max="2" width="11.33203125" customWidth="1"/>
    <col min="3" max="3" width="7.44140625" customWidth="1"/>
    <col min="4" max="4" width="9.6640625" bestFit="1" customWidth="1"/>
    <col min="6" max="6" width="12.44140625" customWidth="1"/>
    <col min="8" max="8" width="10" customWidth="1"/>
    <col min="10" max="10" width="12.44140625" customWidth="1"/>
    <col min="13" max="13" width="14.109375" customWidth="1"/>
  </cols>
  <sheetData>
    <row r="1" spans="1:13" x14ac:dyDescent="0.25">
      <c r="A1" s="6" t="s">
        <v>123</v>
      </c>
      <c r="B1" s="7"/>
      <c r="C1" s="7"/>
      <c r="D1" s="7"/>
      <c r="E1" s="7"/>
      <c r="F1" s="7"/>
      <c r="G1" s="7"/>
      <c r="H1" s="7"/>
      <c r="I1" s="7"/>
      <c r="J1" s="7"/>
    </row>
    <row r="2" spans="1:13" x14ac:dyDescent="0.25">
      <c r="A2" s="7" t="s">
        <v>124</v>
      </c>
      <c r="B2" s="7"/>
      <c r="C2" s="7"/>
      <c r="D2" s="7"/>
      <c r="E2" s="7"/>
      <c r="F2" s="7"/>
      <c r="G2" s="7"/>
      <c r="H2" s="7"/>
      <c r="I2" s="7"/>
      <c r="J2" s="7"/>
    </row>
    <row r="4" spans="1:13" x14ac:dyDescent="0.25">
      <c r="A4" s="8" t="s">
        <v>125</v>
      </c>
    </row>
    <row r="5" spans="1:13" x14ac:dyDescent="0.25">
      <c r="A5" s="1" t="s">
        <v>126</v>
      </c>
    </row>
    <row r="6" spans="1:13" x14ac:dyDescent="0.25">
      <c r="A6" s="7" t="s">
        <v>127</v>
      </c>
      <c r="B6" s="7"/>
      <c r="C6" s="7"/>
      <c r="D6" s="7"/>
      <c r="E6" s="7"/>
      <c r="F6" s="7"/>
      <c r="G6" s="7"/>
      <c r="H6" s="7"/>
      <c r="I6" s="7"/>
      <c r="J6" s="7"/>
    </row>
    <row r="7" spans="1:13" x14ac:dyDescent="0.25">
      <c r="A7" s="7"/>
      <c r="B7" s="7"/>
      <c r="C7" s="7"/>
      <c r="D7" s="7"/>
      <c r="E7" s="7"/>
      <c r="F7" s="7"/>
      <c r="G7" s="7"/>
      <c r="H7" s="7"/>
      <c r="I7" s="7"/>
      <c r="J7" s="7"/>
      <c r="K7" s="14"/>
      <c r="L7" s="14"/>
      <c r="M7" s="14"/>
    </row>
    <row r="8" spans="1:13" x14ac:dyDescent="0.25">
      <c r="A8" s="6" t="s">
        <v>128</v>
      </c>
      <c r="B8" s="7"/>
      <c r="C8" s="7"/>
      <c r="D8" s="7"/>
      <c r="E8" s="7"/>
      <c r="F8" s="7"/>
      <c r="G8" s="7"/>
      <c r="H8" s="7"/>
      <c r="I8" s="7"/>
      <c r="J8" s="7"/>
      <c r="K8" s="14"/>
      <c r="L8" s="14"/>
      <c r="M8" s="14"/>
    </row>
    <row r="9" spans="1:13" x14ac:dyDescent="0.25">
      <c r="A9" s="6"/>
      <c r="B9" s="7"/>
      <c r="C9" s="7"/>
      <c r="D9" s="7"/>
      <c r="E9" s="7"/>
      <c r="F9" s="7"/>
      <c r="G9" s="7"/>
      <c r="H9" s="7"/>
      <c r="I9" s="7"/>
      <c r="J9" s="7"/>
      <c r="K9" s="14"/>
      <c r="L9" s="14"/>
      <c r="M9" s="14"/>
    </row>
    <row r="10" spans="1:13" x14ac:dyDescent="0.25">
      <c r="A10" s="7" t="s">
        <v>129</v>
      </c>
      <c r="B10" s="7"/>
      <c r="C10" s="7"/>
      <c r="D10" s="7"/>
      <c r="E10" s="7"/>
      <c r="F10" s="7"/>
      <c r="G10" s="7"/>
      <c r="H10" s="7"/>
      <c r="I10" s="7"/>
      <c r="J10" s="7"/>
      <c r="K10" s="14"/>
      <c r="L10" s="14"/>
      <c r="M10" s="14"/>
    </row>
    <row r="11" spans="1:13" x14ac:dyDescent="0.25">
      <c r="A11" s="7" t="s">
        <v>130</v>
      </c>
      <c r="B11" s="7"/>
      <c r="C11" s="7"/>
      <c r="D11" s="7"/>
      <c r="E11" s="7"/>
      <c r="F11" s="7"/>
      <c r="G11" s="7"/>
      <c r="H11" s="7"/>
      <c r="I11" s="7"/>
      <c r="J11" s="7"/>
      <c r="K11" s="14"/>
      <c r="L11" s="14"/>
      <c r="M11" s="14"/>
    </row>
    <row r="12" spans="1:13" x14ac:dyDescent="0.25">
      <c r="A12" s="7"/>
      <c r="B12" s="7"/>
      <c r="C12" s="7"/>
      <c r="D12" s="7"/>
      <c r="E12" s="7"/>
      <c r="F12" s="7"/>
      <c r="G12" s="7"/>
      <c r="H12" s="7"/>
      <c r="I12" s="7"/>
      <c r="J12" s="7"/>
      <c r="K12" s="14"/>
      <c r="L12" s="14"/>
      <c r="M12" s="14"/>
    </row>
    <row r="13" spans="1:13" x14ac:dyDescent="0.25">
      <c r="A13" s="7" t="s">
        <v>131</v>
      </c>
      <c r="B13" s="7"/>
      <c r="C13" s="7"/>
      <c r="D13" s="7"/>
      <c r="E13" s="7"/>
      <c r="F13" s="7"/>
      <c r="G13" s="7"/>
      <c r="H13" s="7"/>
      <c r="I13" s="7"/>
      <c r="J13" s="7"/>
      <c r="K13" s="14"/>
      <c r="L13" s="14"/>
      <c r="M13" s="14"/>
    </row>
    <row r="14" spans="1:13" x14ac:dyDescent="0.25">
      <c r="A14" s="7"/>
      <c r="B14" s="7"/>
      <c r="C14" s="7"/>
      <c r="D14" s="7"/>
      <c r="E14" s="7"/>
      <c r="F14" s="7"/>
      <c r="G14" s="7"/>
      <c r="H14" s="7"/>
      <c r="I14" s="7"/>
      <c r="J14" s="7"/>
      <c r="K14" s="14"/>
      <c r="L14" s="14"/>
      <c r="M14" s="14"/>
    </row>
    <row r="15" spans="1:13" x14ac:dyDescent="0.25">
      <c r="A15" s="9" t="s">
        <v>238</v>
      </c>
      <c r="B15" s="189" t="s">
        <v>408</v>
      </c>
      <c r="D15" s="7"/>
      <c r="E15" s="7"/>
      <c r="F15" s="7"/>
      <c r="G15" s="7"/>
      <c r="H15" s="7"/>
      <c r="I15" s="7"/>
      <c r="J15" s="7"/>
      <c r="K15" s="14"/>
      <c r="L15" s="14"/>
      <c r="M15" s="14"/>
    </row>
    <row r="16" spans="1:13" x14ac:dyDescent="0.25">
      <c r="A16" s="9" t="s">
        <v>239</v>
      </c>
      <c r="B16" s="7"/>
      <c r="C16" s="189" t="s">
        <v>409</v>
      </c>
      <c r="D16" s="7" t="s">
        <v>240</v>
      </c>
      <c r="E16" s="7"/>
      <c r="F16" s="7"/>
      <c r="G16" s="7"/>
      <c r="H16" s="7"/>
      <c r="I16" s="7"/>
      <c r="J16" s="7"/>
      <c r="K16" s="14"/>
      <c r="L16" s="14"/>
      <c r="M16" s="14"/>
    </row>
    <row r="17" spans="1:13" x14ac:dyDescent="0.25">
      <c r="A17" s="9" t="s">
        <v>241</v>
      </c>
      <c r="B17" s="7"/>
      <c r="C17" s="7"/>
      <c r="D17" s="7"/>
      <c r="E17" s="7"/>
      <c r="F17" s="7"/>
      <c r="G17" s="7"/>
      <c r="H17" s="7"/>
      <c r="I17" s="7"/>
      <c r="J17" s="7"/>
      <c r="K17" s="14"/>
      <c r="L17" s="14"/>
      <c r="M17" s="14"/>
    </row>
    <row r="18" spans="1:13" x14ac:dyDescent="0.25">
      <c r="A18" s="7"/>
      <c r="B18" s="7"/>
      <c r="C18" s="7"/>
      <c r="D18" s="7"/>
      <c r="E18" s="7"/>
      <c r="F18" s="7"/>
      <c r="G18" s="7"/>
      <c r="H18" s="7"/>
      <c r="I18" s="7"/>
      <c r="J18" s="7"/>
      <c r="K18" s="14"/>
      <c r="L18" s="14"/>
      <c r="M18" s="14"/>
    </row>
    <row r="19" spans="1:13" x14ac:dyDescent="0.25">
      <c r="A19" s="1" t="s">
        <v>182</v>
      </c>
      <c r="B19" s="14">
        <f>1.136012*F19</f>
        <v>147022.67303999999</v>
      </c>
      <c r="C19" s="150" t="s">
        <v>410</v>
      </c>
      <c r="F19" s="14">
        <v>129420</v>
      </c>
      <c r="G19" s="208"/>
      <c r="L19" s="14"/>
      <c r="M19" s="14"/>
    </row>
    <row r="20" spans="1:13" x14ac:dyDescent="0.25">
      <c r="F20" t="s">
        <v>177</v>
      </c>
      <c r="K20" s="14"/>
      <c r="L20" s="14"/>
      <c r="M20" s="14"/>
    </row>
    <row r="21" spans="1:13" x14ac:dyDescent="0.25">
      <c r="A21" s="10" t="s">
        <v>132</v>
      </c>
      <c r="B21" s="7"/>
      <c r="C21" s="7"/>
      <c r="D21" s="7"/>
      <c r="E21" s="7"/>
      <c r="G21" s="1" t="s">
        <v>181</v>
      </c>
      <c r="H21" s="7"/>
      <c r="I21" s="7"/>
      <c r="J21" s="7"/>
    </row>
    <row r="22" spans="1:13" x14ac:dyDescent="0.25">
      <c r="A22" s="10" t="s">
        <v>168</v>
      </c>
      <c r="B22" s="7"/>
      <c r="C22" s="7"/>
      <c r="D22" s="7"/>
      <c r="E22" s="7"/>
      <c r="F22" s="7"/>
      <c r="G22" s="7"/>
      <c r="H22" s="7"/>
      <c r="I22" s="7"/>
      <c r="J22" s="7"/>
    </row>
    <row r="23" spans="1:13" x14ac:dyDescent="0.25">
      <c r="A23" s="11"/>
      <c r="B23" s="11"/>
      <c r="C23" s="11"/>
      <c r="D23" s="11"/>
      <c r="E23" s="11"/>
      <c r="F23" s="11"/>
      <c r="G23" s="11"/>
      <c r="H23" s="11"/>
      <c r="I23" s="11"/>
      <c r="J23" s="11"/>
    </row>
    <row r="24" spans="1:13" x14ac:dyDescent="0.25">
      <c r="A24" s="7"/>
      <c r="B24" s="7"/>
      <c r="C24" s="7"/>
      <c r="D24" s="7"/>
      <c r="E24" s="7"/>
      <c r="F24" s="7"/>
      <c r="G24" s="7"/>
      <c r="H24" s="7"/>
      <c r="I24" s="7"/>
      <c r="J24" s="7"/>
    </row>
    <row r="25" spans="1:13" x14ac:dyDescent="0.25">
      <c r="A25" s="12" t="s">
        <v>183</v>
      </c>
      <c r="B25" s="7"/>
      <c r="C25" s="7"/>
      <c r="D25" s="7"/>
      <c r="E25" s="7"/>
      <c r="F25" s="7"/>
      <c r="G25" s="7"/>
      <c r="H25" s="7"/>
      <c r="I25" s="7"/>
      <c r="J25" s="7"/>
    </row>
    <row r="26" spans="1:13" x14ac:dyDescent="0.25">
      <c r="A26" s="7" t="s">
        <v>138</v>
      </c>
      <c r="B26" s="7"/>
      <c r="C26" s="7"/>
      <c r="D26" s="7"/>
      <c r="E26" s="7"/>
      <c r="F26" s="7"/>
      <c r="G26" s="7"/>
      <c r="H26" s="7"/>
      <c r="I26" s="7"/>
      <c r="J26" s="7"/>
    </row>
    <row r="27" spans="1:13" x14ac:dyDescent="0.25">
      <c r="A27" s="7" t="s">
        <v>139</v>
      </c>
      <c r="B27" s="7"/>
      <c r="C27" s="7"/>
      <c r="D27" s="7"/>
      <c r="E27" s="7"/>
      <c r="F27" s="7"/>
      <c r="G27" s="7"/>
      <c r="H27" s="7"/>
      <c r="I27" s="7"/>
      <c r="J27" s="7"/>
    </row>
    <row r="28" spans="1:13" x14ac:dyDescent="0.25">
      <c r="A28" s="7"/>
      <c r="B28" s="7"/>
      <c r="C28" s="7"/>
      <c r="D28" s="7"/>
      <c r="E28" s="7"/>
      <c r="F28" s="7"/>
      <c r="G28" s="7"/>
      <c r="H28" s="7"/>
      <c r="I28" s="7"/>
      <c r="J28" s="7"/>
    </row>
    <row r="29" spans="1:13" x14ac:dyDescent="0.25">
      <c r="A29" s="7"/>
      <c r="B29" s="7"/>
      <c r="C29" s="7"/>
      <c r="D29" s="7"/>
      <c r="E29" s="7"/>
      <c r="F29" s="7"/>
      <c r="G29" s="7"/>
      <c r="H29" s="7"/>
      <c r="I29" s="7"/>
      <c r="J29" s="7"/>
    </row>
    <row r="30" spans="1:13" x14ac:dyDescent="0.25">
      <c r="A30" s="7"/>
      <c r="B30" s="7"/>
      <c r="C30" s="13"/>
      <c r="D30" s="7"/>
      <c r="E30" s="7"/>
      <c r="F30" s="7"/>
      <c r="G30" s="7"/>
      <c r="H30" s="7"/>
      <c r="I30" s="7"/>
      <c r="J30" s="7"/>
    </row>
    <row r="37" spans="1:10" x14ac:dyDescent="0.25">
      <c r="A37" s="7"/>
      <c r="B37" s="7"/>
      <c r="C37" s="7"/>
      <c r="D37" s="7"/>
      <c r="E37" s="7"/>
      <c r="F37" s="7"/>
      <c r="G37" s="7"/>
      <c r="H37" s="7"/>
      <c r="I37" s="7"/>
      <c r="J37" s="7"/>
    </row>
    <row r="38" spans="1:10" x14ac:dyDescent="0.25">
      <c r="A38" s="7"/>
      <c r="B38" s="7"/>
      <c r="C38" s="7"/>
      <c r="D38" s="7"/>
      <c r="E38" s="7"/>
      <c r="F38" s="7"/>
      <c r="G38" s="7"/>
      <c r="H38" s="7"/>
      <c r="I38" s="7"/>
      <c r="J38" s="7"/>
    </row>
    <row r="39" spans="1:10" x14ac:dyDescent="0.25">
      <c r="A39" s="7"/>
      <c r="B39" s="7"/>
      <c r="C39" s="7"/>
      <c r="D39" s="7"/>
      <c r="E39" s="7"/>
      <c r="F39" s="7"/>
      <c r="G39" s="7"/>
      <c r="H39" s="7"/>
      <c r="I39" s="7"/>
      <c r="J39" s="7"/>
    </row>
    <row r="40" spans="1:10" x14ac:dyDescent="0.25">
      <c r="A40" s="7"/>
      <c r="B40" s="7"/>
      <c r="C40" s="7"/>
      <c r="D40" s="7"/>
      <c r="E40" s="7"/>
      <c r="F40" s="7"/>
      <c r="G40" s="7"/>
      <c r="H40" s="7"/>
      <c r="I40" s="7"/>
      <c r="J40" s="7"/>
    </row>
    <row r="41" spans="1:10" x14ac:dyDescent="0.25">
      <c r="A41" s="7"/>
      <c r="B41" s="7"/>
      <c r="C41" s="7"/>
      <c r="D41" s="7"/>
      <c r="E41" s="7"/>
      <c r="F41" s="7"/>
      <c r="G41" s="7"/>
      <c r="H41" s="7"/>
      <c r="I41" s="7"/>
      <c r="J41" s="7"/>
    </row>
    <row r="42" spans="1:10" x14ac:dyDescent="0.25">
      <c r="A42" s="7"/>
      <c r="B42" s="7"/>
      <c r="C42" s="7"/>
      <c r="D42" s="7"/>
      <c r="E42" s="7"/>
      <c r="F42" s="7"/>
      <c r="G42" s="7"/>
      <c r="H42" s="7"/>
      <c r="I42" s="7"/>
      <c r="J42" s="7"/>
    </row>
  </sheetData>
  <phoneticPr fontId="4" type="noConversion"/>
  <pageMargins left="0.62" right="0.25" top="1" bottom="1" header="0.5" footer="0.5"/>
  <pageSetup orientation="portrait" r:id="rId1"/>
  <headerFooter alignWithMargins="0">
    <oddHeader>&amp;C&amp;"Arial,Bold"&amp;12Assumptions Used in The 
State Motor Carrier Tax Rates Comparison</oddHeader>
    <oddFooter>&amp;CPrepared by ODOT TDD: Economics and Financial Analysis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67"/>
  <sheetViews>
    <sheetView workbookViewId="0">
      <selection activeCell="C34" sqref="C34"/>
    </sheetView>
  </sheetViews>
  <sheetFormatPr defaultColWidth="8.88671875" defaultRowHeight="14.4" x14ac:dyDescent="0.3"/>
  <cols>
    <col min="1" max="1" width="10.5546875" style="176" customWidth="1"/>
    <col min="2" max="2" width="9.5546875" style="176" bestFit="1" customWidth="1"/>
    <col min="3" max="3" width="40.44140625" style="176" bestFit="1" customWidth="1"/>
    <col min="4" max="5" width="10.44140625" style="176" bestFit="1" customWidth="1"/>
    <col min="6" max="6" width="74.5546875" style="176" bestFit="1" customWidth="1"/>
    <col min="7" max="7" width="8.88671875" style="176" bestFit="1" customWidth="1"/>
    <col min="8" max="16384" width="8.88671875" style="176"/>
  </cols>
  <sheetData>
    <row r="2" spans="1:6" ht="24" x14ac:dyDescent="0.4">
      <c r="A2" s="183" t="s">
        <v>343</v>
      </c>
    </row>
    <row r="3" spans="1:6" x14ac:dyDescent="0.3">
      <c r="A3" s="182" t="s">
        <v>342</v>
      </c>
      <c r="F3" s="182" t="s">
        <v>394</v>
      </c>
    </row>
    <row r="4" spans="1:6" x14ac:dyDescent="0.3">
      <c r="C4" s="181" t="s">
        <v>341</v>
      </c>
    </row>
    <row r="5" spans="1:6" x14ac:dyDescent="0.3">
      <c r="A5" s="177" t="s">
        <v>21</v>
      </c>
      <c r="B5" s="177" t="s">
        <v>340</v>
      </c>
      <c r="C5" s="177" t="s">
        <v>339</v>
      </c>
      <c r="D5" s="177" t="s">
        <v>338</v>
      </c>
      <c r="E5" s="177" t="s">
        <v>347</v>
      </c>
      <c r="F5" s="177" t="s">
        <v>337</v>
      </c>
    </row>
    <row r="6" spans="1:6" x14ac:dyDescent="0.3">
      <c r="A6" s="177" t="s">
        <v>336</v>
      </c>
      <c r="B6" s="180">
        <f>'Diesel Fuel Tax Rates - API'!B3</f>
        <v>0.28999999999999998</v>
      </c>
      <c r="C6" s="180">
        <f>'Diesel Fuel Tax Rates - API'!C3</f>
        <v>3.2500000000000001E-2</v>
      </c>
      <c r="D6" s="180">
        <f>'Diesel Fuel Tax Rates - API'!D3</f>
        <v>0.32250000000000001</v>
      </c>
      <c r="E6" s="198">
        <f>D6+0.244</f>
        <v>0.5665</v>
      </c>
      <c r="F6" s="177" t="s">
        <v>348</v>
      </c>
    </row>
    <row r="7" spans="1:6" x14ac:dyDescent="0.3">
      <c r="A7" s="177" t="s">
        <v>335</v>
      </c>
      <c r="B7" s="180">
        <f>'Diesel Fuel Tax Rates - API'!B4</f>
        <v>8.9499999999999996E-2</v>
      </c>
      <c r="C7" s="180">
        <f>'Diesel Fuel Tax Rates - API'!C4</f>
        <v>6.0299999999999999E-2</v>
      </c>
      <c r="D7" s="180">
        <f>'Diesel Fuel Tax Rates - API'!D4</f>
        <v>0.14979999999999999</v>
      </c>
      <c r="E7" s="198">
        <f t="shared" ref="E7:E57" si="0">D7+0.244</f>
        <v>0.39379999999999998</v>
      </c>
      <c r="F7" s="177" t="s">
        <v>381</v>
      </c>
    </row>
    <row r="8" spans="1:6" x14ac:dyDescent="0.3">
      <c r="A8" s="177" t="s">
        <v>334</v>
      </c>
      <c r="B8" s="180">
        <f>'Diesel Fuel Tax Rates - API'!B5</f>
        <v>0.26</v>
      </c>
      <c r="C8" s="180">
        <f>'Diesel Fuel Tax Rates - API'!C5</f>
        <v>0.01</v>
      </c>
      <c r="D8" s="180">
        <f>'Diesel Fuel Tax Rates - API'!D5</f>
        <v>0.27</v>
      </c>
      <c r="E8" s="198">
        <f t="shared" si="0"/>
        <v>0.51400000000000001</v>
      </c>
      <c r="F8" s="177" t="s">
        <v>382</v>
      </c>
    </row>
    <row r="9" spans="1:6" x14ac:dyDescent="0.3">
      <c r="A9" s="177" t="s">
        <v>333</v>
      </c>
      <c r="B9" s="180">
        <f>'Diesel Fuel Tax Rates - API'!B6</f>
        <v>0.28499999999999998</v>
      </c>
      <c r="C9" s="180">
        <f>'Diesel Fuel Tax Rates - API'!C6</f>
        <v>3.0000000000000001E-3</v>
      </c>
      <c r="D9" s="180">
        <f>'Diesel Fuel Tax Rates - API'!D6</f>
        <v>0.28799999999999998</v>
      </c>
      <c r="E9" s="198">
        <f t="shared" si="0"/>
        <v>0.53200000000000003</v>
      </c>
      <c r="F9" s="177" t="s">
        <v>383</v>
      </c>
    </row>
    <row r="10" spans="1:6" x14ac:dyDescent="0.3">
      <c r="A10" s="177" t="s">
        <v>332</v>
      </c>
      <c r="B10" s="180">
        <f>'Diesel Fuel Tax Rates - API'!B7</f>
        <v>0.38900000000000001</v>
      </c>
      <c r="C10" s="180">
        <f>'Diesel Fuel Tax Rates - API'!C7</f>
        <v>0.61009999999999998</v>
      </c>
      <c r="D10" s="180">
        <f>'Diesel Fuel Tax Rates - API'!D7</f>
        <v>0.99909999999999999</v>
      </c>
      <c r="E10" s="198">
        <f t="shared" si="0"/>
        <v>1.2431000000000001</v>
      </c>
      <c r="F10" s="177" t="s">
        <v>349</v>
      </c>
    </row>
    <row r="11" spans="1:6" x14ac:dyDescent="0.3">
      <c r="A11" s="177" t="s">
        <v>331</v>
      </c>
      <c r="B11" s="180">
        <f>'Diesel Fuel Tax Rates - API'!B8</f>
        <v>0.20499999999999999</v>
      </c>
      <c r="C11" s="180">
        <f>'Diesel Fuel Tax Rates - API'!C8</f>
        <v>0</v>
      </c>
      <c r="D11" s="180">
        <f>'Diesel Fuel Tax Rates - API'!D8</f>
        <v>0.20499999999999999</v>
      </c>
      <c r="E11" s="198">
        <f t="shared" si="0"/>
        <v>0.44899999999999995</v>
      </c>
      <c r="F11" s="177" t="s">
        <v>287</v>
      </c>
    </row>
    <row r="12" spans="1:6" x14ac:dyDescent="0.3">
      <c r="A12" s="177" t="s">
        <v>330</v>
      </c>
      <c r="B12" s="180">
        <f>'Diesel Fuel Tax Rates - API'!B9</f>
        <v>0.40100000000000002</v>
      </c>
      <c r="C12" s="180">
        <f>'Diesel Fuel Tax Rates - API'!C9</f>
        <v>0</v>
      </c>
      <c r="D12" s="180">
        <f>'Diesel Fuel Tax Rates - API'!D9</f>
        <v>0.40100000000000002</v>
      </c>
      <c r="E12" s="198">
        <f t="shared" si="0"/>
        <v>0.64500000000000002</v>
      </c>
      <c r="F12" s="177" t="s">
        <v>384</v>
      </c>
    </row>
    <row r="13" spans="1:6" x14ac:dyDescent="0.3">
      <c r="A13" s="177" t="s">
        <v>329</v>
      </c>
      <c r="B13" s="180">
        <f>'Diesel Fuel Tax Rates - API'!B10</f>
        <v>0.22</v>
      </c>
      <c r="C13" s="180">
        <f>'Diesel Fuel Tax Rates - API'!C10</f>
        <v>0</v>
      </c>
      <c r="D13" s="180">
        <f>'Diesel Fuel Tax Rates - API'!D10</f>
        <v>0.22</v>
      </c>
      <c r="E13" s="198">
        <f t="shared" si="0"/>
        <v>0.46399999999999997</v>
      </c>
      <c r="F13" s="177" t="s">
        <v>350</v>
      </c>
    </row>
    <row r="14" spans="1:6" x14ac:dyDescent="0.3">
      <c r="A14" s="177" t="s">
        <v>328</v>
      </c>
      <c r="B14" s="180">
        <v>0.23499999999999999</v>
      </c>
      <c r="C14" s="180">
        <v>5.2999999999999999E-2</v>
      </c>
      <c r="D14" s="180">
        <f>B14+C14</f>
        <v>0.28799999999999998</v>
      </c>
      <c r="E14" s="198">
        <f t="shared" si="0"/>
        <v>0.53200000000000003</v>
      </c>
      <c r="F14" s="177" t="s">
        <v>385</v>
      </c>
    </row>
    <row r="15" spans="1:6" x14ac:dyDescent="0.3">
      <c r="A15" s="177" t="s">
        <v>327</v>
      </c>
      <c r="B15" s="180">
        <f>'Diesel Fuel Tax Rates - API'!B11</f>
        <v>0.04</v>
      </c>
      <c r="C15" s="180">
        <f>'Diesel Fuel Tax Rates - API'!C11</f>
        <v>0.32369999999999999</v>
      </c>
      <c r="D15" s="180">
        <f>'Diesel Fuel Tax Rates - API'!D11</f>
        <v>0.36369999999999997</v>
      </c>
      <c r="E15" s="198">
        <f t="shared" si="0"/>
        <v>0.60769999999999991</v>
      </c>
      <c r="F15" s="177" t="s">
        <v>386</v>
      </c>
    </row>
    <row r="16" spans="1:6" x14ac:dyDescent="0.3">
      <c r="A16" s="177" t="s">
        <v>326</v>
      </c>
      <c r="B16" s="180">
        <f>'Diesel Fuel Tax Rates - API'!B12</f>
        <v>0.32200000000000001</v>
      </c>
      <c r="C16" s="180">
        <f>'Diesel Fuel Tax Rates - API'!C12</f>
        <v>9.1899999999999996E-2</v>
      </c>
      <c r="D16" s="180">
        <f>'Diesel Fuel Tax Rates - API'!D12</f>
        <v>0.41389999999999999</v>
      </c>
      <c r="E16" s="198">
        <f t="shared" si="0"/>
        <v>0.65789999999999993</v>
      </c>
      <c r="F16" s="177" t="s">
        <v>387</v>
      </c>
    </row>
    <row r="17" spans="1:6" x14ac:dyDescent="0.3">
      <c r="A17" s="177" t="s">
        <v>325</v>
      </c>
      <c r="B17" s="180">
        <f>'Diesel Fuel Tax Rates - API'!B13</f>
        <v>0.16</v>
      </c>
      <c r="C17" s="180">
        <f>'Diesel Fuel Tax Rates - API'!C13</f>
        <v>0.36409999999999998</v>
      </c>
      <c r="D17" s="180">
        <f>'Diesel Fuel Tax Rates - API'!D13</f>
        <v>0.52410000000000001</v>
      </c>
      <c r="E17" s="198">
        <f t="shared" si="0"/>
        <v>0.7681</v>
      </c>
      <c r="F17" s="177" t="s">
        <v>351</v>
      </c>
    </row>
    <row r="18" spans="1:6" x14ac:dyDescent="0.3">
      <c r="A18" s="177" t="s">
        <v>324</v>
      </c>
      <c r="B18" s="180">
        <f>'Diesel Fuel Tax Rates - API'!B14</f>
        <v>0.32</v>
      </c>
      <c r="C18" s="180">
        <f>'Diesel Fuel Tax Rates - API'!C14</f>
        <v>0.01</v>
      </c>
      <c r="D18" s="180">
        <f>'Diesel Fuel Tax Rates - API'!D14</f>
        <v>0.33</v>
      </c>
      <c r="E18" s="198">
        <f t="shared" si="0"/>
        <v>0.57400000000000007</v>
      </c>
      <c r="F18" s="177" t="s">
        <v>323</v>
      </c>
    </row>
    <row r="19" spans="1:6" x14ac:dyDescent="0.3">
      <c r="A19" s="177" t="s">
        <v>322</v>
      </c>
      <c r="B19" s="180">
        <f>'Diesel Fuel Tax Rates - API'!B15</f>
        <v>0.46700000000000003</v>
      </c>
      <c r="C19" s="180">
        <f>'Diesel Fuel Tax Rates - API'!C15</f>
        <v>0.20319999999999999</v>
      </c>
      <c r="D19" s="180">
        <f>'Diesel Fuel Tax Rates - API'!D15</f>
        <v>0.67020000000000002</v>
      </c>
      <c r="E19" s="198">
        <f t="shared" si="0"/>
        <v>0.91420000000000001</v>
      </c>
      <c r="F19" s="177" t="s">
        <v>388</v>
      </c>
    </row>
    <row r="20" spans="1:6" x14ac:dyDescent="0.3">
      <c r="A20" s="177" t="s">
        <v>321</v>
      </c>
      <c r="B20" s="180">
        <f>'Diesel Fuel Tax Rates - API'!B16</f>
        <v>0.53</v>
      </c>
      <c r="C20" s="180">
        <f>'Diesel Fuel Tax Rates - API'!C16</f>
        <v>0.01</v>
      </c>
      <c r="D20" s="180">
        <f>'Diesel Fuel Tax Rates - API'!D16</f>
        <v>0.54</v>
      </c>
      <c r="E20" s="198">
        <f t="shared" si="0"/>
        <v>0.78400000000000003</v>
      </c>
      <c r="F20" s="177" t="s">
        <v>389</v>
      </c>
    </row>
    <row r="21" spans="1:6" x14ac:dyDescent="0.3">
      <c r="A21" s="177" t="s">
        <v>320</v>
      </c>
      <c r="B21" s="180">
        <f>'Diesel Fuel Tax Rates - API'!B17</f>
        <v>0.32500000000000001</v>
      </c>
      <c r="C21" s="180">
        <f>'Diesel Fuel Tax Rates - API'!C17</f>
        <v>0</v>
      </c>
      <c r="D21" s="180">
        <f>'Diesel Fuel Tax Rates - API'!D17</f>
        <v>0.32500000000000001</v>
      </c>
      <c r="E21" s="198">
        <f t="shared" si="0"/>
        <v>0.56899999999999995</v>
      </c>
      <c r="F21" s="177" t="s">
        <v>352</v>
      </c>
    </row>
    <row r="22" spans="1:6" x14ac:dyDescent="0.3">
      <c r="A22" s="177" t="s">
        <v>319</v>
      </c>
      <c r="B22" s="180">
        <f>'Diesel Fuel Tax Rates - API'!B18</f>
        <v>0.26</v>
      </c>
      <c r="C22" s="180">
        <f>'Diesel Fuel Tax Rates - API'!C18</f>
        <v>2.5000000000000001E-4</v>
      </c>
      <c r="D22" s="180">
        <f>'Diesel Fuel Tax Rates - API'!D18</f>
        <v>0.26024999999999998</v>
      </c>
      <c r="E22" s="198">
        <f t="shared" si="0"/>
        <v>0.50424999999999998</v>
      </c>
      <c r="F22" s="177" t="s">
        <v>390</v>
      </c>
    </row>
    <row r="23" spans="1:6" x14ac:dyDescent="0.3">
      <c r="A23" s="177" t="s">
        <v>318</v>
      </c>
      <c r="B23" s="180">
        <f>'Diesel Fuel Tax Rates - API'!B19</f>
        <v>0.21600000000000003</v>
      </c>
      <c r="C23" s="180">
        <f>'Diesel Fuel Tax Rates - API'!C19</f>
        <v>1.3999999999999999E-2</v>
      </c>
      <c r="D23" s="180">
        <f>'Diesel Fuel Tax Rates - API'!D19</f>
        <v>0.23000000000000004</v>
      </c>
      <c r="E23" s="198">
        <f t="shared" si="0"/>
        <v>0.47400000000000003</v>
      </c>
      <c r="F23" s="177" t="s">
        <v>353</v>
      </c>
    </row>
    <row r="24" spans="1:6" x14ac:dyDescent="0.3">
      <c r="A24" s="177" t="s">
        <v>317</v>
      </c>
      <c r="B24" s="180">
        <f>'Diesel Fuel Tax Rates - API'!B20</f>
        <v>0.2</v>
      </c>
      <c r="C24" s="180">
        <f>'Diesel Fuel Tax Rates - API'!C20</f>
        <v>1E-4</v>
      </c>
      <c r="D24" s="180">
        <f>'Diesel Fuel Tax Rates - API'!D20</f>
        <v>0.2001</v>
      </c>
      <c r="E24" s="198">
        <f t="shared" si="0"/>
        <v>0.44409999999999999</v>
      </c>
      <c r="F24" s="177" t="s">
        <v>316</v>
      </c>
    </row>
    <row r="25" spans="1:6" x14ac:dyDescent="0.3">
      <c r="A25" s="177" t="s">
        <v>315</v>
      </c>
      <c r="B25" s="180">
        <f>'Diesel Fuel Tax Rates - API'!B21</f>
        <v>0.312</v>
      </c>
      <c r="C25" s="180">
        <f>'Diesel Fuel Tax Rates - API'!C21</f>
        <v>1E-4</v>
      </c>
      <c r="D25" s="180">
        <f>'Diesel Fuel Tax Rates - API'!D21</f>
        <v>0.31209999999999999</v>
      </c>
      <c r="E25" s="198">
        <f t="shared" si="0"/>
        <v>0.55610000000000004</v>
      </c>
      <c r="F25" s="177" t="s">
        <v>391</v>
      </c>
    </row>
    <row r="26" spans="1:6" x14ac:dyDescent="0.3">
      <c r="A26" s="177" t="s">
        <v>314</v>
      </c>
      <c r="B26" s="180">
        <f>'Diesel Fuel Tax Rates - API'!B22</f>
        <v>0.27850000000000003</v>
      </c>
      <c r="C26" s="180">
        <f>'Diesel Fuel Tax Rates - API'!C22</f>
        <v>0.09</v>
      </c>
      <c r="D26" s="180">
        <f>'Diesel Fuel Tax Rates - API'!D22</f>
        <v>0.36850000000000005</v>
      </c>
      <c r="E26" s="198">
        <f t="shared" si="0"/>
        <v>0.61250000000000004</v>
      </c>
      <c r="F26" s="177" t="s">
        <v>354</v>
      </c>
    </row>
    <row r="27" spans="1:6" x14ac:dyDescent="0.3">
      <c r="A27" s="177" t="s">
        <v>313</v>
      </c>
      <c r="B27" s="180">
        <f>'Diesel Fuel Tax Rates - API'!B23</f>
        <v>0.24</v>
      </c>
      <c r="C27" s="180">
        <f>'Diesel Fuel Tax Rates - API'!C23</f>
        <v>2.5399999999999999E-2</v>
      </c>
      <c r="D27" s="180">
        <f>'Diesel Fuel Tax Rates - API'!D23</f>
        <v>0.26539999999999997</v>
      </c>
      <c r="E27" s="198">
        <f t="shared" si="0"/>
        <v>0.50939999999999996</v>
      </c>
      <c r="F27" s="177" t="s">
        <v>312</v>
      </c>
    </row>
    <row r="28" spans="1:6" x14ac:dyDescent="0.3">
      <c r="A28" s="177" t="s">
        <v>311</v>
      </c>
      <c r="B28" s="180">
        <f>'Diesel Fuel Tax Rates - API'!B24</f>
        <v>0.2717</v>
      </c>
      <c r="C28" s="180">
        <f>'Diesel Fuel Tax Rates - API'!C24</f>
        <v>0.19989999999999999</v>
      </c>
      <c r="D28" s="180">
        <f>'Diesel Fuel Tax Rates - API'!D24</f>
        <v>0.47160000000000002</v>
      </c>
      <c r="E28" s="198">
        <f t="shared" si="0"/>
        <v>0.71560000000000001</v>
      </c>
      <c r="F28" s="177" t="s">
        <v>392</v>
      </c>
    </row>
    <row r="29" spans="1:6" x14ac:dyDescent="0.3">
      <c r="A29" s="177" t="s">
        <v>310</v>
      </c>
      <c r="B29" s="180">
        <f>'Diesel Fuel Tax Rates - API'!B25</f>
        <v>0.28499999999999998</v>
      </c>
      <c r="C29" s="180">
        <f>'Diesel Fuel Tax Rates - API'!C25</f>
        <v>2.1000000000000001E-2</v>
      </c>
      <c r="D29" s="180">
        <f>'Diesel Fuel Tax Rates - API'!D25</f>
        <v>0.30599999999999999</v>
      </c>
      <c r="E29" s="198">
        <f t="shared" si="0"/>
        <v>0.55000000000000004</v>
      </c>
      <c r="F29" s="177" t="s">
        <v>393</v>
      </c>
    </row>
    <row r="30" spans="1:6" x14ac:dyDescent="0.3">
      <c r="A30" s="177" t="s">
        <v>309</v>
      </c>
      <c r="B30" s="180">
        <f>'Diesel Fuel Tax Rates - API'!B26</f>
        <v>0.18</v>
      </c>
      <c r="C30" s="180">
        <f>'Diesel Fuel Tax Rates - API'!C26</f>
        <v>4.0000000000000001E-3</v>
      </c>
      <c r="D30" s="180">
        <f>'Diesel Fuel Tax Rates - API'!D26</f>
        <v>0.184</v>
      </c>
      <c r="E30" s="198">
        <f t="shared" si="0"/>
        <v>0.42799999999999999</v>
      </c>
      <c r="F30" s="177" t="s">
        <v>355</v>
      </c>
    </row>
    <row r="31" spans="1:6" x14ac:dyDescent="0.3">
      <c r="A31" s="177" t="s">
        <v>308</v>
      </c>
      <c r="B31" s="180">
        <f>'Diesel Fuel Tax Rates - API'!B27</f>
        <v>0.19500000000000001</v>
      </c>
      <c r="C31" s="180">
        <f>'Diesel Fuel Tax Rates - API'!C27</f>
        <v>4.1999999999999997E-3</v>
      </c>
      <c r="D31" s="180">
        <f>'Diesel Fuel Tax Rates - API'!D27</f>
        <v>0.19920000000000002</v>
      </c>
      <c r="E31" s="198">
        <f t="shared" si="0"/>
        <v>0.44320000000000004</v>
      </c>
      <c r="F31" s="177" t="s">
        <v>395</v>
      </c>
    </row>
    <row r="32" spans="1:6" x14ac:dyDescent="0.3">
      <c r="A32" s="177" t="s">
        <v>307</v>
      </c>
      <c r="B32" s="180">
        <f>'Diesel Fuel Tax Rates - API'!B28</f>
        <v>0.29549999999999998</v>
      </c>
      <c r="C32" s="180">
        <f>'Diesel Fuel Tax Rates - API'!C28</f>
        <v>7.4999999999999997E-3</v>
      </c>
      <c r="D32" s="180">
        <f>'Diesel Fuel Tax Rates - API'!D28</f>
        <v>0.30299999999999999</v>
      </c>
      <c r="E32" s="198">
        <f t="shared" si="0"/>
        <v>0.54699999999999993</v>
      </c>
      <c r="F32" s="177" t="s">
        <v>356</v>
      </c>
    </row>
    <row r="33" spans="1:6" x14ac:dyDescent="0.3">
      <c r="A33" s="177" t="s">
        <v>306</v>
      </c>
      <c r="B33" s="180">
        <f>'Diesel Fuel Tax Rates - API'!B29</f>
        <v>0.248</v>
      </c>
      <c r="C33" s="180">
        <f>'Diesel Fuel Tax Rates - API'!C29</f>
        <v>3.0000000000000001E-3</v>
      </c>
      <c r="D33" s="180">
        <f>'Diesel Fuel Tax Rates - API'!D29</f>
        <v>0.251</v>
      </c>
      <c r="E33" s="198">
        <f t="shared" si="0"/>
        <v>0.495</v>
      </c>
      <c r="F33" s="177" t="s">
        <v>396</v>
      </c>
    </row>
    <row r="34" spans="1:6" x14ac:dyDescent="0.3">
      <c r="A34" s="177" t="s">
        <v>305</v>
      </c>
      <c r="B34" s="180">
        <f>'Diesel Fuel Tax Rates - API'!B30</f>
        <v>0.27</v>
      </c>
      <c r="C34" s="180">
        <f>'Diesel Fuel Tax Rates - API'!C30</f>
        <v>1.5600000000000001E-2</v>
      </c>
      <c r="D34" s="180">
        <f>'Diesel Fuel Tax Rates - API'!D30</f>
        <v>0.28560000000000002</v>
      </c>
      <c r="E34" s="198">
        <f t="shared" si="0"/>
        <v>0.52960000000000007</v>
      </c>
      <c r="F34" s="177" t="s">
        <v>357</v>
      </c>
    </row>
    <row r="35" spans="1:6" x14ac:dyDescent="0.3">
      <c r="A35" s="177" t="s">
        <v>304</v>
      </c>
      <c r="B35" s="180">
        <f>'Diesel Fuel Tax Rates - API'!B31</f>
        <v>0.222</v>
      </c>
      <c r="C35" s="180">
        <f>'Diesel Fuel Tax Rates - API'!C31</f>
        <v>1.6299999999999999E-2</v>
      </c>
      <c r="D35" s="180">
        <f>'Diesel Fuel Tax Rates - API'!D31</f>
        <v>0.23830000000000001</v>
      </c>
      <c r="E35" s="198">
        <f t="shared" si="0"/>
        <v>0.48230000000000001</v>
      </c>
      <c r="F35" s="177" t="s">
        <v>358</v>
      </c>
    </row>
    <row r="36" spans="1:6" x14ac:dyDescent="0.3">
      <c r="A36" s="177" t="s">
        <v>303</v>
      </c>
      <c r="B36" s="180">
        <f>'Diesel Fuel Tax Rates - API'!B32</f>
        <v>0.13500000000000001</v>
      </c>
      <c r="C36" s="180">
        <f>'Diesel Fuel Tax Rates - API'!C32</f>
        <v>0.442</v>
      </c>
      <c r="D36" s="180">
        <f>'Diesel Fuel Tax Rates - API'!D32</f>
        <v>0.57699999999999996</v>
      </c>
      <c r="E36" s="198">
        <f t="shared" si="0"/>
        <v>0.82099999999999995</v>
      </c>
      <c r="F36" s="177" t="s">
        <v>359</v>
      </c>
    </row>
    <row r="37" spans="1:6" x14ac:dyDescent="0.3">
      <c r="A37" s="177" t="s">
        <v>302</v>
      </c>
      <c r="B37" s="180">
        <f>'Diesel Fuel Tax Rates - API'!B33</f>
        <v>0.21</v>
      </c>
      <c r="C37" s="180">
        <f>'Diesel Fuel Tax Rates - API'!C33</f>
        <v>1.8799999999999997E-2</v>
      </c>
      <c r="D37" s="180">
        <f>'Diesel Fuel Tax Rates - API'!D33</f>
        <v>0.2288</v>
      </c>
      <c r="E37" s="198">
        <f t="shared" si="0"/>
        <v>0.4728</v>
      </c>
      <c r="F37" s="177" t="s">
        <v>360</v>
      </c>
    </row>
    <row r="38" spans="1:6" x14ac:dyDescent="0.3">
      <c r="A38" s="177" t="s">
        <v>301</v>
      </c>
      <c r="B38" s="180">
        <f>'Diesel Fuel Tax Rates - API'!B34</f>
        <v>0.08</v>
      </c>
      <c r="C38" s="180">
        <f>'Diesel Fuel Tax Rates - API'!C34</f>
        <v>0.38979999999999998</v>
      </c>
      <c r="D38" s="180">
        <f>'Diesel Fuel Tax Rates - API'!D34</f>
        <v>0.4698</v>
      </c>
      <c r="E38" s="198">
        <f t="shared" si="0"/>
        <v>0.71379999999999999</v>
      </c>
      <c r="F38" s="177" t="s">
        <v>397</v>
      </c>
    </row>
    <row r="39" spans="1:6" x14ac:dyDescent="0.3">
      <c r="A39" s="177" t="s">
        <v>300</v>
      </c>
      <c r="B39" s="180">
        <f>'Diesel Fuel Tax Rates - API'!B35</f>
        <v>0.38500000000000001</v>
      </c>
      <c r="C39" s="180">
        <f>'Diesel Fuel Tax Rates - API'!C35</f>
        <v>2.5000000000000001E-3</v>
      </c>
      <c r="D39" s="180">
        <f>'Diesel Fuel Tax Rates - API'!D35</f>
        <v>0.38750000000000001</v>
      </c>
      <c r="E39" s="198">
        <f t="shared" si="0"/>
        <v>0.63149999999999995</v>
      </c>
      <c r="F39" s="177" t="s">
        <v>398</v>
      </c>
    </row>
    <row r="40" spans="1:6" x14ac:dyDescent="0.3">
      <c r="A40" s="177" t="s">
        <v>299</v>
      </c>
      <c r="B40" s="180">
        <f>'Diesel Fuel Tax Rates - API'!B36</f>
        <v>0.23</v>
      </c>
      <c r="C40" s="180">
        <f>'Diesel Fuel Tax Rates - API'!C36</f>
        <v>0</v>
      </c>
      <c r="D40" s="180">
        <f>'Diesel Fuel Tax Rates - API'!D36</f>
        <v>0.23</v>
      </c>
      <c r="E40" s="198">
        <f t="shared" si="0"/>
        <v>0.47399999999999998</v>
      </c>
      <c r="F40" s="177" t="s">
        <v>399</v>
      </c>
    </row>
    <row r="41" spans="1:6" x14ac:dyDescent="0.3">
      <c r="A41" s="177" t="s">
        <v>298</v>
      </c>
      <c r="B41" s="180">
        <f>'Diesel Fuel Tax Rates - API'!B37</f>
        <v>0.47</v>
      </c>
      <c r="C41" s="180">
        <f>'Diesel Fuel Tax Rates - API'!C37</f>
        <v>1E-4</v>
      </c>
      <c r="D41" s="180">
        <f>'Diesel Fuel Tax Rates - API'!D37</f>
        <v>0.47009999999999996</v>
      </c>
      <c r="E41" s="198">
        <f t="shared" si="0"/>
        <v>0.71409999999999996</v>
      </c>
      <c r="F41" s="177" t="s">
        <v>400</v>
      </c>
    </row>
    <row r="42" spans="1:6" x14ac:dyDescent="0.3">
      <c r="A42" s="177" t="s">
        <v>297</v>
      </c>
      <c r="B42" s="180">
        <f>'Diesel Fuel Tax Rates - API'!B38</f>
        <v>0.19</v>
      </c>
      <c r="C42" s="180">
        <f>'Diesel Fuel Tax Rates - API'!C38</f>
        <v>0.01</v>
      </c>
      <c r="D42" s="180">
        <f>'Diesel Fuel Tax Rates - API'!D38</f>
        <v>0.2</v>
      </c>
      <c r="E42" s="198">
        <f t="shared" si="0"/>
        <v>0.44400000000000001</v>
      </c>
      <c r="F42" s="177" t="s">
        <v>296</v>
      </c>
    </row>
    <row r="43" spans="1:6" x14ac:dyDescent="0.3">
      <c r="A43" s="177" t="s">
        <v>295</v>
      </c>
      <c r="B43" s="180">
        <f>'Diesel Fuel Tax Rates - API'!B39</f>
        <v>0.36</v>
      </c>
      <c r="C43" s="180">
        <f>'Diesel Fuel Tax Rates - API'!C39</f>
        <v>2.06E-2</v>
      </c>
      <c r="D43" s="180">
        <f>'Diesel Fuel Tax Rates - API'!D39</f>
        <v>0.38059999999999999</v>
      </c>
      <c r="E43" s="198">
        <f t="shared" si="0"/>
        <v>0.62460000000000004</v>
      </c>
      <c r="F43" s="177" t="s">
        <v>361</v>
      </c>
    </row>
    <row r="44" spans="1:6" x14ac:dyDescent="0.3">
      <c r="A44" s="177" t="s">
        <v>294</v>
      </c>
      <c r="B44" s="180">
        <f>'Diesel Fuel Tax Rates - API'!B40</f>
        <v>0</v>
      </c>
      <c r="C44" s="180">
        <f>'Diesel Fuel Tax Rates - API'!C40</f>
        <v>0.752</v>
      </c>
      <c r="D44" s="180">
        <f>'Diesel Fuel Tax Rates - API'!D40</f>
        <v>0.752</v>
      </c>
      <c r="E44" s="198">
        <f t="shared" si="0"/>
        <v>0.996</v>
      </c>
      <c r="F44" s="177" t="s">
        <v>362</v>
      </c>
    </row>
    <row r="45" spans="1:6" x14ac:dyDescent="0.3">
      <c r="A45" s="177" t="s">
        <v>293</v>
      </c>
      <c r="B45" s="180">
        <f>'Diesel Fuel Tax Rates - API'!B41</f>
        <v>0.34</v>
      </c>
      <c r="C45" s="180">
        <f>'Diesel Fuel Tax Rates - API'!C41</f>
        <v>0.01</v>
      </c>
      <c r="D45" s="180">
        <f>'Diesel Fuel Tax Rates - API'!D41</f>
        <v>0.35000000000000003</v>
      </c>
      <c r="E45" s="198">
        <f t="shared" si="0"/>
        <v>0.59400000000000008</v>
      </c>
      <c r="F45" s="177" t="s">
        <v>363</v>
      </c>
    </row>
    <row r="46" spans="1:6" x14ac:dyDescent="0.3">
      <c r="A46" s="177" t="s">
        <v>292</v>
      </c>
      <c r="B46" s="180">
        <f>'Diesel Fuel Tax Rates - API'!B42</f>
        <v>0.26</v>
      </c>
      <c r="C46" s="180">
        <f>'Diesel Fuel Tax Rates - API'!C42</f>
        <v>7.4999999999999997E-3</v>
      </c>
      <c r="D46" s="180">
        <f>'Diesel Fuel Tax Rates - API'!D42</f>
        <v>0.26750000000000002</v>
      </c>
      <c r="E46" s="198">
        <f t="shared" si="0"/>
        <v>0.51150000000000007</v>
      </c>
      <c r="F46" s="177" t="s">
        <v>364</v>
      </c>
    </row>
    <row r="47" spans="1:6" x14ac:dyDescent="0.3">
      <c r="A47" s="177" t="s">
        <v>291</v>
      </c>
      <c r="B47" s="180">
        <f>'Diesel Fuel Tax Rates - API'!B43</f>
        <v>0.28000000000000003</v>
      </c>
      <c r="C47" s="180">
        <f>'Diesel Fuel Tax Rates - API'!C43</f>
        <v>0.02</v>
      </c>
      <c r="D47" s="180">
        <f>'Diesel Fuel Tax Rates - API'!D43</f>
        <v>0.30000000000000004</v>
      </c>
      <c r="E47" s="198">
        <f t="shared" si="0"/>
        <v>0.54400000000000004</v>
      </c>
      <c r="F47" s="177" t="s">
        <v>290</v>
      </c>
    </row>
    <row r="48" spans="1:6" x14ac:dyDescent="0.3">
      <c r="A48" s="177" t="s">
        <v>289</v>
      </c>
      <c r="B48" s="180">
        <f>'Diesel Fuel Tax Rates - API'!B44</f>
        <v>0.27</v>
      </c>
      <c r="C48" s="180">
        <f>'Diesel Fuel Tax Rates - API'!C44</f>
        <v>1.3999999999999999E-2</v>
      </c>
      <c r="D48" s="180">
        <f>'Diesel Fuel Tax Rates - API'!D44</f>
        <v>0.28400000000000003</v>
      </c>
      <c r="E48" s="198">
        <f t="shared" si="0"/>
        <v>0.52800000000000002</v>
      </c>
      <c r="F48" s="177" t="s">
        <v>365</v>
      </c>
    </row>
    <row r="49" spans="1:6" x14ac:dyDescent="0.3">
      <c r="A49" s="177" t="s">
        <v>288</v>
      </c>
      <c r="B49" s="180">
        <f>'Diesel Fuel Tax Rates - API'!B45</f>
        <v>0.2</v>
      </c>
      <c r="C49" s="180">
        <f>'Diesel Fuel Tax Rates - API'!C45</f>
        <v>0</v>
      </c>
      <c r="D49" s="180">
        <f>'Diesel Fuel Tax Rates - API'!D45</f>
        <v>0.2</v>
      </c>
      <c r="E49" s="198">
        <f t="shared" si="0"/>
        <v>0.44400000000000001</v>
      </c>
      <c r="F49" s="177" t="s">
        <v>287</v>
      </c>
    </row>
    <row r="50" spans="1:6" x14ac:dyDescent="0.3">
      <c r="A50" s="177" t="s">
        <v>286</v>
      </c>
      <c r="B50" s="180">
        <f>'Diesel Fuel Tax Rates - API'!B46</f>
        <v>0.31900000000000001</v>
      </c>
      <c r="C50" s="180">
        <f>'Diesel Fuel Tax Rates - API'!C46</f>
        <v>1E-4</v>
      </c>
      <c r="D50" s="180">
        <f>'Diesel Fuel Tax Rates - API'!D46</f>
        <v>0.31909999999999999</v>
      </c>
      <c r="E50" s="198">
        <f t="shared" si="0"/>
        <v>0.56309999999999993</v>
      </c>
      <c r="F50" s="177" t="s">
        <v>401</v>
      </c>
    </row>
    <row r="51" spans="1:6" x14ac:dyDescent="0.3">
      <c r="A51" s="177" t="s">
        <v>285</v>
      </c>
      <c r="B51" s="180">
        <f>'Diesel Fuel Tax Rates - API'!B47</f>
        <v>0.28000000000000003</v>
      </c>
      <c r="C51" s="180">
        <f>'Diesel Fuel Tax Rates - API'!C47</f>
        <v>0.04</v>
      </c>
      <c r="D51" s="180">
        <f>'Diesel Fuel Tax Rates - API'!D47</f>
        <v>0.32</v>
      </c>
      <c r="E51" s="198">
        <f t="shared" si="0"/>
        <v>0.56400000000000006</v>
      </c>
      <c r="F51" s="177" t="s">
        <v>402</v>
      </c>
    </row>
    <row r="52" spans="1:6" x14ac:dyDescent="0.3">
      <c r="A52" s="177" t="s">
        <v>284</v>
      </c>
      <c r="B52" s="180">
        <f>'Diesel Fuel Tax Rates - API'!B48</f>
        <v>0.27</v>
      </c>
      <c r="C52" s="180">
        <f>'Diesel Fuel Tax Rates - API'!C48</f>
        <v>8.3000000000000004E-2</v>
      </c>
      <c r="D52" s="180">
        <f>'Diesel Fuel Tax Rates - API'!D48</f>
        <v>0.35300000000000004</v>
      </c>
      <c r="E52" s="198">
        <f t="shared" si="0"/>
        <v>0.59699999999999998</v>
      </c>
      <c r="F52" s="177" t="s">
        <v>366</v>
      </c>
    </row>
    <row r="53" spans="1:6" x14ac:dyDescent="0.3">
      <c r="A53" s="177" t="s">
        <v>283</v>
      </c>
      <c r="B53" s="180">
        <f>'Diesel Fuel Tax Rates - API'!B49</f>
        <v>0.49399999999999999</v>
      </c>
      <c r="C53" s="180">
        <f>'Diesel Fuel Tax Rates - API'!C49</f>
        <v>0</v>
      </c>
      <c r="D53" s="180">
        <f>'Diesel Fuel Tax Rates - API'!D49</f>
        <v>0.49399999999999999</v>
      </c>
      <c r="E53" s="198">
        <f t="shared" si="0"/>
        <v>0.73799999999999999</v>
      </c>
      <c r="F53" s="177" t="s">
        <v>403</v>
      </c>
    </row>
    <row r="54" spans="1:6" x14ac:dyDescent="0.3">
      <c r="A54" s="177" t="s">
        <v>282</v>
      </c>
      <c r="B54" s="180">
        <f>'Diesel Fuel Tax Rates - API'!B50</f>
        <v>0.20499999999999999</v>
      </c>
      <c r="C54" s="180">
        <f>'Diesel Fuel Tax Rates - API'!C50</f>
        <v>0.152</v>
      </c>
      <c r="D54" s="180">
        <f>'Diesel Fuel Tax Rates - API'!D50</f>
        <v>0.35699999999999998</v>
      </c>
      <c r="E54" s="198">
        <f t="shared" si="0"/>
        <v>0.60099999999999998</v>
      </c>
      <c r="F54" s="177" t="s">
        <v>367</v>
      </c>
    </row>
    <row r="55" spans="1:6" x14ac:dyDescent="0.3">
      <c r="A55" s="177" t="s">
        <v>281</v>
      </c>
      <c r="B55" s="180">
        <f>'Diesel Fuel Tax Rates - API'!B51</f>
        <v>0.309</v>
      </c>
      <c r="C55" s="180">
        <f>'Diesel Fuel Tax Rates - API'!C51</f>
        <v>0.02</v>
      </c>
      <c r="D55" s="180">
        <f>'Diesel Fuel Tax Rates - API'!D51</f>
        <v>0.32900000000000001</v>
      </c>
      <c r="E55" s="198">
        <f t="shared" si="0"/>
        <v>0.57299999999999995</v>
      </c>
      <c r="F55" s="177" t="s">
        <v>280</v>
      </c>
    </row>
    <row r="56" spans="1:6" x14ac:dyDescent="0.3">
      <c r="A56" s="177" t="s">
        <v>279</v>
      </c>
      <c r="B56" s="180">
        <f>'Diesel Fuel Tax Rates - API'!B52</f>
        <v>0.23</v>
      </c>
      <c r="C56" s="180">
        <f>'Diesel Fuel Tax Rates - API'!C52</f>
        <v>0.01</v>
      </c>
      <c r="D56" s="180">
        <f>'Diesel Fuel Tax Rates - API'!D52</f>
        <v>0.24000000000000002</v>
      </c>
      <c r="E56" s="198">
        <f t="shared" si="0"/>
        <v>0.48399999999999999</v>
      </c>
      <c r="F56" s="177" t="s">
        <v>278</v>
      </c>
    </row>
    <row r="57" spans="1:6" x14ac:dyDescent="0.3">
      <c r="A57" s="177" t="s">
        <v>277</v>
      </c>
      <c r="B57" s="179">
        <v>0.26719999999999999</v>
      </c>
      <c r="C57" s="179">
        <v>0.13519999999999999</v>
      </c>
      <c r="D57" s="179">
        <v>0.40239999999999998</v>
      </c>
      <c r="E57" s="198">
        <f t="shared" si="0"/>
        <v>0.64639999999999997</v>
      </c>
      <c r="F57" s="178" t="s">
        <v>276</v>
      </c>
    </row>
    <row r="58" spans="1:6" x14ac:dyDescent="0.3">
      <c r="A58"/>
      <c r="B58"/>
      <c r="C58"/>
      <c r="D58"/>
      <c r="E58" s="198"/>
      <c r="F58"/>
    </row>
    <row r="59" spans="1:6" x14ac:dyDescent="0.3">
      <c r="A59" t="s">
        <v>275</v>
      </c>
      <c r="B59"/>
      <c r="C59"/>
      <c r="D59"/>
      <c r="E59"/>
      <c r="F59"/>
    </row>
    <row r="60" spans="1:6" x14ac:dyDescent="0.3">
      <c r="A60" s="177" t="s">
        <v>368</v>
      </c>
      <c r="D60"/>
      <c r="E60"/>
      <c r="F60"/>
    </row>
    <row r="61" spans="1:6" x14ac:dyDescent="0.3">
      <c r="A61" s="178" t="s">
        <v>369</v>
      </c>
      <c r="D61"/>
      <c r="E61"/>
      <c r="F61"/>
    </row>
    <row r="62" spans="1:6" x14ac:dyDescent="0.3">
      <c r="A62" s="176" t="s">
        <v>370</v>
      </c>
      <c r="D62"/>
      <c r="E62"/>
      <c r="F62"/>
    </row>
    <row r="63" spans="1:6" x14ac:dyDescent="0.3">
      <c r="A63" s="177" t="s">
        <v>371</v>
      </c>
      <c r="D63"/>
      <c r="E63"/>
      <c r="F63"/>
    </row>
    <row r="64" spans="1:6" x14ac:dyDescent="0.3">
      <c r="A64" s="176" t="s">
        <v>404</v>
      </c>
      <c r="D64"/>
      <c r="E64"/>
      <c r="F64"/>
    </row>
    <row r="65" spans="1:6" x14ac:dyDescent="0.3">
      <c r="A65" s="178"/>
      <c r="D65"/>
      <c r="E65"/>
      <c r="F65"/>
    </row>
    <row r="66" spans="1:6" x14ac:dyDescent="0.3">
      <c r="D66"/>
      <c r="E66"/>
      <c r="F66"/>
    </row>
    <row r="67" spans="1:6" x14ac:dyDescent="0.3">
      <c r="A67" s="178"/>
      <c r="D67"/>
      <c r="E67"/>
      <c r="F67"/>
    </row>
    <row r="68" spans="1:6" x14ac:dyDescent="0.3">
      <c r="A68" s="177"/>
      <c r="D68"/>
      <c r="E68"/>
      <c r="F68"/>
    </row>
    <row r="69" spans="1:6" x14ac:dyDescent="0.3">
      <c r="A69" s="177"/>
      <c r="D69"/>
      <c r="E69"/>
      <c r="F69"/>
    </row>
    <row r="70" spans="1:6" x14ac:dyDescent="0.3">
      <c r="A70" s="177"/>
      <c r="D70"/>
      <c r="E70"/>
      <c r="F70"/>
    </row>
    <row r="71" spans="1:6" x14ac:dyDescent="0.3">
      <c r="A71"/>
      <c r="B71"/>
      <c r="C71"/>
      <c r="D71"/>
      <c r="E71"/>
      <c r="F71"/>
    </row>
    <row r="72" spans="1:6" x14ac:dyDescent="0.3">
      <c r="A72"/>
      <c r="B72"/>
      <c r="C72"/>
      <c r="D72"/>
      <c r="E72"/>
      <c r="F72"/>
    </row>
    <row r="73" spans="1:6" x14ac:dyDescent="0.3">
      <c r="A73"/>
      <c r="B73"/>
      <c r="C73"/>
      <c r="D73"/>
      <c r="E73"/>
      <c r="F73"/>
    </row>
    <row r="74" spans="1:6" x14ac:dyDescent="0.3">
      <c r="A74"/>
      <c r="B74"/>
      <c r="C74"/>
      <c r="D74"/>
      <c r="E74"/>
      <c r="F74"/>
    </row>
    <row r="75" spans="1:6" x14ac:dyDescent="0.3">
      <c r="A75"/>
      <c r="B75"/>
      <c r="C75"/>
      <c r="D75"/>
      <c r="E75"/>
      <c r="F75"/>
    </row>
    <row r="76" spans="1:6" x14ac:dyDescent="0.3">
      <c r="A76"/>
      <c r="B76"/>
      <c r="C76"/>
      <c r="D76"/>
      <c r="E76"/>
      <c r="F76"/>
    </row>
    <row r="77" spans="1:6" x14ac:dyDescent="0.3">
      <c r="A77"/>
      <c r="B77"/>
      <c r="C77"/>
      <c r="D77"/>
      <c r="E77"/>
      <c r="F77"/>
    </row>
    <row r="78" spans="1:6" x14ac:dyDescent="0.3">
      <c r="A78"/>
      <c r="B78"/>
      <c r="C78"/>
      <c r="D78"/>
      <c r="E78"/>
      <c r="F78"/>
    </row>
    <row r="79" spans="1:6" x14ac:dyDescent="0.3">
      <c r="A79"/>
      <c r="B79"/>
      <c r="C79"/>
      <c r="D79"/>
      <c r="E79"/>
      <c r="F79"/>
    </row>
    <row r="80" spans="1:6" x14ac:dyDescent="0.3">
      <c r="A80"/>
      <c r="B80"/>
      <c r="C80"/>
      <c r="D80"/>
      <c r="E80"/>
      <c r="F80"/>
    </row>
    <row r="81" spans="1:6" x14ac:dyDescent="0.3">
      <c r="A81"/>
      <c r="B81"/>
      <c r="C81"/>
      <c r="D81"/>
      <c r="E81"/>
      <c r="F81"/>
    </row>
    <row r="82" spans="1:6" x14ac:dyDescent="0.3">
      <c r="A82"/>
      <c r="B82"/>
      <c r="C82"/>
      <c r="D82"/>
      <c r="E82"/>
      <c r="F82"/>
    </row>
    <row r="83" spans="1:6" x14ac:dyDescent="0.3">
      <c r="A83"/>
      <c r="B83"/>
      <c r="C83"/>
      <c r="D83"/>
      <c r="E83"/>
      <c r="F83"/>
    </row>
    <row r="84" spans="1:6" x14ac:dyDescent="0.3">
      <c r="A84"/>
      <c r="B84"/>
      <c r="C84"/>
      <c r="D84"/>
      <c r="E84"/>
      <c r="F84"/>
    </row>
    <row r="85" spans="1:6" x14ac:dyDescent="0.3">
      <c r="A85"/>
      <c r="B85"/>
      <c r="C85"/>
      <c r="D85"/>
      <c r="E85"/>
      <c r="F85"/>
    </row>
    <row r="86" spans="1:6" x14ac:dyDescent="0.3">
      <c r="A86"/>
      <c r="B86"/>
      <c r="C86"/>
      <c r="D86"/>
      <c r="E86"/>
      <c r="F86"/>
    </row>
    <row r="87" spans="1:6" x14ac:dyDescent="0.3">
      <c r="A87"/>
      <c r="B87"/>
      <c r="C87"/>
      <c r="D87"/>
      <c r="E87"/>
      <c r="F87"/>
    </row>
    <row r="88" spans="1:6" x14ac:dyDescent="0.3">
      <c r="A88"/>
      <c r="B88"/>
      <c r="C88"/>
      <c r="D88"/>
      <c r="E88"/>
      <c r="F88"/>
    </row>
    <row r="89" spans="1:6" x14ac:dyDescent="0.3">
      <c r="A89"/>
      <c r="B89"/>
      <c r="C89"/>
      <c r="D89"/>
      <c r="E89"/>
      <c r="F89"/>
    </row>
    <row r="90" spans="1:6" x14ac:dyDescent="0.3">
      <c r="A90"/>
      <c r="B90"/>
      <c r="C90"/>
      <c r="D90"/>
      <c r="E90"/>
      <c r="F90"/>
    </row>
    <row r="91" spans="1:6" x14ac:dyDescent="0.3">
      <c r="A91"/>
      <c r="B91"/>
      <c r="C91"/>
      <c r="D91"/>
      <c r="E91"/>
      <c r="F91"/>
    </row>
    <row r="92" spans="1:6" x14ac:dyDescent="0.3">
      <c r="A92"/>
      <c r="B92"/>
      <c r="C92"/>
      <c r="D92"/>
      <c r="E92"/>
      <c r="F92"/>
    </row>
    <row r="93" spans="1:6" x14ac:dyDescent="0.3">
      <c r="A93"/>
      <c r="B93"/>
      <c r="C93"/>
      <c r="D93"/>
      <c r="E93"/>
      <c r="F93"/>
    </row>
    <row r="94" spans="1:6" x14ac:dyDescent="0.3">
      <c r="A94"/>
      <c r="B94"/>
      <c r="C94"/>
      <c r="D94"/>
      <c r="E94"/>
      <c r="F94"/>
    </row>
    <row r="95" spans="1:6" x14ac:dyDescent="0.3">
      <c r="A95"/>
      <c r="B95"/>
      <c r="C95"/>
      <c r="D95"/>
      <c r="E95"/>
      <c r="F95"/>
    </row>
    <row r="96" spans="1:6" x14ac:dyDescent="0.3">
      <c r="A96"/>
      <c r="B96"/>
      <c r="C96"/>
      <c r="D96"/>
      <c r="E96"/>
      <c r="F96"/>
    </row>
    <row r="97" spans="1:6" x14ac:dyDescent="0.3">
      <c r="A97"/>
      <c r="B97"/>
      <c r="C97"/>
      <c r="D97"/>
      <c r="E97"/>
      <c r="F97"/>
    </row>
    <row r="98" spans="1:6" x14ac:dyDescent="0.3">
      <c r="A98"/>
      <c r="B98"/>
      <c r="C98"/>
      <c r="D98"/>
      <c r="E98"/>
      <c r="F98"/>
    </row>
    <row r="99" spans="1:6" x14ac:dyDescent="0.3">
      <c r="A99"/>
      <c r="B99"/>
      <c r="C99"/>
      <c r="D99"/>
      <c r="E99"/>
      <c r="F99"/>
    </row>
    <row r="100" spans="1:6" x14ac:dyDescent="0.3">
      <c r="A100"/>
      <c r="B100"/>
      <c r="C100"/>
      <c r="D100"/>
      <c r="E100"/>
      <c r="F100"/>
    </row>
    <row r="101" spans="1:6" x14ac:dyDescent="0.3">
      <c r="A101"/>
      <c r="B101"/>
      <c r="C101"/>
      <c r="D101"/>
      <c r="E101"/>
      <c r="F101"/>
    </row>
    <row r="102" spans="1:6" x14ac:dyDescent="0.3">
      <c r="A102"/>
      <c r="B102"/>
      <c r="C102"/>
      <c r="D102"/>
      <c r="E102"/>
      <c r="F102"/>
    </row>
    <row r="103" spans="1:6" x14ac:dyDescent="0.3">
      <c r="A103"/>
      <c r="B103"/>
      <c r="C103"/>
      <c r="D103"/>
      <c r="E103"/>
      <c r="F103"/>
    </row>
    <row r="104" spans="1:6" x14ac:dyDescent="0.3">
      <c r="A104"/>
      <c r="B104"/>
      <c r="C104"/>
      <c r="D104"/>
      <c r="E104"/>
      <c r="F104"/>
    </row>
    <row r="105" spans="1:6" x14ac:dyDescent="0.3">
      <c r="A105"/>
      <c r="B105"/>
      <c r="C105"/>
      <c r="D105"/>
      <c r="E105"/>
      <c r="F105"/>
    </row>
    <row r="106" spans="1:6" x14ac:dyDescent="0.3">
      <c r="A106"/>
      <c r="B106"/>
      <c r="C106"/>
      <c r="D106"/>
      <c r="E106"/>
      <c r="F106"/>
    </row>
    <row r="107" spans="1:6" x14ac:dyDescent="0.3">
      <c r="A107"/>
      <c r="B107"/>
      <c r="C107"/>
      <c r="D107"/>
      <c r="E107"/>
      <c r="F107"/>
    </row>
    <row r="108" spans="1:6" x14ac:dyDescent="0.3">
      <c r="A108"/>
      <c r="B108"/>
      <c r="C108"/>
      <c r="D108"/>
      <c r="E108"/>
      <c r="F108"/>
    </row>
    <row r="109" spans="1:6" x14ac:dyDescent="0.3">
      <c r="A109"/>
      <c r="B109"/>
      <c r="C109"/>
      <c r="D109"/>
      <c r="E109"/>
      <c r="F109"/>
    </row>
    <row r="110" spans="1:6" x14ac:dyDescent="0.3">
      <c r="A110"/>
      <c r="B110"/>
      <c r="C110"/>
      <c r="D110"/>
      <c r="E110"/>
      <c r="F110"/>
    </row>
    <row r="111" spans="1:6" x14ac:dyDescent="0.3">
      <c r="A111"/>
      <c r="B111"/>
      <c r="C111"/>
      <c r="D111"/>
      <c r="E111"/>
      <c r="F111"/>
    </row>
    <row r="112" spans="1:6" x14ac:dyDescent="0.3">
      <c r="A112"/>
      <c r="B112"/>
      <c r="C112"/>
      <c r="D112"/>
      <c r="E112"/>
      <c r="F112"/>
    </row>
    <row r="113" spans="1:6" x14ac:dyDescent="0.3">
      <c r="A113"/>
      <c r="B113"/>
      <c r="C113"/>
      <c r="D113"/>
      <c r="E113"/>
      <c r="F113"/>
    </row>
    <row r="114" spans="1:6" x14ac:dyDescent="0.3">
      <c r="A114"/>
      <c r="B114"/>
      <c r="C114"/>
      <c r="D114"/>
      <c r="E114"/>
      <c r="F114"/>
    </row>
    <row r="115" spans="1:6" x14ac:dyDescent="0.3">
      <c r="A115"/>
      <c r="B115"/>
      <c r="C115"/>
      <c r="D115"/>
      <c r="E115"/>
      <c r="F115"/>
    </row>
    <row r="116" spans="1:6" x14ac:dyDescent="0.3">
      <c r="A116"/>
      <c r="B116"/>
      <c r="C116"/>
      <c r="D116"/>
      <c r="E116"/>
      <c r="F116"/>
    </row>
    <row r="117" spans="1:6" x14ac:dyDescent="0.3">
      <c r="A117"/>
      <c r="B117"/>
      <c r="C117"/>
      <c r="D117"/>
      <c r="E117"/>
      <c r="F117"/>
    </row>
    <row r="118" spans="1:6" x14ac:dyDescent="0.3">
      <c r="A118"/>
      <c r="B118"/>
      <c r="C118"/>
      <c r="D118"/>
      <c r="E118"/>
      <c r="F118"/>
    </row>
    <row r="119" spans="1:6" x14ac:dyDescent="0.3">
      <c r="A119"/>
      <c r="B119"/>
      <c r="C119"/>
      <c r="D119"/>
      <c r="E119"/>
      <c r="F119"/>
    </row>
    <row r="120" spans="1:6" x14ac:dyDescent="0.3">
      <c r="A120"/>
      <c r="B120"/>
      <c r="C120"/>
      <c r="D120"/>
      <c r="E120"/>
      <c r="F120"/>
    </row>
    <row r="121" spans="1:6" x14ac:dyDescent="0.3">
      <c r="A121"/>
      <c r="B121"/>
      <c r="C121"/>
      <c r="D121"/>
      <c r="E121"/>
      <c r="F121"/>
    </row>
    <row r="122" spans="1:6" x14ac:dyDescent="0.3">
      <c r="A122"/>
      <c r="B122"/>
      <c r="C122"/>
      <c r="D122"/>
      <c r="E122"/>
      <c r="F122"/>
    </row>
    <row r="123" spans="1:6" x14ac:dyDescent="0.3">
      <c r="A123"/>
      <c r="B123"/>
      <c r="C123"/>
      <c r="D123"/>
      <c r="E123"/>
      <c r="F123"/>
    </row>
    <row r="124" spans="1:6" x14ac:dyDescent="0.3">
      <c r="A124"/>
      <c r="B124"/>
      <c r="C124"/>
      <c r="D124"/>
      <c r="E124"/>
      <c r="F124"/>
    </row>
    <row r="125" spans="1:6" x14ac:dyDescent="0.3">
      <c r="A125"/>
      <c r="B125"/>
      <c r="C125"/>
      <c r="D125"/>
      <c r="E125"/>
      <c r="F125"/>
    </row>
    <row r="126" spans="1:6" x14ac:dyDescent="0.3">
      <c r="A126"/>
      <c r="B126"/>
      <c r="C126"/>
      <c r="D126"/>
      <c r="E126"/>
      <c r="F126"/>
    </row>
    <row r="127" spans="1:6" x14ac:dyDescent="0.3">
      <c r="A127"/>
      <c r="B127"/>
      <c r="C127"/>
      <c r="D127"/>
      <c r="E127"/>
      <c r="F127"/>
    </row>
    <row r="128" spans="1:6" x14ac:dyDescent="0.3">
      <c r="A128"/>
      <c r="B128"/>
      <c r="C128"/>
      <c r="D128"/>
      <c r="E128"/>
      <c r="F128"/>
    </row>
    <row r="129" spans="1:6" x14ac:dyDescent="0.3">
      <c r="A129"/>
      <c r="B129"/>
      <c r="C129"/>
      <c r="D129"/>
      <c r="E129"/>
      <c r="F129"/>
    </row>
    <row r="130" spans="1:6" x14ac:dyDescent="0.3">
      <c r="A130"/>
      <c r="B130"/>
      <c r="C130"/>
      <c r="D130"/>
      <c r="E130"/>
      <c r="F130"/>
    </row>
    <row r="131" spans="1:6" x14ac:dyDescent="0.3">
      <c r="A131"/>
      <c r="B131"/>
      <c r="C131"/>
      <c r="D131"/>
      <c r="E131"/>
      <c r="F131"/>
    </row>
    <row r="132" spans="1:6" x14ac:dyDescent="0.3">
      <c r="A132"/>
      <c r="B132"/>
      <c r="C132"/>
      <c r="D132"/>
      <c r="E132"/>
      <c r="F132"/>
    </row>
    <row r="133" spans="1:6" x14ac:dyDescent="0.3">
      <c r="A133"/>
      <c r="B133"/>
      <c r="C133"/>
      <c r="D133"/>
      <c r="E133"/>
      <c r="F133"/>
    </row>
    <row r="134" spans="1:6" x14ac:dyDescent="0.3">
      <c r="A134"/>
      <c r="B134"/>
      <c r="C134"/>
      <c r="D134"/>
      <c r="E134"/>
      <c r="F134"/>
    </row>
    <row r="135" spans="1:6" x14ac:dyDescent="0.3">
      <c r="A135"/>
      <c r="B135"/>
      <c r="C135"/>
      <c r="D135"/>
      <c r="E135"/>
      <c r="F135"/>
    </row>
    <row r="136" spans="1:6" x14ac:dyDescent="0.3">
      <c r="A136"/>
      <c r="B136"/>
      <c r="C136"/>
      <c r="D136"/>
      <c r="E136"/>
      <c r="F136"/>
    </row>
    <row r="137" spans="1:6" x14ac:dyDescent="0.3">
      <c r="A137"/>
      <c r="B137"/>
      <c r="C137"/>
      <c r="D137"/>
      <c r="E137"/>
      <c r="F137"/>
    </row>
    <row r="138" spans="1:6" x14ac:dyDescent="0.3">
      <c r="A138"/>
      <c r="B138"/>
      <c r="C138"/>
      <c r="D138"/>
      <c r="E138"/>
      <c r="F138"/>
    </row>
    <row r="139" spans="1:6" x14ac:dyDescent="0.3">
      <c r="A139"/>
      <c r="B139"/>
      <c r="C139"/>
      <c r="D139"/>
      <c r="E139"/>
      <c r="F139"/>
    </row>
    <row r="140" spans="1:6" x14ac:dyDescent="0.3">
      <c r="A140"/>
      <c r="B140"/>
      <c r="C140"/>
      <c r="D140"/>
      <c r="E140"/>
      <c r="F140"/>
    </row>
    <row r="141" spans="1:6" x14ac:dyDescent="0.3">
      <c r="A141"/>
      <c r="B141"/>
      <c r="C141"/>
      <c r="D141"/>
      <c r="E141"/>
      <c r="F141"/>
    </row>
    <row r="142" spans="1:6" x14ac:dyDescent="0.3">
      <c r="A142"/>
      <c r="B142"/>
      <c r="C142"/>
      <c r="D142"/>
      <c r="E142"/>
      <c r="F142"/>
    </row>
    <row r="143" spans="1:6" x14ac:dyDescent="0.3">
      <c r="A143"/>
      <c r="B143"/>
      <c r="C143"/>
      <c r="D143"/>
      <c r="E143"/>
      <c r="F143"/>
    </row>
    <row r="144" spans="1:6" x14ac:dyDescent="0.3">
      <c r="A144"/>
      <c r="B144"/>
      <c r="C144"/>
      <c r="D144"/>
      <c r="E144"/>
      <c r="F144"/>
    </row>
    <row r="145" spans="1:6" x14ac:dyDescent="0.3">
      <c r="A145"/>
      <c r="B145"/>
      <c r="C145"/>
      <c r="D145"/>
      <c r="E145"/>
      <c r="F145"/>
    </row>
    <row r="146" spans="1:6" x14ac:dyDescent="0.3">
      <c r="A146"/>
      <c r="B146"/>
      <c r="C146"/>
      <c r="D146"/>
      <c r="E146"/>
      <c r="F146"/>
    </row>
    <row r="147" spans="1:6" x14ac:dyDescent="0.3">
      <c r="A147"/>
      <c r="B147"/>
      <c r="C147"/>
      <c r="D147"/>
      <c r="E147"/>
      <c r="F147"/>
    </row>
    <row r="148" spans="1:6" x14ac:dyDescent="0.3">
      <c r="A148"/>
      <c r="B148"/>
      <c r="C148"/>
      <c r="D148"/>
      <c r="E148"/>
      <c r="F148"/>
    </row>
    <row r="149" spans="1:6" x14ac:dyDescent="0.3">
      <c r="A149"/>
      <c r="B149"/>
      <c r="C149"/>
      <c r="D149"/>
      <c r="E149"/>
      <c r="F149"/>
    </row>
    <row r="150" spans="1:6" x14ac:dyDescent="0.3">
      <c r="A150"/>
      <c r="B150"/>
      <c r="C150"/>
      <c r="D150"/>
      <c r="E150"/>
      <c r="F150"/>
    </row>
    <row r="151" spans="1:6" x14ac:dyDescent="0.3">
      <c r="A151"/>
      <c r="B151"/>
      <c r="C151"/>
      <c r="D151"/>
      <c r="E151"/>
      <c r="F151"/>
    </row>
    <row r="152" spans="1:6" x14ac:dyDescent="0.3">
      <c r="A152"/>
      <c r="B152"/>
      <c r="C152"/>
      <c r="D152"/>
      <c r="E152"/>
      <c r="F152"/>
    </row>
    <row r="153" spans="1:6" x14ac:dyDescent="0.3">
      <c r="A153"/>
      <c r="B153"/>
      <c r="C153"/>
      <c r="D153"/>
      <c r="E153"/>
      <c r="F153"/>
    </row>
    <row r="154" spans="1:6" x14ac:dyDescent="0.3">
      <c r="A154"/>
      <c r="B154"/>
      <c r="C154"/>
      <c r="D154"/>
      <c r="E154"/>
      <c r="F154"/>
    </row>
    <row r="155" spans="1:6" x14ac:dyDescent="0.3">
      <c r="A155"/>
      <c r="B155"/>
      <c r="C155"/>
      <c r="D155"/>
      <c r="E155"/>
      <c r="F155"/>
    </row>
    <row r="156" spans="1:6" x14ac:dyDescent="0.3">
      <c r="A156"/>
      <c r="B156"/>
      <c r="C156"/>
      <c r="D156"/>
      <c r="E156"/>
      <c r="F156"/>
    </row>
    <row r="157" spans="1:6" x14ac:dyDescent="0.3">
      <c r="A157"/>
      <c r="B157"/>
      <c r="C157"/>
      <c r="D157"/>
      <c r="E157"/>
      <c r="F157"/>
    </row>
    <row r="158" spans="1:6" x14ac:dyDescent="0.3">
      <c r="A158"/>
      <c r="B158"/>
      <c r="C158"/>
      <c r="D158"/>
      <c r="E158"/>
      <c r="F158"/>
    </row>
    <row r="159" spans="1:6" x14ac:dyDescent="0.3">
      <c r="A159"/>
      <c r="B159"/>
      <c r="C159"/>
      <c r="D159"/>
      <c r="E159"/>
      <c r="F159"/>
    </row>
    <row r="160" spans="1:6" x14ac:dyDescent="0.3">
      <c r="A160"/>
      <c r="B160"/>
      <c r="C160"/>
      <c r="D160"/>
      <c r="E160"/>
      <c r="F160"/>
    </row>
    <row r="161" spans="1:6" x14ac:dyDescent="0.3">
      <c r="A161"/>
      <c r="B161"/>
      <c r="C161"/>
      <c r="D161"/>
      <c r="E161"/>
      <c r="F161"/>
    </row>
    <row r="162" spans="1:6" x14ac:dyDescent="0.3">
      <c r="A162"/>
      <c r="B162"/>
      <c r="C162"/>
      <c r="D162"/>
      <c r="E162"/>
      <c r="F162"/>
    </row>
    <row r="163" spans="1:6" x14ac:dyDescent="0.3">
      <c r="A163"/>
      <c r="B163"/>
      <c r="C163"/>
      <c r="D163"/>
      <c r="E163"/>
      <c r="F163"/>
    </row>
    <row r="164" spans="1:6" x14ac:dyDescent="0.3">
      <c r="A164"/>
      <c r="B164"/>
      <c r="C164"/>
      <c r="D164"/>
      <c r="E164"/>
      <c r="F164"/>
    </row>
    <row r="165" spans="1:6" x14ac:dyDescent="0.3">
      <c r="A165"/>
      <c r="B165"/>
      <c r="C165"/>
      <c r="D165"/>
      <c r="E165"/>
      <c r="F165"/>
    </row>
    <row r="166" spans="1:6" x14ac:dyDescent="0.3">
      <c r="A166"/>
      <c r="B166"/>
      <c r="C166"/>
      <c r="D166"/>
      <c r="E166"/>
      <c r="F166"/>
    </row>
    <row r="167" spans="1:6" x14ac:dyDescent="0.3">
      <c r="A167"/>
      <c r="B167"/>
      <c r="C167"/>
      <c r="D167"/>
      <c r="E167"/>
      <c r="F167"/>
    </row>
    <row r="168" spans="1:6" x14ac:dyDescent="0.3">
      <c r="A168"/>
      <c r="B168"/>
      <c r="C168"/>
      <c r="D168"/>
      <c r="E168"/>
      <c r="F168"/>
    </row>
    <row r="169" spans="1:6" x14ac:dyDescent="0.3">
      <c r="A169"/>
      <c r="B169"/>
      <c r="C169"/>
      <c r="D169"/>
      <c r="E169"/>
      <c r="F169"/>
    </row>
    <row r="170" spans="1:6" x14ac:dyDescent="0.3">
      <c r="A170"/>
      <c r="B170"/>
      <c r="C170"/>
      <c r="D170"/>
      <c r="E170"/>
      <c r="F170"/>
    </row>
    <row r="171" spans="1:6" x14ac:dyDescent="0.3">
      <c r="A171"/>
      <c r="B171"/>
      <c r="C171"/>
      <c r="D171"/>
      <c r="E171"/>
      <c r="F171"/>
    </row>
    <row r="172" spans="1:6" x14ac:dyDescent="0.3">
      <c r="A172"/>
      <c r="B172"/>
      <c r="C172"/>
      <c r="D172"/>
      <c r="E172"/>
      <c r="F172"/>
    </row>
    <row r="173" spans="1:6" x14ac:dyDescent="0.3">
      <c r="A173"/>
      <c r="B173"/>
      <c r="C173"/>
      <c r="D173"/>
      <c r="E173"/>
      <c r="F173"/>
    </row>
    <row r="174" spans="1:6" x14ac:dyDescent="0.3">
      <c r="A174"/>
      <c r="B174"/>
      <c r="C174"/>
      <c r="D174"/>
      <c r="E174"/>
      <c r="F174"/>
    </row>
    <row r="175" spans="1:6" x14ac:dyDescent="0.3">
      <c r="A175"/>
      <c r="B175"/>
      <c r="C175"/>
      <c r="D175"/>
      <c r="E175"/>
      <c r="F175"/>
    </row>
    <row r="176" spans="1:6" x14ac:dyDescent="0.3">
      <c r="A176"/>
      <c r="B176"/>
      <c r="C176"/>
      <c r="D176"/>
      <c r="E176"/>
      <c r="F176"/>
    </row>
    <row r="177" spans="1:6" x14ac:dyDescent="0.3">
      <c r="A177"/>
      <c r="B177"/>
      <c r="C177"/>
      <c r="D177"/>
      <c r="E177"/>
      <c r="F177"/>
    </row>
    <row r="178" spans="1:6" x14ac:dyDescent="0.3">
      <c r="A178"/>
      <c r="B178"/>
      <c r="C178"/>
      <c r="D178"/>
      <c r="E178"/>
      <c r="F178"/>
    </row>
    <row r="179" spans="1:6" x14ac:dyDescent="0.3">
      <c r="A179"/>
      <c r="B179"/>
      <c r="C179"/>
      <c r="D179"/>
      <c r="E179"/>
      <c r="F179"/>
    </row>
    <row r="180" spans="1:6" x14ac:dyDescent="0.3">
      <c r="A180"/>
      <c r="B180"/>
      <c r="C180"/>
      <c r="D180"/>
      <c r="E180"/>
      <c r="F180"/>
    </row>
    <row r="181" spans="1:6" x14ac:dyDescent="0.3">
      <c r="A181"/>
      <c r="B181"/>
      <c r="C181"/>
      <c r="D181"/>
      <c r="E181"/>
      <c r="F181"/>
    </row>
    <row r="182" spans="1:6" x14ac:dyDescent="0.3">
      <c r="A182"/>
      <c r="B182"/>
      <c r="C182"/>
      <c r="D182"/>
      <c r="E182"/>
      <c r="F182"/>
    </row>
    <row r="183" spans="1:6" x14ac:dyDescent="0.3">
      <c r="A183"/>
      <c r="B183"/>
      <c r="C183"/>
      <c r="D183"/>
      <c r="E183"/>
      <c r="F183"/>
    </row>
    <row r="184" spans="1:6" x14ac:dyDescent="0.3">
      <c r="A184"/>
      <c r="B184"/>
      <c r="C184"/>
      <c r="D184"/>
      <c r="E184"/>
      <c r="F184"/>
    </row>
    <row r="185" spans="1:6" x14ac:dyDescent="0.3">
      <c r="A185"/>
      <c r="B185"/>
      <c r="C185"/>
      <c r="D185"/>
      <c r="E185"/>
      <c r="F185"/>
    </row>
    <row r="186" spans="1:6" x14ac:dyDescent="0.3">
      <c r="A186"/>
      <c r="B186"/>
      <c r="C186"/>
      <c r="D186"/>
      <c r="E186"/>
      <c r="F186"/>
    </row>
    <row r="187" spans="1:6" x14ac:dyDescent="0.3">
      <c r="A187"/>
      <c r="B187"/>
      <c r="C187"/>
      <c r="D187"/>
      <c r="E187"/>
      <c r="F187"/>
    </row>
    <row r="188" spans="1:6" x14ac:dyDescent="0.3">
      <c r="A188"/>
      <c r="B188"/>
      <c r="C188"/>
      <c r="D188"/>
      <c r="E188"/>
      <c r="F188"/>
    </row>
    <row r="189" spans="1:6" x14ac:dyDescent="0.3">
      <c r="A189"/>
      <c r="B189"/>
      <c r="C189"/>
      <c r="D189"/>
      <c r="E189"/>
      <c r="F189"/>
    </row>
    <row r="190" spans="1:6" x14ac:dyDescent="0.3">
      <c r="A190"/>
      <c r="B190"/>
      <c r="C190"/>
      <c r="D190"/>
      <c r="E190"/>
      <c r="F190"/>
    </row>
    <row r="191" spans="1:6" x14ac:dyDescent="0.3">
      <c r="A191"/>
      <c r="B191"/>
      <c r="C191"/>
      <c r="D191"/>
      <c r="E191"/>
      <c r="F191"/>
    </row>
    <row r="192" spans="1:6" x14ac:dyDescent="0.3">
      <c r="A192"/>
      <c r="B192"/>
      <c r="C192"/>
      <c r="D192"/>
      <c r="E192"/>
      <c r="F192"/>
    </row>
    <row r="193" spans="1:6" x14ac:dyDescent="0.3">
      <c r="A193"/>
      <c r="B193"/>
      <c r="C193"/>
      <c r="D193"/>
      <c r="E193"/>
      <c r="F193"/>
    </row>
    <row r="194" spans="1:6" x14ac:dyDescent="0.3">
      <c r="A194"/>
      <c r="B194"/>
      <c r="C194"/>
      <c r="D194"/>
      <c r="E194"/>
      <c r="F194"/>
    </row>
    <row r="195" spans="1:6" x14ac:dyDescent="0.3">
      <c r="A195"/>
      <c r="B195"/>
      <c r="C195"/>
      <c r="D195"/>
      <c r="E195"/>
      <c r="F195"/>
    </row>
    <row r="196" spans="1:6" x14ac:dyDescent="0.3">
      <c r="A196"/>
      <c r="B196"/>
      <c r="C196"/>
      <c r="D196"/>
      <c r="E196"/>
      <c r="F196"/>
    </row>
    <row r="197" spans="1:6" x14ac:dyDescent="0.3">
      <c r="A197"/>
      <c r="B197"/>
      <c r="C197"/>
      <c r="D197"/>
      <c r="E197"/>
      <c r="F197"/>
    </row>
    <row r="198" spans="1:6" x14ac:dyDescent="0.3">
      <c r="A198"/>
      <c r="B198"/>
      <c r="C198"/>
      <c r="D198"/>
      <c r="E198"/>
      <c r="F198"/>
    </row>
    <row r="199" spans="1:6" x14ac:dyDescent="0.3">
      <c r="A199"/>
      <c r="B199"/>
      <c r="C199"/>
      <c r="D199"/>
      <c r="E199"/>
      <c r="F199"/>
    </row>
    <row r="200" spans="1:6" x14ac:dyDescent="0.3">
      <c r="A200"/>
      <c r="B200"/>
      <c r="C200"/>
      <c r="D200"/>
      <c r="E200"/>
      <c r="F200"/>
    </row>
    <row r="201" spans="1:6" x14ac:dyDescent="0.3">
      <c r="A201"/>
      <c r="B201"/>
      <c r="C201"/>
      <c r="D201"/>
      <c r="E201"/>
      <c r="F201"/>
    </row>
    <row r="202" spans="1:6" x14ac:dyDescent="0.3">
      <c r="A202"/>
      <c r="B202"/>
      <c r="C202"/>
      <c r="D202"/>
      <c r="E202"/>
      <c r="F202"/>
    </row>
    <row r="203" spans="1:6" x14ac:dyDescent="0.3">
      <c r="A203"/>
      <c r="B203"/>
      <c r="C203"/>
      <c r="D203"/>
      <c r="E203"/>
      <c r="F203"/>
    </row>
    <row r="204" spans="1:6" x14ac:dyDescent="0.3">
      <c r="A204"/>
      <c r="B204"/>
      <c r="C204"/>
      <c r="D204"/>
      <c r="E204"/>
      <c r="F204"/>
    </row>
    <row r="205" spans="1:6" x14ac:dyDescent="0.3">
      <c r="A205"/>
      <c r="B205"/>
      <c r="C205"/>
      <c r="D205"/>
      <c r="E205"/>
      <c r="F205"/>
    </row>
    <row r="206" spans="1:6" x14ac:dyDescent="0.3">
      <c r="A206"/>
      <c r="B206"/>
      <c r="C206"/>
      <c r="D206"/>
      <c r="E206"/>
      <c r="F206"/>
    </row>
    <row r="207" spans="1:6" x14ac:dyDescent="0.3">
      <c r="A207"/>
      <c r="B207"/>
      <c r="C207"/>
      <c r="D207"/>
      <c r="E207"/>
      <c r="F207"/>
    </row>
    <row r="208" spans="1:6" x14ac:dyDescent="0.3">
      <c r="A208"/>
      <c r="B208"/>
      <c r="C208"/>
      <c r="D208"/>
      <c r="E208"/>
      <c r="F208"/>
    </row>
    <row r="209" spans="1:6" x14ac:dyDescent="0.3">
      <c r="A209"/>
      <c r="B209"/>
      <c r="C209"/>
      <c r="D209"/>
      <c r="E209"/>
      <c r="F209"/>
    </row>
    <row r="210" spans="1:6" x14ac:dyDescent="0.3">
      <c r="A210"/>
      <c r="B210"/>
      <c r="C210"/>
      <c r="D210"/>
      <c r="E210"/>
      <c r="F210"/>
    </row>
    <row r="211" spans="1:6" x14ac:dyDescent="0.3">
      <c r="A211"/>
      <c r="B211"/>
      <c r="C211"/>
      <c r="D211"/>
      <c r="E211"/>
      <c r="F211"/>
    </row>
    <row r="212" spans="1:6" x14ac:dyDescent="0.3">
      <c r="A212"/>
      <c r="B212"/>
      <c r="C212"/>
      <c r="D212"/>
      <c r="E212"/>
      <c r="F212"/>
    </row>
    <row r="213" spans="1:6" x14ac:dyDescent="0.3">
      <c r="A213"/>
      <c r="B213"/>
      <c r="C213"/>
      <c r="D213"/>
      <c r="E213"/>
      <c r="F213"/>
    </row>
    <row r="214" spans="1:6" x14ac:dyDescent="0.3">
      <c r="A214"/>
      <c r="B214"/>
      <c r="C214"/>
      <c r="D214"/>
      <c r="E214"/>
      <c r="F214"/>
    </row>
    <row r="215" spans="1:6" x14ac:dyDescent="0.3">
      <c r="A215"/>
      <c r="B215"/>
      <c r="C215"/>
      <c r="D215"/>
      <c r="E215"/>
      <c r="F215"/>
    </row>
    <row r="216" spans="1:6" x14ac:dyDescent="0.3">
      <c r="A216"/>
      <c r="B216"/>
      <c r="C216"/>
      <c r="D216"/>
      <c r="E216"/>
      <c r="F216"/>
    </row>
    <row r="217" spans="1:6" x14ac:dyDescent="0.3">
      <c r="A217"/>
      <c r="B217"/>
      <c r="C217"/>
      <c r="D217"/>
      <c r="E217"/>
      <c r="F217"/>
    </row>
    <row r="218" spans="1:6" x14ac:dyDescent="0.3">
      <c r="A218"/>
      <c r="B218"/>
      <c r="C218"/>
      <c r="D218"/>
      <c r="E218"/>
      <c r="F218"/>
    </row>
    <row r="219" spans="1:6" x14ac:dyDescent="0.3">
      <c r="A219"/>
      <c r="B219"/>
      <c r="C219"/>
      <c r="D219"/>
      <c r="E219"/>
      <c r="F219"/>
    </row>
    <row r="220" spans="1:6" x14ac:dyDescent="0.3">
      <c r="A220"/>
      <c r="B220"/>
      <c r="C220"/>
      <c r="D220"/>
      <c r="E220"/>
      <c r="F220"/>
    </row>
    <row r="221" spans="1:6" x14ac:dyDescent="0.3">
      <c r="A221"/>
      <c r="B221"/>
      <c r="C221"/>
      <c r="D221"/>
      <c r="E221"/>
      <c r="F221"/>
    </row>
    <row r="222" spans="1:6" x14ac:dyDescent="0.3">
      <c r="A222"/>
      <c r="B222"/>
      <c r="C222"/>
      <c r="D222"/>
      <c r="E222"/>
      <c r="F222"/>
    </row>
    <row r="223" spans="1:6" x14ac:dyDescent="0.3">
      <c r="A223"/>
      <c r="B223"/>
      <c r="C223"/>
      <c r="D223"/>
      <c r="E223"/>
      <c r="F223"/>
    </row>
    <row r="224" spans="1:6" x14ac:dyDescent="0.3">
      <c r="A224"/>
      <c r="B224"/>
      <c r="C224"/>
      <c r="D224"/>
      <c r="E224"/>
      <c r="F224"/>
    </row>
    <row r="225" spans="1:6" x14ac:dyDescent="0.3">
      <c r="A225"/>
      <c r="B225"/>
      <c r="C225"/>
      <c r="D225"/>
      <c r="E225"/>
      <c r="F225"/>
    </row>
    <row r="226" spans="1:6" x14ac:dyDescent="0.3">
      <c r="A226"/>
      <c r="B226"/>
      <c r="C226"/>
      <c r="D226"/>
      <c r="E226"/>
      <c r="F226"/>
    </row>
    <row r="227" spans="1:6" x14ac:dyDescent="0.3">
      <c r="A227"/>
      <c r="B227"/>
      <c r="C227"/>
      <c r="D227"/>
      <c r="E227"/>
      <c r="F227"/>
    </row>
    <row r="228" spans="1:6" x14ac:dyDescent="0.3">
      <c r="A228"/>
      <c r="B228"/>
      <c r="C228"/>
      <c r="D228"/>
      <c r="E228"/>
      <c r="F228"/>
    </row>
    <row r="229" spans="1:6" x14ac:dyDescent="0.3">
      <c r="A229"/>
      <c r="B229"/>
      <c r="C229"/>
      <c r="D229"/>
      <c r="E229"/>
      <c r="F229"/>
    </row>
    <row r="230" spans="1:6" x14ac:dyDescent="0.3">
      <c r="A230"/>
      <c r="B230"/>
      <c r="C230"/>
      <c r="D230"/>
      <c r="E230"/>
      <c r="F230"/>
    </row>
    <row r="231" spans="1:6" x14ac:dyDescent="0.3">
      <c r="A231"/>
      <c r="B231"/>
      <c r="C231"/>
      <c r="D231"/>
      <c r="E231"/>
      <c r="F231"/>
    </row>
    <row r="232" spans="1:6" x14ac:dyDescent="0.3">
      <c r="A232"/>
      <c r="B232"/>
      <c r="C232"/>
      <c r="D232"/>
      <c r="E232"/>
      <c r="F232"/>
    </row>
    <row r="233" spans="1:6" x14ac:dyDescent="0.3">
      <c r="A233"/>
      <c r="B233"/>
      <c r="C233"/>
      <c r="D233"/>
      <c r="E233"/>
      <c r="F233"/>
    </row>
    <row r="234" spans="1:6" x14ac:dyDescent="0.3">
      <c r="A234"/>
      <c r="B234"/>
      <c r="C234"/>
      <c r="D234"/>
      <c r="E234"/>
      <c r="F234"/>
    </row>
    <row r="235" spans="1:6" x14ac:dyDescent="0.3">
      <c r="A235"/>
      <c r="B235"/>
      <c r="C235"/>
      <c r="D235"/>
      <c r="E235"/>
      <c r="F235"/>
    </row>
    <row r="236" spans="1:6" x14ac:dyDescent="0.3">
      <c r="A236"/>
      <c r="B236"/>
      <c r="C236"/>
      <c r="D236"/>
      <c r="E236"/>
      <c r="F236"/>
    </row>
    <row r="237" spans="1:6" x14ac:dyDescent="0.3">
      <c r="A237"/>
      <c r="B237"/>
      <c r="C237"/>
      <c r="D237"/>
      <c r="E237"/>
      <c r="F237"/>
    </row>
    <row r="238" spans="1:6" x14ac:dyDescent="0.3">
      <c r="A238"/>
      <c r="B238"/>
      <c r="C238"/>
      <c r="D238"/>
      <c r="E238"/>
      <c r="F238"/>
    </row>
    <row r="239" spans="1:6" x14ac:dyDescent="0.3">
      <c r="A239"/>
      <c r="B239"/>
      <c r="C239"/>
      <c r="D239"/>
      <c r="E239"/>
      <c r="F239"/>
    </row>
    <row r="240" spans="1:6" x14ac:dyDescent="0.3">
      <c r="A240"/>
      <c r="B240"/>
      <c r="C240"/>
      <c r="D240"/>
      <c r="E240"/>
      <c r="F240"/>
    </row>
    <row r="241" spans="1:6" x14ac:dyDescent="0.3">
      <c r="A241"/>
      <c r="B241"/>
      <c r="C241"/>
      <c r="D241"/>
      <c r="E241"/>
      <c r="F241"/>
    </row>
    <row r="242" spans="1:6" x14ac:dyDescent="0.3">
      <c r="A242"/>
      <c r="B242"/>
      <c r="C242"/>
      <c r="D242"/>
      <c r="E242"/>
      <c r="F242"/>
    </row>
    <row r="243" spans="1:6" x14ac:dyDescent="0.3">
      <c r="A243"/>
      <c r="B243"/>
      <c r="C243"/>
      <c r="D243"/>
      <c r="E243"/>
      <c r="F243"/>
    </row>
    <row r="244" spans="1:6" x14ac:dyDescent="0.3">
      <c r="A244"/>
      <c r="B244"/>
      <c r="C244"/>
      <c r="D244"/>
      <c r="E244"/>
      <c r="F244"/>
    </row>
    <row r="245" spans="1:6" x14ac:dyDescent="0.3">
      <c r="A245"/>
      <c r="B245"/>
      <c r="C245"/>
      <c r="D245"/>
      <c r="E245"/>
      <c r="F245"/>
    </row>
    <row r="246" spans="1:6" x14ac:dyDescent="0.3">
      <c r="A246"/>
      <c r="B246"/>
      <c r="C246"/>
      <c r="D246"/>
      <c r="E246"/>
      <c r="F246"/>
    </row>
    <row r="247" spans="1:6" x14ac:dyDescent="0.3">
      <c r="A247"/>
      <c r="B247"/>
      <c r="C247"/>
      <c r="D247"/>
      <c r="E247"/>
      <c r="F247"/>
    </row>
    <row r="248" spans="1:6" x14ac:dyDescent="0.3">
      <c r="A248"/>
      <c r="B248"/>
      <c r="C248"/>
      <c r="D248"/>
      <c r="E248"/>
      <c r="F248"/>
    </row>
    <row r="249" spans="1:6" x14ac:dyDescent="0.3">
      <c r="A249"/>
      <c r="B249"/>
      <c r="C249"/>
      <c r="D249"/>
      <c r="E249"/>
      <c r="F249"/>
    </row>
    <row r="250" spans="1:6" x14ac:dyDescent="0.3">
      <c r="A250"/>
      <c r="B250"/>
      <c r="C250"/>
      <c r="D250"/>
      <c r="E250"/>
      <c r="F250"/>
    </row>
    <row r="251" spans="1:6" x14ac:dyDescent="0.3">
      <c r="A251"/>
      <c r="B251"/>
      <c r="C251"/>
      <c r="D251"/>
      <c r="E251"/>
      <c r="F251"/>
    </row>
    <row r="252" spans="1:6" x14ac:dyDescent="0.3">
      <c r="A252"/>
      <c r="B252"/>
      <c r="C252"/>
      <c r="D252"/>
      <c r="E252"/>
      <c r="F252"/>
    </row>
    <row r="253" spans="1:6" x14ac:dyDescent="0.3">
      <c r="A253"/>
      <c r="B253"/>
      <c r="C253"/>
      <c r="D253"/>
      <c r="E253"/>
      <c r="F253"/>
    </row>
    <row r="254" spans="1:6" x14ac:dyDescent="0.3">
      <c r="A254"/>
      <c r="B254"/>
      <c r="C254"/>
      <c r="D254"/>
      <c r="E254"/>
      <c r="F254"/>
    </row>
    <row r="255" spans="1:6" x14ac:dyDescent="0.3">
      <c r="A255"/>
      <c r="B255"/>
      <c r="C255"/>
      <c r="D255"/>
      <c r="E255"/>
      <c r="F255"/>
    </row>
    <row r="256" spans="1:6" x14ac:dyDescent="0.3">
      <c r="A256"/>
      <c r="B256"/>
      <c r="C256"/>
      <c r="D256"/>
      <c r="E256"/>
      <c r="F256"/>
    </row>
    <row r="257" spans="1:6" x14ac:dyDescent="0.3">
      <c r="A257"/>
      <c r="B257"/>
      <c r="C257"/>
      <c r="D257"/>
      <c r="E257"/>
      <c r="F257"/>
    </row>
    <row r="258" spans="1:6" x14ac:dyDescent="0.3">
      <c r="A258"/>
      <c r="B258"/>
      <c r="C258"/>
      <c r="D258"/>
      <c r="E258"/>
      <c r="F258"/>
    </row>
    <row r="259" spans="1:6" x14ac:dyDescent="0.3">
      <c r="A259"/>
      <c r="B259"/>
      <c r="C259"/>
      <c r="D259"/>
      <c r="E259"/>
      <c r="F259"/>
    </row>
    <row r="260" spans="1:6" x14ac:dyDescent="0.3">
      <c r="A260"/>
      <c r="B260"/>
      <c r="C260"/>
      <c r="D260"/>
      <c r="E260"/>
      <c r="F260"/>
    </row>
    <row r="261" spans="1:6" x14ac:dyDescent="0.3">
      <c r="A261"/>
      <c r="B261"/>
      <c r="C261"/>
      <c r="D261"/>
      <c r="E261"/>
      <c r="F261"/>
    </row>
    <row r="262" spans="1:6" x14ac:dyDescent="0.3">
      <c r="A262"/>
      <c r="B262"/>
      <c r="C262"/>
      <c r="D262"/>
      <c r="E262"/>
      <c r="F262"/>
    </row>
    <row r="263" spans="1:6" x14ac:dyDescent="0.3">
      <c r="A263"/>
      <c r="B263"/>
      <c r="C263"/>
      <c r="D263"/>
      <c r="E263"/>
      <c r="F263"/>
    </row>
    <row r="264" spans="1:6" x14ac:dyDescent="0.3">
      <c r="A264"/>
      <c r="B264"/>
      <c r="C264"/>
      <c r="D264"/>
      <c r="E264"/>
      <c r="F264"/>
    </row>
    <row r="265" spans="1:6" x14ac:dyDescent="0.3">
      <c r="A265"/>
      <c r="B265"/>
      <c r="C265"/>
      <c r="D265"/>
      <c r="E265"/>
      <c r="F265"/>
    </row>
    <row r="266" spans="1:6" x14ac:dyDescent="0.3">
      <c r="A266"/>
      <c r="B266"/>
      <c r="C266"/>
      <c r="D266"/>
      <c r="E266"/>
      <c r="F266"/>
    </row>
    <row r="267" spans="1:6" x14ac:dyDescent="0.3">
      <c r="A267"/>
      <c r="B267"/>
      <c r="C267"/>
      <c r="D267"/>
      <c r="E267"/>
      <c r="F26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workbookViewId="0">
      <selection activeCell="C34" sqref="C34"/>
    </sheetView>
  </sheetViews>
  <sheetFormatPr defaultColWidth="9.109375" defaultRowHeight="13.2" x14ac:dyDescent="0.25"/>
  <cols>
    <col min="1" max="1" width="14.88671875" style="17" customWidth="1"/>
    <col min="2" max="2" width="13.44140625" style="135" customWidth="1"/>
    <col min="3" max="3" width="11.6640625" style="135" customWidth="1"/>
    <col min="4" max="4" width="13.109375" style="135" customWidth="1"/>
    <col min="5" max="5" width="8.6640625" style="135" customWidth="1"/>
    <col min="6" max="6" width="9.6640625" style="1" bestFit="1" customWidth="1"/>
    <col min="7" max="7" width="10.109375" style="1" bestFit="1" customWidth="1"/>
    <col min="8" max="16384" width="9.109375" style="17"/>
  </cols>
  <sheetData>
    <row r="1" spans="1:9" ht="26.4" x14ac:dyDescent="0.25">
      <c r="A1" s="132" t="s">
        <v>112</v>
      </c>
      <c r="B1" s="133" t="s">
        <v>252</v>
      </c>
      <c r="C1" s="133" t="s">
        <v>253</v>
      </c>
      <c r="D1" s="145" t="s">
        <v>254</v>
      </c>
      <c r="E1" s="202" t="s">
        <v>411</v>
      </c>
      <c r="F1" s="203" t="s">
        <v>380</v>
      </c>
      <c r="I1" s="141" t="s">
        <v>413</v>
      </c>
    </row>
    <row r="2" spans="1:9" ht="12.75" customHeight="1" x14ac:dyDescent="0.25">
      <c r="A2" s="128" t="s">
        <v>21</v>
      </c>
      <c r="B2" s="134" t="s">
        <v>113</v>
      </c>
      <c r="C2" s="134" t="s">
        <v>113</v>
      </c>
      <c r="D2" s="146" t="s">
        <v>113</v>
      </c>
      <c r="E2" s="90" t="s">
        <v>23</v>
      </c>
      <c r="F2" s="128" t="s">
        <v>23</v>
      </c>
      <c r="G2" s="204"/>
    </row>
    <row r="3" spans="1:9" x14ac:dyDescent="0.25">
      <c r="A3" s="143" t="s">
        <v>25</v>
      </c>
      <c r="B3" s="142">
        <v>0.28999999999999998</v>
      </c>
      <c r="C3" s="142">
        <v>3.2500000000000001E-2</v>
      </c>
      <c r="D3" s="209">
        <f>B3+C3</f>
        <v>0.32250000000000001</v>
      </c>
      <c r="E3" s="184">
        <f>RANK(D3,D$3:D$52)</f>
        <v>23</v>
      </c>
      <c r="F3" s="184">
        <v>23</v>
      </c>
      <c r="G3" s="206" t="s">
        <v>377</v>
      </c>
      <c r="H3" s="197"/>
      <c r="I3" s="197"/>
    </row>
    <row r="4" spans="1:9" x14ac:dyDescent="0.25">
      <c r="A4" s="143" t="s">
        <v>27</v>
      </c>
      <c r="B4" s="142">
        <v>8.9499999999999996E-2</v>
      </c>
      <c r="C4" s="142">
        <v>6.0299999999999999E-2</v>
      </c>
      <c r="D4" s="144">
        <f t="shared" ref="D4:D52" si="0">B4+C4</f>
        <v>0.14979999999999999</v>
      </c>
      <c r="E4" s="184">
        <f t="shared" ref="E4:E52" si="1">RANK(D4,D$3:D$52)</f>
        <v>50</v>
      </c>
      <c r="F4" s="184">
        <v>50</v>
      </c>
      <c r="G4" s="201" t="s">
        <v>378</v>
      </c>
      <c r="H4" s="197"/>
      <c r="I4" s="197"/>
    </row>
    <row r="5" spans="1:9" x14ac:dyDescent="0.25">
      <c r="A5" s="143" t="s">
        <v>29</v>
      </c>
      <c r="B5" s="142">
        <v>0.26</v>
      </c>
      <c r="C5" s="142">
        <v>0.01</v>
      </c>
      <c r="D5" s="144">
        <f t="shared" si="0"/>
        <v>0.27</v>
      </c>
      <c r="E5" s="184">
        <f t="shared" si="1"/>
        <v>33</v>
      </c>
      <c r="F5" s="184">
        <v>33</v>
      </c>
      <c r="G5" s="206" t="s">
        <v>377</v>
      </c>
      <c r="H5" s="197"/>
      <c r="I5" s="197"/>
    </row>
    <row r="6" spans="1:9" x14ac:dyDescent="0.25">
      <c r="A6" s="143" t="s">
        <v>31</v>
      </c>
      <c r="B6" s="142">
        <v>0.28499999999999998</v>
      </c>
      <c r="C6" s="142">
        <v>3.0000000000000001E-3</v>
      </c>
      <c r="D6" s="144">
        <f t="shared" si="0"/>
        <v>0.28799999999999998</v>
      </c>
      <c r="E6" s="184">
        <f t="shared" si="1"/>
        <v>30</v>
      </c>
      <c r="F6" s="184">
        <v>30</v>
      </c>
      <c r="G6" s="201" t="s">
        <v>378</v>
      </c>
      <c r="H6" s="197"/>
      <c r="I6" s="197"/>
    </row>
    <row r="7" spans="1:9" x14ac:dyDescent="0.25">
      <c r="A7" s="143" t="s">
        <v>33</v>
      </c>
      <c r="B7" s="142">
        <v>0.38900000000000001</v>
      </c>
      <c r="C7" s="142">
        <v>0.61009999999999998</v>
      </c>
      <c r="D7" s="144">
        <f t="shared" si="0"/>
        <v>0.99909999999999999</v>
      </c>
      <c r="E7" s="148">
        <f t="shared" si="1"/>
        <v>1</v>
      </c>
      <c r="F7" s="148">
        <v>1</v>
      </c>
      <c r="G7" s="201" t="s">
        <v>378</v>
      </c>
      <c r="H7" s="197"/>
      <c r="I7" s="197"/>
    </row>
    <row r="8" spans="1:9" x14ac:dyDescent="0.25">
      <c r="A8" s="143" t="s">
        <v>34</v>
      </c>
      <c r="B8" s="142">
        <v>0.20499999999999999</v>
      </c>
      <c r="C8" s="142">
        <v>0</v>
      </c>
      <c r="D8" s="144">
        <f t="shared" si="0"/>
        <v>0.20499999999999999</v>
      </c>
      <c r="E8" s="184">
        <f t="shared" si="1"/>
        <v>44</v>
      </c>
      <c r="F8" s="184">
        <v>44</v>
      </c>
      <c r="G8" s="201" t="s">
        <v>378</v>
      </c>
      <c r="H8" s="197"/>
      <c r="I8" s="197"/>
    </row>
    <row r="9" spans="1:9" x14ac:dyDescent="0.25">
      <c r="A9" s="143" t="s">
        <v>36</v>
      </c>
      <c r="B9" s="142">
        <v>0.40100000000000002</v>
      </c>
      <c r="C9" s="142">
        <v>0</v>
      </c>
      <c r="D9" s="144">
        <f t="shared" si="0"/>
        <v>0.40100000000000002</v>
      </c>
      <c r="E9" s="184">
        <f t="shared" si="1"/>
        <v>12</v>
      </c>
      <c r="F9" s="184">
        <v>12</v>
      </c>
      <c r="G9" s="205" t="s">
        <v>379</v>
      </c>
      <c r="H9" s="197"/>
      <c r="I9" s="197"/>
    </row>
    <row r="10" spans="1:9" x14ac:dyDescent="0.25">
      <c r="A10" s="143" t="s">
        <v>38</v>
      </c>
      <c r="B10" s="142">
        <v>0.22</v>
      </c>
      <c r="C10" s="142">
        <v>0</v>
      </c>
      <c r="D10" s="144">
        <f t="shared" si="0"/>
        <v>0.22</v>
      </c>
      <c r="E10" s="184">
        <f t="shared" si="1"/>
        <v>43</v>
      </c>
      <c r="F10" s="184">
        <v>43</v>
      </c>
      <c r="G10" s="201" t="s">
        <v>378</v>
      </c>
      <c r="H10" s="197"/>
      <c r="I10" s="197"/>
    </row>
    <row r="11" spans="1:9" x14ac:dyDescent="0.25">
      <c r="A11" s="143" t="s">
        <v>40</v>
      </c>
      <c r="B11" s="142">
        <v>0.04</v>
      </c>
      <c r="C11" s="142">
        <v>0.32369999999999999</v>
      </c>
      <c r="D11" s="144">
        <f t="shared" si="0"/>
        <v>0.36369999999999997</v>
      </c>
      <c r="E11" s="184">
        <f t="shared" si="1"/>
        <v>16</v>
      </c>
      <c r="F11" s="184">
        <v>16</v>
      </c>
      <c r="G11" s="206" t="s">
        <v>377</v>
      </c>
      <c r="H11" s="197"/>
      <c r="I11" s="197"/>
    </row>
    <row r="12" spans="1:9" x14ac:dyDescent="0.25">
      <c r="A12" s="143" t="s">
        <v>41</v>
      </c>
      <c r="B12" s="142">
        <v>0.32200000000000001</v>
      </c>
      <c r="C12" s="142">
        <v>9.1899999999999996E-2</v>
      </c>
      <c r="D12" s="144">
        <f t="shared" si="0"/>
        <v>0.41389999999999999</v>
      </c>
      <c r="E12" s="148">
        <f t="shared" si="1"/>
        <v>11</v>
      </c>
      <c r="F12" s="148">
        <v>11</v>
      </c>
      <c r="G12" s="206" t="s">
        <v>377</v>
      </c>
      <c r="H12" s="197"/>
      <c r="I12" s="197"/>
    </row>
    <row r="13" spans="1:9" x14ac:dyDescent="0.25">
      <c r="A13" s="143" t="s">
        <v>42</v>
      </c>
      <c r="B13" s="142">
        <v>0.16</v>
      </c>
      <c r="C13" s="210">
        <v>0.36409999999999998</v>
      </c>
      <c r="D13" s="144">
        <f t="shared" si="0"/>
        <v>0.52410000000000001</v>
      </c>
      <c r="E13" s="148">
        <f t="shared" si="1"/>
        <v>6</v>
      </c>
      <c r="F13" s="148">
        <v>6</v>
      </c>
      <c r="G13" s="201" t="s">
        <v>378</v>
      </c>
      <c r="H13" s="197"/>
      <c r="I13" s="197"/>
    </row>
    <row r="14" spans="1:9" x14ac:dyDescent="0.25">
      <c r="A14" s="143" t="s">
        <v>43</v>
      </c>
      <c r="B14" s="142">
        <v>0.32</v>
      </c>
      <c r="C14" s="142">
        <v>0.01</v>
      </c>
      <c r="D14" s="144">
        <f t="shared" si="0"/>
        <v>0.33</v>
      </c>
      <c r="E14" s="184">
        <f t="shared" si="1"/>
        <v>20</v>
      </c>
      <c r="F14" s="184">
        <v>20</v>
      </c>
      <c r="G14" s="201" t="s">
        <v>378</v>
      </c>
      <c r="H14" s="197"/>
      <c r="I14" s="197"/>
    </row>
    <row r="15" spans="1:9" x14ac:dyDescent="0.25">
      <c r="A15" s="143" t="s">
        <v>44</v>
      </c>
      <c r="B15" s="142">
        <v>0.46700000000000003</v>
      </c>
      <c r="C15" s="142">
        <v>0.20319999999999999</v>
      </c>
      <c r="D15" s="144">
        <f t="shared" si="0"/>
        <v>0.67020000000000002</v>
      </c>
      <c r="E15" s="148">
        <f t="shared" si="1"/>
        <v>3</v>
      </c>
      <c r="F15" s="148">
        <v>3</v>
      </c>
      <c r="G15" s="201" t="s">
        <v>378</v>
      </c>
      <c r="H15" s="197"/>
      <c r="I15" s="197"/>
    </row>
    <row r="16" spans="1:9" x14ac:dyDescent="0.25">
      <c r="A16" s="143" t="s">
        <v>45</v>
      </c>
      <c r="B16" s="142">
        <v>0.53</v>
      </c>
      <c r="C16" s="142">
        <v>0.01</v>
      </c>
      <c r="D16" s="144">
        <f t="shared" si="0"/>
        <v>0.54</v>
      </c>
      <c r="E16" s="184">
        <f t="shared" si="1"/>
        <v>5</v>
      </c>
      <c r="F16" s="184">
        <v>5</v>
      </c>
      <c r="G16" s="201" t="s">
        <v>378</v>
      </c>
      <c r="H16" s="197"/>
      <c r="I16" s="197"/>
    </row>
    <row r="17" spans="1:9" x14ac:dyDescent="0.25">
      <c r="A17" s="143" t="s">
        <v>46</v>
      </c>
      <c r="B17" s="142">
        <v>0.32500000000000001</v>
      </c>
      <c r="C17" s="142">
        <v>0</v>
      </c>
      <c r="D17" s="144">
        <f t="shared" si="0"/>
        <v>0.32500000000000001</v>
      </c>
      <c r="E17" s="184">
        <f t="shared" si="1"/>
        <v>22</v>
      </c>
      <c r="F17" s="184">
        <v>22</v>
      </c>
      <c r="G17" s="201" t="s">
        <v>378</v>
      </c>
      <c r="H17" s="197"/>
      <c r="I17" s="197"/>
    </row>
    <row r="18" spans="1:9" x14ac:dyDescent="0.25">
      <c r="A18" s="143" t="s">
        <v>47</v>
      </c>
      <c r="B18" s="142">
        <v>0.26</v>
      </c>
      <c r="C18" s="142">
        <v>2.5000000000000001E-4</v>
      </c>
      <c r="D18" s="144">
        <f t="shared" si="0"/>
        <v>0.26024999999999998</v>
      </c>
      <c r="E18" s="184">
        <f t="shared" si="1"/>
        <v>36</v>
      </c>
      <c r="F18" s="184">
        <v>36</v>
      </c>
      <c r="G18" s="206" t="s">
        <v>377</v>
      </c>
      <c r="H18" s="197"/>
      <c r="I18" s="197"/>
    </row>
    <row r="19" spans="1:9" x14ac:dyDescent="0.25">
      <c r="A19" s="143" t="s">
        <v>26</v>
      </c>
      <c r="B19" s="142">
        <v>0.21600000000000003</v>
      </c>
      <c r="C19" s="142">
        <v>1.3999999999999999E-2</v>
      </c>
      <c r="D19" s="144">
        <f t="shared" si="0"/>
        <v>0.23000000000000004</v>
      </c>
      <c r="E19" s="184">
        <f t="shared" si="1"/>
        <v>40</v>
      </c>
      <c r="F19" s="184">
        <v>40</v>
      </c>
      <c r="G19" s="201" t="s">
        <v>378</v>
      </c>
      <c r="H19" s="197"/>
      <c r="I19" s="197"/>
    </row>
    <row r="20" spans="1:9" x14ac:dyDescent="0.25">
      <c r="A20" s="143" t="s">
        <v>48</v>
      </c>
      <c r="B20" s="142">
        <v>0.2</v>
      </c>
      <c r="C20" s="142">
        <v>1E-4</v>
      </c>
      <c r="D20" s="144">
        <f t="shared" si="0"/>
        <v>0.2001</v>
      </c>
      <c r="E20" s="184">
        <f t="shared" si="1"/>
        <v>45</v>
      </c>
      <c r="F20" s="184">
        <v>45</v>
      </c>
      <c r="G20" s="201" t="s">
        <v>378</v>
      </c>
      <c r="H20" s="197"/>
      <c r="I20" s="197"/>
    </row>
    <row r="21" spans="1:9" x14ac:dyDescent="0.25">
      <c r="A21" s="143" t="s">
        <v>49</v>
      </c>
      <c r="B21" s="142">
        <v>0.312</v>
      </c>
      <c r="C21" s="142">
        <v>1E-4</v>
      </c>
      <c r="D21" s="144">
        <f t="shared" si="0"/>
        <v>0.31209999999999999</v>
      </c>
      <c r="E21" s="184">
        <f t="shared" si="1"/>
        <v>26</v>
      </c>
      <c r="F21" s="184">
        <v>26</v>
      </c>
      <c r="G21" s="205" t="s">
        <v>379</v>
      </c>
      <c r="H21" s="197"/>
      <c r="I21" s="197"/>
    </row>
    <row r="22" spans="1:9" x14ac:dyDescent="0.25">
      <c r="A22" s="143" t="s">
        <v>50</v>
      </c>
      <c r="B22" s="142">
        <v>0.27850000000000003</v>
      </c>
      <c r="C22" s="142">
        <v>0.09</v>
      </c>
      <c r="D22" s="144">
        <f t="shared" si="0"/>
        <v>0.36850000000000005</v>
      </c>
      <c r="E22" s="184">
        <f t="shared" si="1"/>
        <v>15</v>
      </c>
      <c r="F22" s="184">
        <v>15</v>
      </c>
      <c r="G22" s="205" t="s">
        <v>379</v>
      </c>
      <c r="H22" s="197"/>
      <c r="I22" s="197"/>
    </row>
    <row r="23" spans="1:9" x14ac:dyDescent="0.25">
      <c r="A23" s="143" t="s">
        <v>51</v>
      </c>
      <c r="B23" s="142">
        <v>0.24</v>
      </c>
      <c r="C23" s="142">
        <v>2.5399999999999999E-2</v>
      </c>
      <c r="D23" s="144">
        <f t="shared" si="0"/>
        <v>0.26539999999999997</v>
      </c>
      <c r="E23" s="184">
        <f t="shared" si="1"/>
        <v>35</v>
      </c>
      <c r="F23" s="184">
        <v>35</v>
      </c>
      <c r="G23" s="206" t="s">
        <v>377</v>
      </c>
      <c r="H23" s="197"/>
      <c r="I23" s="197"/>
    </row>
    <row r="24" spans="1:9" x14ac:dyDescent="0.25">
      <c r="A24" s="143" t="s">
        <v>52</v>
      </c>
      <c r="B24" s="142">
        <v>0.2717</v>
      </c>
      <c r="C24" s="142">
        <v>0.19989999999999999</v>
      </c>
      <c r="D24" s="144">
        <f t="shared" si="0"/>
        <v>0.47160000000000002</v>
      </c>
      <c r="E24" s="184">
        <f t="shared" si="1"/>
        <v>8</v>
      </c>
      <c r="F24" s="184">
        <v>8</v>
      </c>
      <c r="G24" s="206" t="s">
        <v>377</v>
      </c>
      <c r="H24" s="197"/>
      <c r="I24" s="197"/>
    </row>
    <row r="25" spans="1:9" x14ac:dyDescent="0.25">
      <c r="A25" s="143" t="s">
        <v>53</v>
      </c>
      <c r="B25" s="142">
        <v>0.28499999999999998</v>
      </c>
      <c r="C25" s="142">
        <v>2.1000000000000001E-2</v>
      </c>
      <c r="D25" s="144">
        <f t="shared" si="0"/>
        <v>0.30599999999999999</v>
      </c>
      <c r="E25" s="184">
        <f t="shared" si="1"/>
        <v>27</v>
      </c>
      <c r="F25" s="184">
        <v>27</v>
      </c>
      <c r="G25" s="205" t="s">
        <v>379</v>
      </c>
      <c r="H25" s="197"/>
      <c r="I25" s="197"/>
    </row>
    <row r="26" spans="1:9" x14ac:dyDescent="0.25">
      <c r="A26" s="143" t="s">
        <v>54</v>
      </c>
      <c r="B26" s="142">
        <v>0.18</v>
      </c>
      <c r="C26" s="142">
        <v>4.0000000000000001E-3</v>
      </c>
      <c r="D26" s="144">
        <f t="shared" si="0"/>
        <v>0.184</v>
      </c>
      <c r="E26" s="184">
        <f t="shared" si="1"/>
        <v>49</v>
      </c>
      <c r="F26" s="184">
        <v>49</v>
      </c>
      <c r="G26" s="205" t="s">
        <v>379</v>
      </c>
      <c r="H26" s="197"/>
      <c r="I26" s="197"/>
    </row>
    <row r="27" spans="1:9" x14ac:dyDescent="0.25">
      <c r="A27" s="143" t="s">
        <v>55</v>
      </c>
      <c r="B27" s="142">
        <v>0.19500000000000001</v>
      </c>
      <c r="C27" s="142">
        <v>4.1999999999999997E-3</v>
      </c>
      <c r="D27" s="144">
        <f t="shared" si="0"/>
        <v>0.19920000000000002</v>
      </c>
      <c r="E27" s="184">
        <f t="shared" si="1"/>
        <v>48</v>
      </c>
      <c r="F27" s="184">
        <v>48</v>
      </c>
      <c r="G27" s="206" t="s">
        <v>377</v>
      </c>
      <c r="H27" s="197"/>
      <c r="I27" s="197"/>
    </row>
    <row r="28" spans="1:9" x14ac:dyDescent="0.25">
      <c r="A28" s="143" t="s">
        <v>56</v>
      </c>
      <c r="B28" s="142">
        <v>0.29549999999999998</v>
      </c>
      <c r="C28" s="142">
        <v>7.4999999999999997E-3</v>
      </c>
      <c r="D28" s="144">
        <f t="shared" si="0"/>
        <v>0.30299999999999999</v>
      </c>
      <c r="E28" s="184">
        <f t="shared" si="1"/>
        <v>28</v>
      </c>
      <c r="F28" s="184">
        <v>28</v>
      </c>
      <c r="G28" s="205" t="s">
        <v>379</v>
      </c>
      <c r="H28" s="197"/>
      <c r="I28" s="197"/>
    </row>
    <row r="29" spans="1:9" x14ac:dyDescent="0.25">
      <c r="A29" s="143" t="s">
        <v>57</v>
      </c>
      <c r="B29" s="142">
        <v>0.248</v>
      </c>
      <c r="C29" s="142">
        <v>3.0000000000000001E-3</v>
      </c>
      <c r="D29" s="144">
        <f t="shared" si="0"/>
        <v>0.251</v>
      </c>
      <c r="E29" s="184">
        <f t="shared" si="1"/>
        <v>37</v>
      </c>
      <c r="F29" s="184">
        <v>37</v>
      </c>
      <c r="G29" s="205" t="s">
        <v>379</v>
      </c>
      <c r="H29" s="197"/>
      <c r="I29" s="197"/>
    </row>
    <row r="30" spans="1:9" x14ac:dyDescent="0.25">
      <c r="A30" s="143" t="s">
        <v>58</v>
      </c>
      <c r="B30" s="142">
        <v>0.27</v>
      </c>
      <c r="C30" s="142">
        <v>1.5600000000000001E-2</v>
      </c>
      <c r="D30" s="144">
        <f t="shared" si="0"/>
        <v>0.28560000000000002</v>
      </c>
      <c r="E30" s="184">
        <f t="shared" si="1"/>
        <v>31</v>
      </c>
      <c r="F30" s="184">
        <v>31</v>
      </c>
      <c r="G30" s="201" t="s">
        <v>378</v>
      </c>
      <c r="H30" s="197"/>
      <c r="I30" s="197"/>
    </row>
    <row r="31" spans="1:9" x14ac:dyDescent="0.25">
      <c r="A31" s="143" t="s">
        <v>59</v>
      </c>
      <c r="B31" s="142">
        <v>0.222</v>
      </c>
      <c r="C31" s="142">
        <v>1.6299999999999999E-2</v>
      </c>
      <c r="D31" s="144">
        <f t="shared" si="0"/>
        <v>0.23830000000000001</v>
      </c>
      <c r="E31" s="184">
        <f t="shared" si="1"/>
        <v>39</v>
      </c>
      <c r="F31" s="184">
        <v>39</v>
      </c>
      <c r="G31" s="201" t="s">
        <v>378</v>
      </c>
      <c r="H31" s="197"/>
      <c r="I31" s="197"/>
    </row>
    <row r="32" spans="1:9" x14ac:dyDescent="0.25">
      <c r="A32" s="143" t="s">
        <v>60</v>
      </c>
      <c r="B32" s="142">
        <v>0.13500000000000001</v>
      </c>
      <c r="C32" s="142">
        <v>0.442</v>
      </c>
      <c r="D32" s="144">
        <f t="shared" si="0"/>
        <v>0.57699999999999996</v>
      </c>
      <c r="E32" s="184">
        <f t="shared" si="1"/>
        <v>4</v>
      </c>
      <c r="F32" s="184">
        <v>4</v>
      </c>
      <c r="G32" s="201" t="s">
        <v>378</v>
      </c>
      <c r="H32" s="197"/>
      <c r="I32" s="197"/>
    </row>
    <row r="33" spans="1:9" x14ac:dyDescent="0.25">
      <c r="A33" s="192" t="s">
        <v>28</v>
      </c>
      <c r="B33" s="193">
        <v>0.21</v>
      </c>
      <c r="C33" s="193">
        <v>1.8799999999999997E-2</v>
      </c>
      <c r="D33" s="163">
        <f t="shared" si="0"/>
        <v>0.2288</v>
      </c>
      <c r="E33" s="190">
        <f t="shared" si="1"/>
        <v>42</v>
      </c>
      <c r="F33" s="190">
        <v>42</v>
      </c>
      <c r="G33" s="201" t="s">
        <v>378</v>
      </c>
      <c r="H33" s="197"/>
      <c r="I33" s="197"/>
    </row>
    <row r="34" spans="1:9" x14ac:dyDescent="0.25">
      <c r="A34" s="194" t="s">
        <v>30</v>
      </c>
      <c r="B34" s="195">
        <v>0.08</v>
      </c>
      <c r="C34" s="195">
        <v>0.38979999999999998</v>
      </c>
      <c r="D34" s="209">
        <f t="shared" si="0"/>
        <v>0.4698</v>
      </c>
      <c r="E34" s="185">
        <f t="shared" si="1"/>
        <v>10</v>
      </c>
      <c r="F34" s="185">
        <v>10</v>
      </c>
      <c r="G34" s="205" t="s">
        <v>379</v>
      </c>
      <c r="H34" s="197"/>
      <c r="I34" s="197"/>
    </row>
    <row r="35" spans="1:9" x14ac:dyDescent="0.25">
      <c r="A35" s="143" t="s">
        <v>61</v>
      </c>
      <c r="B35" s="142">
        <v>0.38500000000000001</v>
      </c>
      <c r="C35" s="142">
        <v>2.5000000000000001E-3</v>
      </c>
      <c r="D35" s="144">
        <f t="shared" si="0"/>
        <v>0.38750000000000001</v>
      </c>
      <c r="E35" s="184">
        <f t="shared" si="1"/>
        <v>13</v>
      </c>
      <c r="F35" s="184">
        <v>13</v>
      </c>
      <c r="G35" s="206" t="s">
        <v>377</v>
      </c>
      <c r="H35" s="197"/>
      <c r="I35" s="197"/>
    </row>
    <row r="36" spans="1:9" x14ac:dyDescent="0.25">
      <c r="A36" s="143" t="s">
        <v>62</v>
      </c>
      <c r="B36" s="142">
        <v>0.23</v>
      </c>
      <c r="C36" s="142">
        <v>0</v>
      </c>
      <c r="D36" s="144">
        <f t="shared" si="0"/>
        <v>0.23</v>
      </c>
      <c r="E36" s="184">
        <f t="shared" si="1"/>
        <v>41</v>
      </c>
      <c r="F36" s="184">
        <v>41</v>
      </c>
      <c r="G36" s="201" t="s">
        <v>378</v>
      </c>
      <c r="H36" s="197"/>
      <c r="I36" s="197"/>
    </row>
    <row r="37" spans="1:9" x14ac:dyDescent="0.25">
      <c r="A37" s="143" t="s">
        <v>63</v>
      </c>
      <c r="B37" s="142">
        <v>0.47</v>
      </c>
      <c r="C37" s="142">
        <v>1E-4</v>
      </c>
      <c r="D37" s="144">
        <f t="shared" si="0"/>
        <v>0.47009999999999996</v>
      </c>
      <c r="E37" s="148">
        <f t="shared" si="1"/>
        <v>9</v>
      </c>
      <c r="F37" s="148">
        <v>9</v>
      </c>
      <c r="G37" s="205" t="s">
        <v>379</v>
      </c>
      <c r="H37" s="197"/>
      <c r="I37" s="197"/>
    </row>
    <row r="38" spans="1:9" x14ac:dyDescent="0.25">
      <c r="A38" s="143" t="s">
        <v>64</v>
      </c>
      <c r="B38" s="142">
        <v>0.19</v>
      </c>
      <c r="C38" s="142">
        <v>0.01</v>
      </c>
      <c r="D38" s="144">
        <f t="shared" si="0"/>
        <v>0.2</v>
      </c>
      <c r="E38" s="184">
        <f t="shared" si="1"/>
        <v>46</v>
      </c>
      <c r="F38" s="184">
        <v>46</v>
      </c>
      <c r="G38" s="201" t="s">
        <v>378</v>
      </c>
      <c r="H38" s="197"/>
      <c r="I38" s="197"/>
    </row>
    <row r="39" spans="1:9" x14ac:dyDescent="0.25">
      <c r="A39" s="143" t="s">
        <v>65</v>
      </c>
      <c r="B39" s="142">
        <v>0.36</v>
      </c>
      <c r="C39" s="142">
        <v>2.06E-2</v>
      </c>
      <c r="D39" s="144">
        <f t="shared" si="0"/>
        <v>0.38059999999999999</v>
      </c>
      <c r="E39" s="184">
        <f t="shared" si="1"/>
        <v>14</v>
      </c>
      <c r="F39" s="184">
        <v>14</v>
      </c>
      <c r="G39" s="205" t="s">
        <v>379</v>
      </c>
      <c r="H39" s="197"/>
      <c r="I39" s="197"/>
    </row>
    <row r="40" spans="1:9" x14ac:dyDescent="0.25">
      <c r="A40" s="143" t="s">
        <v>66</v>
      </c>
      <c r="B40" s="142">
        <v>0</v>
      </c>
      <c r="C40" s="142">
        <v>0.752</v>
      </c>
      <c r="D40" s="144">
        <f t="shared" si="0"/>
        <v>0.752</v>
      </c>
      <c r="E40" s="148">
        <f t="shared" si="1"/>
        <v>2</v>
      </c>
      <c r="F40" s="148">
        <v>2</v>
      </c>
      <c r="G40" s="201" t="s">
        <v>378</v>
      </c>
      <c r="H40" s="197"/>
      <c r="I40" s="197"/>
    </row>
    <row r="41" spans="1:9" x14ac:dyDescent="0.25">
      <c r="A41" s="143" t="s">
        <v>67</v>
      </c>
      <c r="B41" s="142">
        <v>0.34</v>
      </c>
      <c r="C41" s="142">
        <v>0.01</v>
      </c>
      <c r="D41" s="144">
        <f t="shared" si="0"/>
        <v>0.35000000000000003</v>
      </c>
      <c r="E41" s="184">
        <f t="shared" si="1"/>
        <v>19</v>
      </c>
      <c r="F41" s="184">
        <v>19</v>
      </c>
      <c r="G41" s="201" t="s">
        <v>378</v>
      </c>
      <c r="H41" s="197"/>
      <c r="I41" s="197"/>
    </row>
    <row r="42" spans="1:9" x14ac:dyDescent="0.25">
      <c r="A42" s="143" t="s">
        <v>68</v>
      </c>
      <c r="B42" s="142">
        <v>0.26</v>
      </c>
      <c r="C42" s="142">
        <v>7.4999999999999997E-3</v>
      </c>
      <c r="D42" s="144">
        <f t="shared" si="0"/>
        <v>0.26750000000000002</v>
      </c>
      <c r="E42" s="184">
        <f t="shared" si="1"/>
        <v>34</v>
      </c>
      <c r="F42" s="184">
        <v>34</v>
      </c>
      <c r="G42" s="206" t="s">
        <v>377</v>
      </c>
      <c r="H42" s="197"/>
      <c r="I42" s="197"/>
    </row>
    <row r="43" spans="1:9" x14ac:dyDescent="0.25">
      <c r="A43" s="143" t="s">
        <v>69</v>
      </c>
      <c r="B43" s="142">
        <v>0.28000000000000003</v>
      </c>
      <c r="C43" s="142">
        <v>0.02</v>
      </c>
      <c r="D43" s="144">
        <f t="shared" si="0"/>
        <v>0.30000000000000004</v>
      </c>
      <c r="E43" s="184">
        <f t="shared" si="1"/>
        <v>29</v>
      </c>
      <c r="F43" s="184">
        <v>29</v>
      </c>
      <c r="G43" s="201" t="s">
        <v>378</v>
      </c>
      <c r="H43" s="197"/>
      <c r="I43" s="197"/>
    </row>
    <row r="44" spans="1:9" x14ac:dyDescent="0.25">
      <c r="A44" s="143" t="s">
        <v>70</v>
      </c>
      <c r="B44" s="142">
        <v>0.27</v>
      </c>
      <c r="C44" s="142">
        <v>1.3999999999999999E-2</v>
      </c>
      <c r="D44" s="144">
        <f t="shared" si="0"/>
        <v>0.28400000000000003</v>
      </c>
      <c r="E44" s="184">
        <f t="shared" si="1"/>
        <v>32</v>
      </c>
      <c r="F44" s="184">
        <v>32</v>
      </c>
      <c r="G44" s="201" t="s">
        <v>378</v>
      </c>
      <c r="H44" s="197"/>
      <c r="I44" s="197"/>
    </row>
    <row r="45" spans="1:9" x14ac:dyDescent="0.25">
      <c r="A45" s="143" t="s">
        <v>71</v>
      </c>
      <c r="B45" s="142">
        <v>0.2</v>
      </c>
      <c r="C45" s="142">
        <v>0</v>
      </c>
      <c r="D45" s="144">
        <f t="shared" si="0"/>
        <v>0.2</v>
      </c>
      <c r="E45" s="184">
        <f t="shared" si="1"/>
        <v>46</v>
      </c>
      <c r="F45" s="184">
        <v>46</v>
      </c>
      <c r="G45" s="201" t="s">
        <v>378</v>
      </c>
      <c r="H45" s="197"/>
      <c r="I45" s="197"/>
    </row>
    <row r="46" spans="1:9" x14ac:dyDescent="0.25">
      <c r="A46" s="143" t="s">
        <v>72</v>
      </c>
      <c r="B46" s="142">
        <v>0.31900000000000001</v>
      </c>
      <c r="C46" s="142">
        <v>1E-4</v>
      </c>
      <c r="D46" s="144">
        <f t="shared" si="0"/>
        <v>0.31909999999999999</v>
      </c>
      <c r="E46" s="148">
        <f t="shared" si="1"/>
        <v>25</v>
      </c>
      <c r="F46" s="148">
        <v>25</v>
      </c>
      <c r="G46" s="205" t="s">
        <v>379</v>
      </c>
      <c r="H46" s="197"/>
      <c r="I46" s="197"/>
    </row>
    <row r="47" spans="1:9" x14ac:dyDescent="0.25">
      <c r="A47" s="143" t="s">
        <v>73</v>
      </c>
      <c r="B47" s="142">
        <v>0.28000000000000003</v>
      </c>
      <c r="C47" s="142">
        <v>0.04</v>
      </c>
      <c r="D47" s="144">
        <f t="shared" si="0"/>
        <v>0.32</v>
      </c>
      <c r="E47" s="184">
        <f t="shared" si="1"/>
        <v>24</v>
      </c>
      <c r="F47" s="184">
        <v>24</v>
      </c>
      <c r="G47" s="205" t="s">
        <v>379</v>
      </c>
      <c r="H47" s="197"/>
      <c r="I47" s="197"/>
    </row>
    <row r="48" spans="1:9" x14ac:dyDescent="0.25">
      <c r="A48" s="143" t="s">
        <v>74</v>
      </c>
      <c r="B48" s="142">
        <v>0.27</v>
      </c>
      <c r="C48" s="142">
        <v>8.3000000000000004E-2</v>
      </c>
      <c r="D48" s="144">
        <f t="shared" si="0"/>
        <v>0.35300000000000004</v>
      </c>
      <c r="E48" s="184">
        <f t="shared" si="1"/>
        <v>18</v>
      </c>
      <c r="F48" s="184">
        <v>18</v>
      </c>
      <c r="G48" s="201" t="s">
        <v>378</v>
      </c>
      <c r="H48" s="197"/>
      <c r="I48" s="197"/>
    </row>
    <row r="49" spans="1:9" x14ac:dyDescent="0.25">
      <c r="A49" s="143" t="s">
        <v>75</v>
      </c>
      <c r="B49" s="142">
        <v>0.49399999999999999</v>
      </c>
      <c r="C49" s="142">
        <v>0</v>
      </c>
      <c r="D49" s="144">
        <f t="shared" si="0"/>
        <v>0.49399999999999999</v>
      </c>
      <c r="E49" s="184">
        <f t="shared" si="1"/>
        <v>7</v>
      </c>
      <c r="F49" s="184">
        <v>7</v>
      </c>
      <c r="G49" s="201" t="s">
        <v>378</v>
      </c>
      <c r="H49" s="197"/>
      <c r="I49" s="197"/>
    </row>
    <row r="50" spans="1:9" x14ac:dyDescent="0.25">
      <c r="A50" s="143" t="s">
        <v>76</v>
      </c>
      <c r="B50" s="142">
        <v>0.20499999999999999</v>
      </c>
      <c r="C50" s="142">
        <v>0.152</v>
      </c>
      <c r="D50" s="144">
        <f t="shared" si="0"/>
        <v>0.35699999999999998</v>
      </c>
      <c r="E50" s="184">
        <f t="shared" si="1"/>
        <v>17</v>
      </c>
      <c r="F50" s="184">
        <v>17</v>
      </c>
      <c r="G50" s="205" t="s">
        <v>379</v>
      </c>
      <c r="H50" s="197"/>
      <c r="I50" s="197"/>
    </row>
    <row r="51" spans="1:9" x14ac:dyDescent="0.25">
      <c r="A51" s="143" t="s">
        <v>77</v>
      </c>
      <c r="B51" s="142">
        <v>0.309</v>
      </c>
      <c r="C51" s="142">
        <v>0.02</v>
      </c>
      <c r="D51" s="144">
        <f t="shared" si="0"/>
        <v>0.32900000000000001</v>
      </c>
      <c r="E51" s="184">
        <f t="shared" si="1"/>
        <v>21</v>
      </c>
      <c r="F51" s="184">
        <v>21</v>
      </c>
      <c r="G51" s="201" t="s">
        <v>378</v>
      </c>
      <c r="H51" s="197"/>
      <c r="I51" s="197"/>
    </row>
    <row r="52" spans="1:9" x14ac:dyDescent="0.25">
      <c r="A52" s="192" t="s">
        <v>78</v>
      </c>
      <c r="B52" s="193">
        <v>0.23</v>
      </c>
      <c r="C52" s="193">
        <v>0.01</v>
      </c>
      <c r="D52" s="196">
        <f t="shared" si="0"/>
        <v>0.24000000000000002</v>
      </c>
      <c r="E52" s="191">
        <f t="shared" si="1"/>
        <v>38</v>
      </c>
      <c r="F52" s="191">
        <v>38</v>
      </c>
      <c r="G52" s="201" t="s">
        <v>378</v>
      </c>
      <c r="H52" s="197"/>
      <c r="I52" s="197"/>
    </row>
    <row r="53" spans="1:9" x14ac:dyDescent="0.25">
      <c r="A53" s="136"/>
      <c r="B53" s="137"/>
      <c r="C53" s="137"/>
      <c r="D53" s="137"/>
      <c r="E53" s="138"/>
      <c r="F53" s="177"/>
    </row>
    <row r="54" spans="1:9" ht="25.5" customHeight="1" x14ac:dyDescent="0.25">
      <c r="A54" s="254" t="s">
        <v>346</v>
      </c>
      <c r="B54" s="255"/>
      <c r="C54" s="255"/>
      <c r="D54" s="255"/>
      <c r="E54" s="255"/>
    </row>
    <row r="55" spans="1:9" x14ac:dyDescent="0.25">
      <c r="A55" s="136"/>
      <c r="B55" s="137"/>
      <c r="C55" s="137"/>
      <c r="D55" s="137"/>
      <c r="E55" s="139"/>
    </row>
    <row r="56" spans="1:9" x14ac:dyDescent="0.25">
      <c r="A56" s="256" t="s">
        <v>251</v>
      </c>
      <c r="B56" s="257"/>
      <c r="C56" s="257"/>
      <c r="D56" s="257"/>
      <c r="E56" s="257"/>
    </row>
    <row r="57" spans="1:9" x14ac:dyDescent="0.25">
      <c r="A57" s="254" t="s">
        <v>255</v>
      </c>
      <c r="B57" s="255"/>
      <c r="C57" s="255"/>
      <c r="D57" s="255"/>
      <c r="E57" s="255"/>
    </row>
    <row r="58" spans="1:9" x14ac:dyDescent="0.25">
      <c r="A58" s="140" t="s">
        <v>250</v>
      </c>
    </row>
    <row r="59" spans="1:9" x14ac:dyDescent="0.25">
      <c r="A59" s="136"/>
      <c r="B59" s="137"/>
      <c r="C59" s="137"/>
      <c r="D59" s="137"/>
      <c r="E59" s="139"/>
    </row>
  </sheetData>
  <mergeCells count="3">
    <mergeCell ref="A54:E54"/>
    <mergeCell ref="A56:E56"/>
    <mergeCell ref="A57:E57"/>
  </mergeCells>
  <hyperlinks>
    <hyperlink ref="A58" r:id="rId1"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5270F-19D1-4671-9744-C6C5F2636F0A}">
  <dimension ref="A1:K52"/>
  <sheetViews>
    <sheetView workbookViewId="0">
      <selection activeCell="K1" sqref="K1"/>
    </sheetView>
  </sheetViews>
  <sheetFormatPr defaultRowHeight="13.2" x14ac:dyDescent="0.25"/>
  <cols>
    <col min="1" max="1" width="14.5546875" customWidth="1"/>
    <col min="2" max="2" width="14.33203125" bestFit="1" customWidth="1"/>
    <col min="3" max="4" width="14.6640625" customWidth="1"/>
    <col min="5" max="5" width="8.44140625" customWidth="1"/>
    <col min="7" max="7" width="13.21875" customWidth="1"/>
    <col min="11" max="11" width="49" customWidth="1"/>
  </cols>
  <sheetData>
    <row r="1" spans="1:11" ht="71.400000000000006" customHeight="1" x14ac:dyDescent="0.25">
      <c r="A1" s="138" t="s">
        <v>21</v>
      </c>
      <c r="B1" s="228" t="s">
        <v>536</v>
      </c>
      <c r="C1" s="228" t="s">
        <v>537</v>
      </c>
      <c r="D1" s="228" t="s">
        <v>541</v>
      </c>
      <c r="E1" s="228" t="s">
        <v>538</v>
      </c>
      <c r="F1" s="229" t="s">
        <v>539</v>
      </c>
      <c r="G1" s="228" t="s">
        <v>540</v>
      </c>
      <c r="J1" s="126" t="s">
        <v>543</v>
      </c>
      <c r="K1" s="261" t="s">
        <v>544</v>
      </c>
    </row>
    <row r="2" spans="1:11" x14ac:dyDescent="0.25">
      <c r="A2" s="207" t="s">
        <v>25</v>
      </c>
      <c r="B2" s="230">
        <f>'EIA - Rates wNotes 0722 '!I3</f>
        <v>0.3095</v>
      </c>
      <c r="C2" s="230">
        <f>'EIA - Rates wNotes 0723 '!I3</f>
        <v>0.3095</v>
      </c>
      <c r="D2" s="235">
        <f>C2-B2</f>
        <v>0</v>
      </c>
      <c r="E2" s="234">
        <f>_xlfn.RANK.EQ(B2,$B$2:$B$51)</f>
        <v>24</v>
      </c>
      <c r="F2" s="138">
        <f>_xlfn.RANK.EQ(C2,$C$2:$C$51)</f>
        <v>24</v>
      </c>
      <c r="G2" s="138" t="str">
        <f>IF(F2=E2,"No Change",IF(F2&gt;E2,"Decrease","Increase"))</f>
        <v>No Change</v>
      </c>
      <c r="H2" s="236"/>
    </row>
    <row r="3" spans="1:11" x14ac:dyDescent="0.25">
      <c r="A3" s="207" t="s">
        <v>27</v>
      </c>
      <c r="B3" s="230">
        <f>'EIA - Rates wNotes 0722 '!I4</f>
        <v>8.9499999999999996E-2</v>
      </c>
      <c r="C3" s="230">
        <f>'EIA - Rates wNotes 0723 '!I4</f>
        <v>8.9499999999999996E-2</v>
      </c>
      <c r="D3" s="235">
        <f t="shared" ref="D3:D51" si="0">C3-B3</f>
        <v>0</v>
      </c>
      <c r="E3" s="234">
        <f t="shared" ref="E3:E51" si="1">_xlfn.RANK.EQ(B3,$B$2:$B$51)</f>
        <v>49</v>
      </c>
      <c r="F3" s="138">
        <f t="shared" ref="F3:F51" si="2">_xlfn.RANK.EQ(C3,$C$2:$C$51)</f>
        <v>50</v>
      </c>
      <c r="G3" s="138" t="str">
        <f t="shared" ref="G3:G51" si="3">IF(F3=E3,"No Change",IF(F3&gt;E3,"Decrease","Increase"))</f>
        <v>Decrease</v>
      </c>
      <c r="H3" s="236"/>
    </row>
    <row r="4" spans="1:11" x14ac:dyDescent="0.25">
      <c r="A4" s="207" t="s">
        <v>29</v>
      </c>
      <c r="B4" s="230">
        <f>'EIA - Rates wNotes 0722 '!I5</f>
        <v>0.19</v>
      </c>
      <c r="C4" s="230">
        <f>'EIA - Rates wNotes 0723 '!I5</f>
        <v>0.19</v>
      </c>
      <c r="D4" s="235">
        <f t="shared" si="0"/>
        <v>0</v>
      </c>
      <c r="E4" s="234">
        <f t="shared" si="1"/>
        <v>46</v>
      </c>
      <c r="F4" s="138">
        <f t="shared" si="2"/>
        <v>46</v>
      </c>
      <c r="G4" s="138" t="str">
        <f t="shared" si="3"/>
        <v>No Change</v>
      </c>
      <c r="H4" s="236"/>
    </row>
    <row r="5" spans="1:11" x14ac:dyDescent="0.25">
      <c r="A5" s="207" t="s">
        <v>31</v>
      </c>
      <c r="B5" s="230">
        <f>'EIA - Rates wNotes 0722 '!I6</f>
        <v>0.28799999999999998</v>
      </c>
      <c r="C5" s="230">
        <f>'EIA - Rates wNotes 0723 '!I6</f>
        <v>0.28799999999999998</v>
      </c>
      <c r="D5" s="235">
        <f t="shared" si="0"/>
        <v>0</v>
      </c>
      <c r="E5" s="234">
        <f t="shared" si="1"/>
        <v>27</v>
      </c>
      <c r="F5" s="138">
        <f t="shared" si="2"/>
        <v>29</v>
      </c>
      <c r="G5" s="138" t="str">
        <f t="shared" si="3"/>
        <v>Decrease</v>
      </c>
      <c r="H5" s="236"/>
    </row>
    <row r="6" spans="1:11" x14ac:dyDescent="0.25">
      <c r="A6" s="207" t="s">
        <v>33</v>
      </c>
      <c r="B6" s="230">
        <f>'EIA - Rates wNotes 0722 '!I7</f>
        <v>0.90199999999999991</v>
      </c>
      <c r="C6" s="230">
        <f>'EIA - Rates wNotes 0723 '!I7</f>
        <v>0.80820000000000003</v>
      </c>
      <c r="D6" s="235">
        <f t="shared" si="0"/>
        <v>-9.3799999999999883E-2</v>
      </c>
      <c r="E6" s="234">
        <f t="shared" si="1"/>
        <v>1</v>
      </c>
      <c r="F6" s="138">
        <f t="shared" si="2"/>
        <v>1</v>
      </c>
      <c r="G6" s="138" t="str">
        <f t="shared" si="3"/>
        <v>No Change</v>
      </c>
      <c r="H6" s="236"/>
    </row>
    <row r="7" spans="1:11" x14ac:dyDescent="0.25">
      <c r="A7" s="207" t="s">
        <v>34</v>
      </c>
      <c r="B7" s="230">
        <f>'EIA - Rates wNotes 0722 '!I8</f>
        <v>0.23749999999999999</v>
      </c>
      <c r="C7" s="230">
        <f>'EIA - Rates wNotes 0723 '!I8</f>
        <v>0.27437499999999998</v>
      </c>
      <c r="D7" s="235">
        <f t="shared" si="0"/>
        <v>3.6874999999999991E-2</v>
      </c>
      <c r="E7" s="234">
        <f t="shared" si="1"/>
        <v>37</v>
      </c>
      <c r="F7" s="138">
        <f t="shared" si="2"/>
        <v>33</v>
      </c>
      <c r="G7" s="138" t="str">
        <f t="shared" si="3"/>
        <v>Increase</v>
      </c>
      <c r="H7" s="236"/>
    </row>
    <row r="8" spans="1:11" x14ac:dyDescent="0.25">
      <c r="A8" s="207" t="s">
        <v>36</v>
      </c>
      <c r="B8" s="230">
        <f>'EIA - Rates wNotes 0722 '!I9</f>
        <v>0.42899999999999999</v>
      </c>
      <c r="C8" s="230">
        <f>'EIA - Rates wNotes 0723 '!I9</f>
        <v>0.49199999999999999</v>
      </c>
      <c r="D8" s="235">
        <f t="shared" si="0"/>
        <v>6.3E-2</v>
      </c>
      <c r="E8" s="234">
        <f t="shared" si="1"/>
        <v>10</v>
      </c>
      <c r="F8" s="138">
        <f t="shared" si="2"/>
        <v>7</v>
      </c>
      <c r="G8" s="138" t="str">
        <f t="shared" si="3"/>
        <v>Increase</v>
      </c>
      <c r="H8" s="236"/>
    </row>
    <row r="9" spans="1:11" x14ac:dyDescent="0.25">
      <c r="A9" s="207" t="s">
        <v>38</v>
      </c>
      <c r="B9" s="230">
        <f>'EIA - Rates wNotes 0722 '!I10</f>
        <v>0.22</v>
      </c>
      <c r="C9" s="230">
        <f>'EIA - Rates wNotes 0723 '!I10</f>
        <v>0.22</v>
      </c>
      <c r="D9" s="235">
        <f t="shared" si="0"/>
        <v>0</v>
      </c>
      <c r="E9" s="234">
        <f t="shared" si="1"/>
        <v>42</v>
      </c>
      <c r="F9" s="138">
        <f t="shared" si="2"/>
        <v>42</v>
      </c>
      <c r="G9" s="138" t="str">
        <f t="shared" si="3"/>
        <v>No Change</v>
      </c>
      <c r="H9" s="236"/>
    </row>
    <row r="10" spans="1:11" x14ac:dyDescent="0.25">
      <c r="A10" s="207" t="s">
        <v>40</v>
      </c>
      <c r="B10" s="230">
        <f>'EIA - Rates wNotes 0722 '!I11</f>
        <v>0.36370999999999998</v>
      </c>
      <c r="C10" s="230">
        <f>'EIA - Rates wNotes 0723 '!I11</f>
        <v>0.38170999999999999</v>
      </c>
      <c r="D10" s="235">
        <f t="shared" si="0"/>
        <v>1.8000000000000016E-2</v>
      </c>
      <c r="E10" s="234">
        <f t="shared" si="1"/>
        <v>14</v>
      </c>
      <c r="F10" s="138">
        <f t="shared" si="2"/>
        <v>13</v>
      </c>
      <c r="G10" s="138" t="str">
        <f t="shared" si="3"/>
        <v>Increase</v>
      </c>
      <c r="H10" s="236"/>
    </row>
    <row r="11" spans="1:11" x14ac:dyDescent="0.25">
      <c r="A11" s="207" t="s">
        <v>41</v>
      </c>
      <c r="B11" s="230">
        <f>'EIA - Rates wNotes 0722 '!I12</f>
        <v>0.33350000000000002</v>
      </c>
      <c r="C11" s="230">
        <f>'EIA - Rates wNotes 0723 '!I12</f>
        <v>0.35749999999999998</v>
      </c>
      <c r="D11" s="235">
        <f t="shared" si="0"/>
        <v>2.3999999999999966E-2</v>
      </c>
      <c r="E11" s="234">
        <f t="shared" si="1"/>
        <v>17</v>
      </c>
      <c r="F11" s="138">
        <f t="shared" si="2"/>
        <v>17</v>
      </c>
      <c r="G11" s="138" t="str">
        <f t="shared" si="3"/>
        <v>No Change</v>
      </c>
      <c r="H11" s="236"/>
    </row>
    <row r="12" spans="1:11" x14ac:dyDescent="0.25">
      <c r="A12" s="207" t="s">
        <v>42</v>
      </c>
      <c r="B12" s="230">
        <f>'EIA - Rates wNotes 0722 '!I13</f>
        <v>0.185</v>
      </c>
      <c r="C12" s="230">
        <f>'EIA - Rates wNotes 0723 '!I13</f>
        <v>0.185</v>
      </c>
      <c r="D12" s="235">
        <f t="shared" si="0"/>
        <v>0</v>
      </c>
      <c r="E12" s="234">
        <f t="shared" si="1"/>
        <v>47</v>
      </c>
      <c r="F12" s="138">
        <f t="shared" si="2"/>
        <v>47</v>
      </c>
      <c r="G12" s="138" t="str">
        <f t="shared" si="3"/>
        <v>No Change</v>
      </c>
      <c r="H12" s="236"/>
    </row>
    <row r="13" spans="1:11" x14ac:dyDescent="0.25">
      <c r="A13" s="207" t="s">
        <v>43</v>
      </c>
      <c r="B13" s="230">
        <f>'EIA - Rates wNotes 0722 '!I14</f>
        <v>0.33</v>
      </c>
      <c r="C13" s="230">
        <f>'EIA - Rates wNotes 0723 '!I14</f>
        <v>0.33</v>
      </c>
      <c r="D13" s="235">
        <f t="shared" si="0"/>
        <v>0</v>
      </c>
      <c r="E13" s="234">
        <f t="shared" si="1"/>
        <v>18</v>
      </c>
      <c r="F13" s="138">
        <f t="shared" si="2"/>
        <v>19</v>
      </c>
      <c r="G13" s="138" t="str">
        <f t="shared" si="3"/>
        <v>Decrease</v>
      </c>
      <c r="H13" s="236"/>
    </row>
    <row r="14" spans="1:11" x14ac:dyDescent="0.25">
      <c r="A14" s="207" t="s">
        <v>44</v>
      </c>
      <c r="B14" s="230">
        <f>'EIA - Rates wNotes 0722 '!I15</f>
        <v>0.70800000000000007</v>
      </c>
      <c r="C14" s="230">
        <f>'EIA - Rates wNotes 0723 '!I15</f>
        <v>0.74</v>
      </c>
      <c r="D14" s="235">
        <f t="shared" si="0"/>
        <v>3.1999999999999917E-2</v>
      </c>
      <c r="E14" s="234">
        <f t="shared" si="1"/>
        <v>3</v>
      </c>
      <c r="F14" s="138">
        <f t="shared" si="2"/>
        <v>3</v>
      </c>
      <c r="G14" s="138" t="str">
        <f t="shared" si="3"/>
        <v>No Change</v>
      </c>
      <c r="H14" s="236"/>
    </row>
    <row r="15" spans="1:11" x14ac:dyDescent="0.25">
      <c r="A15" s="207" t="s">
        <v>45</v>
      </c>
      <c r="B15" s="230">
        <f>'EIA - Rates wNotes 0722 '!I16</f>
        <v>0.56000000000000005</v>
      </c>
      <c r="C15" s="230">
        <f>'EIA - Rates wNotes 0723 '!I16</f>
        <v>0.57999999999999996</v>
      </c>
      <c r="D15" s="235">
        <f t="shared" si="0"/>
        <v>1.9999999999999907E-2</v>
      </c>
      <c r="E15" s="234">
        <f t="shared" si="1"/>
        <v>5</v>
      </c>
      <c r="F15" s="138">
        <f t="shared" si="2"/>
        <v>4</v>
      </c>
      <c r="G15" s="138" t="str">
        <f t="shared" si="3"/>
        <v>Increase</v>
      </c>
      <c r="H15" s="236"/>
    </row>
    <row r="16" spans="1:11" x14ac:dyDescent="0.25">
      <c r="A16" s="207" t="s">
        <v>46</v>
      </c>
      <c r="B16" s="230">
        <f>'EIA - Rates wNotes 0722 '!I17</f>
        <v>0.32500000000000001</v>
      </c>
      <c r="C16" s="230">
        <f>'EIA - Rates wNotes 0723 '!I17</f>
        <v>0.32500000000000001</v>
      </c>
      <c r="D16" s="235">
        <f t="shared" si="0"/>
        <v>0</v>
      </c>
      <c r="E16" s="234">
        <f t="shared" si="1"/>
        <v>21</v>
      </c>
      <c r="F16" s="138">
        <f t="shared" si="2"/>
        <v>21</v>
      </c>
      <c r="G16" s="138" t="str">
        <f t="shared" si="3"/>
        <v>No Change</v>
      </c>
      <c r="H16" s="236"/>
    </row>
    <row r="17" spans="1:8" x14ac:dyDescent="0.25">
      <c r="A17" s="207" t="s">
        <v>47</v>
      </c>
      <c r="B17" s="230">
        <f>'EIA - Rates wNotes 0722 '!I18</f>
        <v>0.27029999999999998</v>
      </c>
      <c r="C17" s="230">
        <f>'EIA - Rates wNotes 0723 '!I18</f>
        <v>0.27029999999999998</v>
      </c>
      <c r="D17" s="235">
        <f t="shared" si="0"/>
        <v>0</v>
      </c>
      <c r="E17" s="234">
        <f t="shared" si="1"/>
        <v>32</v>
      </c>
      <c r="F17" s="138">
        <f t="shared" si="2"/>
        <v>36</v>
      </c>
      <c r="G17" s="138" t="str">
        <f t="shared" si="3"/>
        <v>Decrease</v>
      </c>
      <c r="H17" s="236"/>
    </row>
    <row r="18" spans="1:8" x14ac:dyDescent="0.25">
      <c r="A18" s="207" t="s">
        <v>26</v>
      </c>
      <c r="B18" s="230">
        <f>'EIA - Rates wNotes 0722 '!I19</f>
        <v>0.23</v>
      </c>
      <c r="C18" s="230">
        <f>'EIA - Rates wNotes 0723 '!I19</f>
        <v>0.27100000000000002</v>
      </c>
      <c r="D18" s="235">
        <f t="shared" si="0"/>
        <v>4.1000000000000009E-2</v>
      </c>
      <c r="E18" s="234">
        <f t="shared" si="1"/>
        <v>39</v>
      </c>
      <c r="F18" s="138">
        <f t="shared" si="2"/>
        <v>35</v>
      </c>
      <c r="G18" s="138" t="str">
        <f t="shared" si="3"/>
        <v>Increase</v>
      </c>
      <c r="H18" s="236"/>
    </row>
    <row r="19" spans="1:8" x14ac:dyDescent="0.25">
      <c r="A19" s="207" t="s">
        <v>48</v>
      </c>
      <c r="B19" s="230">
        <f>'EIA - Rates wNotes 0722 '!I20</f>
        <v>0.20925000000000002</v>
      </c>
      <c r="C19" s="230">
        <f>'EIA - Rates wNotes 0723 '!I20</f>
        <v>0.20925000000000002</v>
      </c>
      <c r="D19" s="235">
        <f t="shared" si="0"/>
        <v>0</v>
      </c>
      <c r="E19" s="234">
        <f t="shared" si="1"/>
        <v>43</v>
      </c>
      <c r="F19" s="138">
        <f t="shared" si="2"/>
        <v>43</v>
      </c>
      <c r="G19" s="138" t="str">
        <f t="shared" si="3"/>
        <v>No Change</v>
      </c>
      <c r="H19" s="236"/>
    </row>
    <row r="20" spans="1:8" x14ac:dyDescent="0.25">
      <c r="A20" s="207" t="s">
        <v>49</v>
      </c>
      <c r="B20" s="230">
        <f>'EIA - Rates wNotes 0722 '!I21</f>
        <v>0.31869999999999998</v>
      </c>
      <c r="C20" s="230">
        <f>'EIA - Rates wNotes 0723 '!I21</f>
        <v>0.31869999999999998</v>
      </c>
      <c r="D20" s="235">
        <f t="shared" si="0"/>
        <v>0</v>
      </c>
      <c r="E20" s="234">
        <f t="shared" si="1"/>
        <v>23</v>
      </c>
      <c r="F20" s="138">
        <f t="shared" si="2"/>
        <v>23</v>
      </c>
      <c r="G20" s="138" t="str">
        <f t="shared" si="3"/>
        <v>No Change</v>
      </c>
      <c r="H20" s="236"/>
    </row>
    <row r="21" spans="1:8" x14ac:dyDescent="0.25">
      <c r="A21" s="207" t="s">
        <v>50</v>
      </c>
      <c r="B21" s="230">
        <f>'EIA - Rates wNotes 0722 '!I22</f>
        <v>0.43640000000000001</v>
      </c>
      <c r="C21" s="230">
        <f>'EIA - Rates wNotes 0723 '!I22</f>
        <v>0.47940000000000005</v>
      </c>
      <c r="D21" s="235">
        <f t="shared" si="0"/>
        <v>4.3000000000000038E-2</v>
      </c>
      <c r="E21" s="234">
        <f t="shared" si="1"/>
        <v>9</v>
      </c>
      <c r="F21" s="138">
        <f t="shared" si="2"/>
        <v>9</v>
      </c>
      <c r="G21" s="138" t="str">
        <f t="shared" si="3"/>
        <v>No Change</v>
      </c>
      <c r="H21" s="236"/>
    </row>
    <row r="22" spans="1:8" x14ac:dyDescent="0.25">
      <c r="A22" s="207" t="s">
        <v>51</v>
      </c>
      <c r="B22" s="230">
        <f>'EIA - Rates wNotes 0722 '!I23</f>
        <v>0.26980100000000001</v>
      </c>
      <c r="C22" s="230">
        <f>'EIA - Rates wNotes 0723 '!I23</f>
        <v>0.27199899999999999</v>
      </c>
      <c r="D22" s="235">
        <f t="shared" si="0"/>
        <v>2.1979999999999777E-3</v>
      </c>
      <c r="E22" s="234">
        <f t="shared" si="1"/>
        <v>33</v>
      </c>
      <c r="F22" s="138">
        <f t="shared" si="2"/>
        <v>34</v>
      </c>
      <c r="G22" s="138" t="str">
        <f t="shared" si="3"/>
        <v>Decrease</v>
      </c>
      <c r="H22" s="236"/>
    </row>
    <row r="23" spans="1:8" x14ac:dyDescent="0.25">
      <c r="A23" s="207" t="s">
        <v>52</v>
      </c>
      <c r="B23" s="230">
        <f>'EIA - Rates wNotes 0722 '!I24</f>
        <v>0.56200000000000006</v>
      </c>
      <c r="C23" s="230">
        <f>'EIA - Rates wNotes 0723 '!I24</f>
        <v>0.50900000000000001</v>
      </c>
      <c r="D23" s="235">
        <f t="shared" si="0"/>
        <v>-5.3000000000000047E-2</v>
      </c>
      <c r="E23" s="234">
        <f t="shared" si="1"/>
        <v>4</v>
      </c>
      <c r="F23" s="138">
        <f t="shared" si="2"/>
        <v>6</v>
      </c>
      <c r="G23" s="138" t="str">
        <f t="shared" si="3"/>
        <v>Decrease</v>
      </c>
      <c r="H23" s="236"/>
    </row>
    <row r="24" spans="1:8" x14ac:dyDescent="0.25">
      <c r="A24" s="207" t="s">
        <v>53</v>
      </c>
      <c r="B24" s="230">
        <f>'EIA - Rates wNotes 0722 '!I25</f>
        <v>0.28599999999999998</v>
      </c>
      <c r="C24" s="230">
        <f>'EIA - Rates wNotes 0723 '!I25</f>
        <v>0.30599999999999999</v>
      </c>
      <c r="D24" s="235">
        <f t="shared" si="0"/>
        <v>2.0000000000000018E-2</v>
      </c>
      <c r="E24" s="234">
        <f t="shared" si="1"/>
        <v>29</v>
      </c>
      <c r="F24" s="138">
        <f t="shared" si="2"/>
        <v>25</v>
      </c>
      <c r="G24" s="138" t="str">
        <f t="shared" si="3"/>
        <v>Increase</v>
      </c>
      <c r="H24" s="236"/>
    </row>
    <row r="25" spans="1:8" x14ac:dyDescent="0.25">
      <c r="A25" s="207" t="s">
        <v>54</v>
      </c>
      <c r="B25" s="230">
        <f>'EIA - Rates wNotes 0722 '!I26</f>
        <v>0.184</v>
      </c>
      <c r="C25" s="230">
        <f>'EIA - Rates wNotes 0723 '!I26</f>
        <v>0.184</v>
      </c>
      <c r="D25" s="235">
        <f t="shared" si="0"/>
        <v>0</v>
      </c>
      <c r="E25" s="234">
        <f t="shared" si="1"/>
        <v>48</v>
      </c>
      <c r="F25" s="138">
        <f t="shared" si="2"/>
        <v>48</v>
      </c>
      <c r="G25" s="138" t="str">
        <f t="shared" si="3"/>
        <v>No Change</v>
      </c>
      <c r="H25" s="236"/>
    </row>
    <row r="26" spans="1:8" x14ac:dyDescent="0.25">
      <c r="A26" s="207" t="s">
        <v>55</v>
      </c>
      <c r="B26" s="230">
        <f>'EIA - Rates wNotes 0722 '!I27</f>
        <v>0.22420000000000001</v>
      </c>
      <c r="C26" s="230">
        <f>'EIA - Rates wNotes 0723 '!I27</f>
        <v>0.24970000000000001</v>
      </c>
      <c r="D26" s="235">
        <f t="shared" si="0"/>
        <v>2.5499999999999995E-2</v>
      </c>
      <c r="E26" s="234">
        <f t="shared" si="1"/>
        <v>41</v>
      </c>
      <c r="F26" s="138">
        <f t="shared" si="2"/>
        <v>37</v>
      </c>
      <c r="G26" s="138" t="str">
        <f t="shared" si="3"/>
        <v>Increase</v>
      </c>
      <c r="H26" s="236"/>
    </row>
    <row r="27" spans="1:8" x14ac:dyDescent="0.25">
      <c r="A27" s="207" t="s">
        <v>56</v>
      </c>
      <c r="B27" s="230">
        <f>'EIA - Rates wNotes 0722 '!I28</f>
        <v>0.30499999999999999</v>
      </c>
      <c r="C27" s="230">
        <f>'EIA - Rates wNotes 0723 '!I28</f>
        <v>0.30499999999999999</v>
      </c>
      <c r="D27" s="235">
        <f t="shared" si="0"/>
        <v>0</v>
      </c>
      <c r="E27" s="234">
        <f t="shared" si="1"/>
        <v>25</v>
      </c>
      <c r="F27" s="138">
        <f t="shared" si="2"/>
        <v>26</v>
      </c>
      <c r="G27" s="138" t="str">
        <f t="shared" si="3"/>
        <v>Decrease</v>
      </c>
      <c r="H27" s="236"/>
    </row>
    <row r="28" spans="1:8" x14ac:dyDescent="0.25">
      <c r="A28" s="207" t="s">
        <v>57</v>
      </c>
      <c r="B28" s="230">
        <f>'EIA - Rates wNotes 0722 '!I29</f>
        <v>0.251</v>
      </c>
      <c r="C28" s="230">
        <f>'EIA - Rates wNotes 0723 '!I29</f>
        <v>0.29299999999999998</v>
      </c>
      <c r="D28" s="235">
        <f t="shared" si="0"/>
        <v>4.1999999999999982E-2</v>
      </c>
      <c r="E28" s="234">
        <f t="shared" si="1"/>
        <v>34</v>
      </c>
      <c r="F28" s="138">
        <f t="shared" si="2"/>
        <v>28</v>
      </c>
      <c r="G28" s="138" t="str">
        <f t="shared" si="3"/>
        <v>Increase</v>
      </c>
      <c r="H28" s="236"/>
    </row>
    <row r="29" spans="1:8" x14ac:dyDescent="0.25">
      <c r="A29" s="207" t="s">
        <v>58</v>
      </c>
      <c r="B29" s="230">
        <f>'EIA - Rates wNotes 0722 '!I30</f>
        <v>0.27750000000000002</v>
      </c>
      <c r="C29" s="230">
        <f>'EIA - Rates wNotes 0723 '!I30</f>
        <v>0.27750000000000002</v>
      </c>
      <c r="D29" s="235">
        <f t="shared" si="0"/>
        <v>0</v>
      </c>
      <c r="E29" s="234">
        <f t="shared" si="1"/>
        <v>31</v>
      </c>
      <c r="F29" s="138">
        <f t="shared" si="2"/>
        <v>32</v>
      </c>
      <c r="G29" s="138" t="str">
        <f t="shared" si="3"/>
        <v>Decrease</v>
      </c>
      <c r="H29" s="236"/>
    </row>
    <row r="30" spans="1:8" x14ac:dyDescent="0.25">
      <c r="A30" s="207" t="s">
        <v>59</v>
      </c>
      <c r="B30" s="230">
        <f>'EIA - Rates wNotes 0722 '!I31</f>
        <v>0.23825000000000002</v>
      </c>
      <c r="C30" s="230">
        <f>'EIA - Rates wNotes 0723 '!I31</f>
        <v>0.23825000000000002</v>
      </c>
      <c r="D30" s="235">
        <f t="shared" si="0"/>
        <v>0</v>
      </c>
      <c r="E30" s="234">
        <f t="shared" si="1"/>
        <v>36</v>
      </c>
      <c r="F30" s="138">
        <f t="shared" si="2"/>
        <v>39</v>
      </c>
      <c r="G30" s="138" t="str">
        <f t="shared" si="3"/>
        <v>Decrease</v>
      </c>
      <c r="H30" s="236"/>
    </row>
    <row r="31" spans="1:8" x14ac:dyDescent="0.25">
      <c r="A31" s="207" t="s">
        <v>60</v>
      </c>
      <c r="B31" s="230">
        <f>'EIA - Rates wNotes 0722 '!I32</f>
        <v>0.4945</v>
      </c>
      <c r="C31" s="230">
        <f>'EIA - Rates wNotes 0723 '!I32</f>
        <v>0.48449999999999999</v>
      </c>
      <c r="D31" s="235">
        <f t="shared" si="0"/>
        <v>-1.0000000000000009E-2</v>
      </c>
      <c r="E31" s="234">
        <f t="shared" si="1"/>
        <v>7</v>
      </c>
      <c r="F31" s="138">
        <f t="shared" si="2"/>
        <v>8</v>
      </c>
      <c r="G31" s="138" t="str">
        <f t="shared" si="3"/>
        <v>Decrease</v>
      </c>
      <c r="H31" s="236"/>
    </row>
    <row r="32" spans="1:8" x14ac:dyDescent="0.25">
      <c r="A32" s="207" t="s">
        <v>28</v>
      </c>
      <c r="B32" s="230">
        <f>'EIA - Rates wNotes 0722 '!I33</f>
        <v>0.22874999999999998</v>
      </c>
      <c r="C32" s="230">
        <f>'EIA - Rates wNotes 0723 '!I33</f>
        <v>0.22874999999999998</v>
      </c>
      <c r="D32" s="235">
        <f t="shared" si="0"/>
        <v>0</v>
      </c>
      <c r="E32" s="234">
        <f t="shared" si="1"/>
        <v>40</v>
      </c>
      <c r="F32" s="138">
        <f t="shared" si="2"/>
        <v>41</v>
      </c>
      <c r="G32" s="138" t="str">
        <f t="shared" si="3"/>
        <v>Decrease</v>
      </c>
      <c r="H32" s="236"/>
    </row>
    <row r="33" spans="1:8" x14ac:dyDescent="0.25">
      <c r="A33" s="207" t="s">
        <v>30</v>
      </c>
      <c r="B33" s="230">
        <f>'EIA - Rates wNotes 0722 '!I34</f>
        <v>3.274E-3</v>
      </c>
      <c r="C33" s="230">
        <f>'EIA - Rates wNotes 0723 '!I34</f>
        <v>0.16677400000000001</v>
      </c>
      <c r="D33" s="235">
        <f t="shared" si="0"/>
        <v>0.16350000000000001</v>
      </c>
      <c r="E33" s="234">
        <f t="shared" si="1"/>
        <v>50</v>
      </c>
      <c r="F33" s="138">
        <f t="shared" si="2"/>
        <v>49</v>
      </c>
      <c r="G33" s="138" t="str">
        <f t="shared" si="3"/>
        <v>Increase</v>
      </c>
      <c r="H33" s="236"/>
    </row>
    <row r="34" spans="1:8" x14ac:dyDescent="0.25">
      <c r="A34" s="207" t="s">
        <v>61</v>
      </c>
      <c r="B34" s="230">
        <f>'EIA - Rates wNotes 0722 '!I35</f>
        <v>0.38750000000000001</v>
      </c>
      <c r="C34" s="230">
        <f>'EIA - Rates wNotes 0723 '!I35</f>
        <v>0.40750000000000003</v>
      </c>
      <c r="D34" s="235">
        <f t="shared" si="0"/>
        <v>2.0000000000000018E-2</v>
      </c>
      <c r="E34" s="234">
        <f t="shared" si="1"/>
        <v>11</v>
      </c>
      <c r="F34" s="138">
        <f t="shared" si="2"/>
        <v>11</v>
      </c>
      <c r="G34" s="138" t="str">
        <f t="shared" si="3"/>
        <v>No Change</v>
      </c>
      <c r="H34" s="236"/>
    </row>
    <row r="35" spans="1:8" x14ac:dyDescent="0.25">
      <c r="A35" s="207" t="s">
        <v>62</v>
      </c>
      <c r="B35" s="230">
        <f>'EIA - Rates wNotes 0722 '!I36</f>
        <v>0.23025000000000001</v>
      </c>
      <c r="C35" s="230">
        <f>'EIA - Rates wNotes 0723 '!I36</f>
        <v>0.23025000000000001</v>
      </c>
      <c r="D35" s="235">
        <f t="shared" si="0"/>
        <v>0</v>
      </c>
      <c r="E35" s="234">
        <f t="shared" si="1"/>
        <v>38</v>
      </c>
      <c r="F35" s="138">
        <f t="shared" si="2"/>
        <v>40</v>
      </c>
      <c r="G35" s="138" t="str">
        <f t="shared" si="3"/>
        <v>Decrease</v>
      </c>
      <c r="H35" s="236"/>
    </row>
    <row r="36" spans="1:8" x14ac:dyDescent="0.25">
      <c r="A36" s="207" t="s">
        <v>63</v>
      </c>
      <c r="B36" s="230">
        <f>'EIA - Rates wNotes 0722 '!I37</f>
        <v>0.47</v>
      </c>
      <c r="C36" s="230">
        <f>'EIA - Rates wNotes 0723 '!I37</f>
        <v>0.47</v>
      </c>
      <c r="D36" s="235">
        <f t="shared" si="0"/>
        <v>0</v>
      </c>
      <c r="E36" s="234">
        <f t="shared" si="1"/>
        <v>8</v>
      </c>
      <c r="F36" s="138">
        <f t="shared" si="2"/>
        <v>10</v>
      </c>
      <c r="G36" s="138" t="str">
        <f t="shared" si="3"/>
        <v>Decrease</v>
      </c>
      <c r="H36" s="236"/>
    </row>
    <row r="37" spans="1:8" x14ac:dyDescent="0.25">
      <c r="A37" s="207" t="s">
        <v>64</v>
      </c>
      <c r="B37" s="230">
        <f>'EIA - Rates wNotes 0722 '!I38</f>
        <v>0.2</v>
      </c>
      <c r="C37" s="230">
        <f>'EIA - Rates wNotes 0723 '!I38</f>
        <v>0.2</v>
      </c>
      <c r="D37" s="235">
        <f t="shared" si="0"/>
        <v>0</v>
      </c>
      <c r="E37" s="234">
        <f t="shared" si="1"/>
        <v>44</v>
      </c>
      <c r="F37" s="138">
        <f t="shared" si="2"/>
        <v>44</v>
      </c>
      <c r="G37" s="138" t="str">
        <f t="shared" si="3"/>
        <v>No Change</v>
      </c>
      <c r="H37" s="236"/>
    </row>
    <row r="38" spans="1:8" s="126" customFormat="1" x14ac:dyDescent="0.25">
      <c r="A38" s="248" t="s">
        <v>65</v>
      </c>
      <c r="B38" s="249">
        <f>'EIA - Rates wNotes 0722 '!I39</f>
        <v>0.38</v>
      </c>
      <c r="C38" s="249">
        <f>'EIA - Rates wNotes 0723 '!I39</f>
        <v>0.38</v>
      </c>
      <c r="D38" s="250">
        <f t="shared" si="0"/>
        <v>0</v>
      </c>
      <c r="E38" s="251">
        <f t="shared" si="1"/>
        <v>12</v>
      </c>
      <c r="F38" s="232">
        <f t="shared" si="2"/>
        <v>15</v>
      </c>
      <c r="G38" s="232" t="str">
        <f t="shared" si="3"/>
        <v>Decrease</v>
      </c>
      <c r="H38" s="252"/>
    </row>
    <row r="39" spans="1:8" x14ac:dyDescent="0.25">
      <c r="A39" s="207" t="s">
        <v>66</v>
      </c>
      <c r="B39" s="230">
        <f>'EIA - Rates wNotes 0722 '!I40</f>
        <v>0.74099999999999999</v>
      </c>
      <c r="C39" s="230">
        <f>'EIA - Rates wNotes 0723 '!I40</f>
        <v>0.78500000000000003</v>
      </c>
      <c r="D39" s="235">
        <f t="shared" si="0"/>
        <v>4.4000000000000039E-2</v>
      </c>
      <c r="E39" s="234">
        <f t="shared" si="1"/>
        <v>2</v>
      </c>
      <c r="F39" s="138">
        <f t="shared" si="2"/>
        <v>2</v>
      </c>
      <c r="G39" s="138" t="str">
        <f t="shared" si="3"/>
        <v>No Change</v>
      </c>
      <c r="H39" s="236"/>
    </row>
    <row r="40" spans="1:8" x14ac:dyDescent="0.25">
      <c r="A40" s="207" t="s">
        <v>67</v>
      </c>
      <c r="B40" s="230">
        <f>'EIA - Rates wNotes 0722 '!I41</f>
        <v>0.35120000000000001</v>
      </c>
      <c r="C40" s="230">
        <f>'EIA - Rates wNotes 0723 '!I41</f>
        <v>0.38119999999999998</v>
      </c>
      <c r="D40" s="235">
        <f t="shared" si="0"/>
        <v>2.9999999999999971E-2</v>
      </c>
      <c r="E40" s="234">
        <f t="shared" si="1"/>
        <v>16</v>
      </c>
      <c r="F40" s="138">
        <f t="shared" si="2"/>
        <v>14</v>
      </c>
      <c r="G40" s="138" t="str">
        <f t="shared" si="3"/>
        <v>Increase</v>
      </c>
      <c r="H40" s="236"/>
    </row>
    <row r="41" spans="1:8" x14ac:dyDescent="0.25">
      <c r="A41" s="207" t="s">
        <v>68</v>
      </c>
      <c r="B41" s="230">
        <f>'EIA - Rates wNotes 0722 '!I42</f>
        <v>0.28750000000000003</v>
      </c>
      <c r="C41" s="230">
        <f>'EIA - Rates wNotes 0723 '!I42</f>
        <v>0.28750000000000003</v>
      </c>
      <c r="D41" s="235">
        <f t="shared" si="0"/>
        <v>0</v>
      </c>
      <c r="E41" s="234">
        <f t="shared" si="1"/>
        <v>28</v>
      </c>
      <c r="F41" s="138">
        <f t="shared" si="2"/>
        <v>30</v>
      </c>
      <c r="G41" s="138" t="str">
        <f t="shared" si="3"/>
        <v>Decrease</v>
      </c>
      <c r="H41" s="236"/>
    </row>
    <row r="42" spans="1:8" x14ac:dyDescent="0.25">
      <c r="A42" s="207" t="s">
        <v>69</v>
      </c>
      <c r="B42" s="230">
        <f>'EIA - Rates wNotes 0722 '!I43</f>
        <v>0.30000000000000004</v>
      </c>
      <c r="C42" s="230">
        <f>'EIA - Rates wNotes 0723 '!I43</f>
        <v>0.30000000000000004</v>
      </c>
      <c r="D42" s="235">
        <f t="shared" si="0"/>
        <v>0</v>
      </c>
      <c r="E42" s="234">
        <f t="shared" si="1"/>
        <v>26</v>
      </c>
      <c r="F42" s="138">
        <f t="shared" si="2"/>
        <v>27</v>
      </c>
      <c r="G42" s="138" t="str">
        <f t="shared" si="3"/>
        <v>Decrease</v>
      </c>
      <c r="H42" s="236"/>
    </row>
    <row r="43" spans="1:8" x14ac:dyDescent="0.25">
      <c r="A43" s="207" t="s">
        <v>70</v>
      </c>
      <c r="B43" s="230">
        <f>'EIA - Rates wNotes 0722 '!I44</f>
        <v>0.28400000000000003</v>
      </c>
      <c r="C43" s="230">
        <f>'EIA - Rates wNotes 0723 '!I44</f>
        <v>0.28400000000000003</v>
      </c>
      <c r="D43" s="235">
        <f t="shared" si="0"/>
        <v>0</v>
      </c>
      <c r="E43" s="234">
        <f t="shared" si="1"/>
        <v>30</v>
      </c>
      <c r="F43" s="138">
        <f t="shared" si="2"/>
        <v>31</v>
      </c>
      <c r="G43" s="138" t="str">
        <f t="shared" si="3"/>
        <v>Decrease</v>
      </c>
      <c r="H43" s="236"/>
    </row>
    <row r="44" spans="1:8" x14ac:dyDescent="0.25">
      <c r="A44" s="207" t="s">
        <v>71</v>
      </c>
      <c r="B44" s="230">
        <f>'EIA - Rates wNotes 0722 '!I45</f>
        <v>0.2</v>
      </c>
      <c r="C44" s="230">
        <f>'EIA - Rates wNotes 0723 '!I45</f>
        <v>0.2</v>
      </c>
      <c r="D44" s="235">
        <f t="shared" si="0"/>
        <v>0</v>
      </c>
      <c r="E44" s="234">
        <f t="shared" si="1"/>
        <v>44</v>
      </c>
      <c r="F44" s="138">
        <f t="shared" si="2"/>
        <v>44</v>
      </c>
      <c r="G44" s="138" t="str">
        <f t="shared" si="3"/>
        <v>No Change</v>
      </c>
      <c r="H44" s="236"/>
    </row>
    <row r="45" spans="1:8" x14ac:dyDescent="0.25">
      <c r="A45" s="207" t="s">
        <v>72</v>
      </c>
      <c r="B45" s="230">
        <f>'EIA - Rates wNotes 0722 '!I46</f>
        <v>0.32550000000000001</v>
      </c>
      <c r="C45" s="230">
        <f>'EIA - Rates wNotes 0723 '!I46</f>
        <v>0.35149999999999998</v>
      </c>
      <c r="D45" s="235">
        <f t="shared" si="0"/>
        <v>2.5999999999999968E-2</v>
      </c>
      <c r="E45" s="234">
        <f t="shared" si="1"/>
        <v>20</v>
      </c>
      <c r="F45" s="138">
        <f t="shared" si="2"/>
        <v>18</v>
      </c>
      <c r="G45" s="138" t="str">
        <f t="shared" si="3"/>
        <v>Increase</v>
      </c>
      <c r="H45" s="236"/>
    </row>
    <row r="46" spans="1:8" x14ac:dyDescent="0.25">
      <c r="A46" s="207" t="s">
        <v>73</v>
      </c>
      <c r="B46" s="230">
        <f>'EIA - Rates wNotes 0722 '!I47</f>
        <v>0.32</v>
      </c>
      <c r="C46" s="230">
        <f>'EIA - Rates wNotes 0723 '!I47</f>
        <v>0.32</v>
      </c>
      <c r="D46" s="235">
        <f t="shared" si="0"/>
        <v>0</v>
      </c>
      <c r="E46" s="234">
        <f t="shared" si="1"/>
        <v>22</v>
      </c>
      <c r="F46" s="138">
        <f t="shared" si="2"/>
        <v>22</v>
      </c>
      <c r="G46" s="138" t="str">
        <f t="shared" si="3"/>
        <v>No Change</v>
      </c>
      <c r="H46" s="236"/>
    </row>
    <row r="47" spans="1:8" x14ac:dyDescent="0.25">
      <c r="A47" s="207" t="s">
        <v>74</v>
      </c>
      <c r="B47" s="230">
        <f>'EIA - Rates wNotes 0722 '!I48</f>
        <v>0.378</v>
      </c>
      <c r="C47" s="230">
        <f>'EIA - Rates wNotes 0723 '!I48</f>
        <v>0.40200000000000002</v>
      </c>
      <c r="D47" s="235">
        <f t="shared" si="0"/>
        <v>2.4000000000000021E-2</v>
      </c>
      <c r="E47" s="234">
        <f t="shared" si="1"/>
        <v>13</v>
      </c>
      <c r="F47" s="138">
        <f t="shared" si="2"/>
        <v>12</v>
      </c>
      <c r="G47" s="138" t="str">
        <f t="shared" si="3"/>
        <v>Increase</v>
      </c>
      <c r="H47" s="236"/>
    </row>
    <row r="48" spans="1:8" x14ac:dyDescent="0.25">
      <c r="A48" s="207" t="s">
        <v>75</v>
      </c>
      <c r="B48" s="230">
        <f>'EIA - Rates wNotes 0722 '!I49</f>
        <v>0.52379030000000004</v>
      </c>
      <c r="C48" s="230">
        <f>'EIA - Rates wNotes 0723 '!I49</f>
        <v>0.5281903</v>
      </c>
      <c r="D48" s="235">
        <f t="shared" si="0"/>
        <v>4.3999999999999595E-3</v>
      </c>
      <c r="E48" s="234">
        <f t="shared" si="1"/>
        <v>6</v>
      </c>
      <c r="F48" s="138">
        <f t="shared" si="2"/>
        <v>5</v>
      </c>
      <c r="G48" s="138" t="str">
        <f t="shared" si="3"/>
        <v>Increase</v>
      </c>
      <c r="H48" s="236"/>
    </row>
    <row r="49" spans="1:8" x14ac:dyDescent="0.25">
      <c r="A49" s="207" t="s">
        <v>76</v>
      </c>
      <c r="B49" s="230">
        <f>'EIA - Rates wNotes 0722 '!I50</f>
        <v>0.35699999999999998</v>
      </c>
      <c r="C49" s="230">
        <f>'EIA - Rates wNotes 0723 '!I50</f>
        <v>0.372</v>
      </c>
      <c r="D49" s="235">
        <f t="shared" si="0"/>
        <v>1.5000000000000013E-2</v>
      </c>
      <c r="E49" s="234">
        <f t="shared" si="1"/>
        <v>15</v>
      </c>
      <c r="F49" s="138">
        <f t="shared" si="2"/>
        <v>16</v>
      </c>
      <c r="G49" s="138" t="str">
        <f t="shared" si="3"/>
        <v>Decrease</v>
      </c>
      <c r="H49" s="236"/>
    </row>
    <row r="50" spans="1:8" x14ac:dyDescent="0.25">
      <c r="A50" s="207" t="s">
        <v>77</v>
      </c>
      <c r="B50" s="230">
        <f>'EIA - Rates wNotes 0722 '!I51</f>
        <v>0.32900000000000001</v>
      </c>
      <c r="C50" s="230">
        <f>'EIA - Rates wNotes 0723 '!I51</f>
        <v>0.32900000000000001</v>
      </c>
      <c r="D50" s="235">
        <f t="shared" si="0"/>
        <v>0</v>
      </c>
      <c r="E50" s="234">
        <f t="shared" si="1"/>
        <v>19</v>
      </c>
      <c r="F50" s="138">
        <f t="shared" si="2"/>
        <v>20</v>
      </c>
      <c r="G50" s="138" t="str">
        <f t="shared" si="3"/>
        <v>Decrease</v>
      </c>
      <c r="H50" s="236"/>
    </row>
    <row r="51" spans="1:8" x14ac:dyDescent="0.25">
      <c r="A51" s="207" t="s">
        <v>78</v>
      </c>
      <c r="B51" s="230">
        <f>'EIA - Rates wNotes 0722 '!I52</f>
        <v>0.24000000000000002</v>
      </c>
      <c r="C51" s="230">
        <f>'EIA - Rates wNotes 0723 '!I52</f>
        <v>0.24000000000000002</v>
      </c>
      <c r="D51" s="235">
        <f t="shared" si="0"/>
        <v>0</v>
      </c>
      <c r="E51" s="234">
        <f t="shared" si="1"/>
        <v>35</v>
      </c>
      <c r="F51" s="138">
        <f t="shared" si="2"/>
        <v>38</v>
      </c>
      <c r="G51" s="138" t="str">
        <f t="shared" si="3"/>
        <v>Decrease</v>
      </c>
      <c r="H51" s="236"/>
    </row>
    <row r="52" spans="1:8" x14ac:dyDescent="0.25">
      <c r="B52" s="231"/>
      <c r="C52" s="231"/>
      <c r="D52" s="231"/>
      <c r="E52" s="227"/>
      <c r="F52" s="233"/>
      <c r="G52" s="233"/>
    </row>
  </sheetData>
  <conditionalFormatting sqref="D1:D51">
    <cfRule type="cellIs" dxfId="2" priority="3" operator="equal">
      <formula>0</formula>
    </cfRule>
  </conditionalFormatting>
  <conditionalFormatting sqref="G1:G1048576">
    <cfRule type="containsText" dxfId="1" priority="1" operator="containsText" text="decrease">
      <formula>NOT(ISERROR(SEARCH("decrease",G1)))</formula>
    </cfRule>
    <cfRule type="containsText" dxfId="0" priority="2" operator="containsText" text="Increase">
      <formula>NOT(ISERROR(SEARCH("Increase",G1)))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8609-CE82-4920-B846-5CCEC56CF60D}">
  <dimension ref="A1:N57"/>
  <sheetViews>
    <sheetView workbookViewId="0">
      <selection activeCell="N1" sqref="N1"/>
    </sheetView>
  </sheetViews>
  <sheetFormatPr defaultRowHeight="13.2" x14ac:dyDescent="0.25"/>
  <cols>
    <col min="1" max="1" width="19" customWidth="1"/>
    <col min="2" max="6" width="0" hidden="1" customWidth="1"/>
  </cols>
  <sheetData>
    <row r="1" spans="1:14" x14ac:dyDescent="0.25">
      <c r="B1" t="s">
        <v>510</v>
      </c>
      <c r="G1" s="150" t="s">
        <v>512</v>
      </c>
      <c r="N1" s="253">
        <v>45108</v>
      </c>
    </row>
    <row r="2" spans="1:14" ht="26.4" x14ac:dyDescent="0.25">
      <c r="A2" s="211"/>
      <c r="B2" s="212" t="s">
        <v>506</v>
      </c>
      <c r="C2" s="212" t="s">
        <v>507</v>
      </c>
      <c r="D2" s="212" t="s">
        <v>508</v>
      </c>
      <c r="E2" s="212" t="s">
        <v>509</v>
      </c>
      <c r="F2" s="212"/>
      <c r="G2" s="212" t="s">
        <v>506</v>
      </c>
      <c r="H2" s="212" t="s">
        <v>507</v>
      </c>
      <c r="I2" s="212" t="s">
        <v>508</v>
      </c>
      <c r="J2" s="212" t="s">
        <v>509</v>
      </c>
      <c r="K2" s="141" t="s">
        <v>535</v>
      </c>
      <c r="L2" s="219" t="s">
        <v>115</v>
      </c>
    </row>
    <row r="3" spans="1:14" x14ac:dyDescent="0.25">
      <c r="A3" s="211" t="s">
        <v>414</v>
      </c>
      <c r="B3" s="212">
        <v>0.28000000000000003</v>
      </c>
      <c r="C3" s="212">
        <v>1.2E-2</v>
      </c>
      <c r="D3" s="212">
        <v>0.29200000000000004</v>
      </c>
      <c r="E3" s="212">
        <v>0.47600000000000003</v>
      </c>
      <c r="F3" s="212"/>
      <c r="G3" s="212">
        <v>0.28999999999999998</v>
      </c>
      <c r="H3" s="212">
        <v>1.95E-2</v>
      </c>
      <c r="I3" s="212">
        <v>0.3095</v>
      </c>
      <c r="J3" s="212">
        <v>0.55349999999999999</v>
      </c>
      <c r="K3">
        <f t="shared" ref="K3:K34" si="0">_xlfn.RANK.AVG(I3,$I$3:$I$57)</f>
        <v>24</v>
      </c>
      <c r="L3" s="219" t="s">
        <v>415</v>
      </c>
    </row>
    <row r="4" spans="1:14" x14ac:dyDescent="0.25">
      <c r="A4" s="211" t="s">
        <v>416</v>
      </c>
      <c r="B4" s="212">
        <v>0.08</v>
      </c>
      <c r="C4" s="212">
        <v>9.4999999999999998E-3</v>
      </c>
      <c r="D4" s="212">
        <v>8.9499999999999996E-2</v>
      </c>
      <c r="E4" s="212">
        <v>0.27349999999999997</v>
      </c>
      <c r="F4" s="212"/>
      <c r="G4" s="212">
        <v>0.08</v>
      </c>
      <c r="H4" s="212">
        <v>9.4999999999999998E-3</v>
      </c>
      <c r="I4" s="212">
        <v>8.9499999999999996E-2</v>
      </c>
      <c r="J4" s="212">
        <v>0.33350000000000002</v>
      </c>
      <c r="K4">
        <f t="shared" si="0"/>
        <v>50</v>
      </c>
      <c r="L4" s="219" t="s">
        <v>417</v>
      </c>
    </row>
    <row r="5" spans="1:14" x14ac:dyDescent="0.25">
      <c r="A5" s="213" t="s">
        <v>418</v>
      </c>
      <c r="B5" s="212">
        <v>0.18</v>
      </c>
      <c r="C5" s="212">
        <v>0.01</v>
      </c>
      <c r="D5" s="212">
        <v>0.19</v>
      </c>
      <c r="E5" s="212">
        <v>0.374</v>
      </c>
      <c r="F5" s="212"/>
      <c r="G5" s="212">
        <v>0.18</v>
      </c>
      <c r="H5" s="212">
        <v>0.01</v>
      </c>
      <c r="I5" s="212">
        <v>0.19</v>
      </c>
      <c r="J5" s="212">
        <v>0.43400000000000005</v>
      </c>
      <c r="K5">
        <f t="shared" si="0"/>
        <v>46</v>
      </c>
      <c r="L5" s="219" t="s">
        <v>419</v>
      </c>
    </row>
    <row r="6" spans="1:14" x14ac:dyDescent="0.25">
      <c r="A6" s="213" t="s">
        <v>31</v>
      </c>
      <c r="B6" s="214">
        <v>0.246</v>
      </c>
      <c r="C6" s="214">
        <v>3.0000000000000001E-3</v>
      </c>
      <c r="D6" s="212">
        <v>0.249</v>
      </c>
      <c r="E6" s="212">
        <v>0.433</v>
      </c>
      <c r="F6" s="212"/>
      <c r="G6" s="214">
        <v>0.28499999999999998</v>
      </c>
      <c r="H6" s="214">
        <v>3.0000000000000001E-3</v>
      </c>
      <c r="I6" s="212">
        <f>G6+H6</f>
        <v>0.28799999999999998</v>
      </c>
      <c r="J6" s="212">
        <v>0.53100000000000003</v>
      </c>
      <c r="K6">
        <f t="shared" si="0"/>
        <v>29</v>
      </c>
      <c r="L6" s="219" t="s">
        <v>420</v>
      </c>
    </row>
    <row r="7" spans="1:14" x14ac:dyDescent="0.25">
      <c r="A7" s="213" t="s">
        <v>421</v>
      </c>
      <c r="B7" s="212">
        <v>0.57899999999999996</v>
      </c>
      <c r="C7" s="214">
        <v>0.1022</v>
      </c>
      <c r="D7" s="212">
        <v>0.68119999999999992</v>
      </c>
      <c r="E7" s="212">
        <v>0.86519999999999997</v>
      </c>
      <c r="F7" s="212"/>
      <c r="G7" s="212">
        <v>0.441</v>
      </c>
      <c r="H7" s="214">
        <v>0.36719999999999997</v>
      </c>
      <c r="I7" s="212">
        <v>0.80820000000000003</v>
      </c>
      <c r="J7" s="212">
        <v>1.0522</v>
      </c>
      <c r="K7">
        <f t="shared" si="0"/>
        <v>1</v>
      </c>
      <c r="L7" s="220" t="s">
        <v>422</v>
      </c>
    </row>
    <row r="8" spans="1:14" x14ac:dyDescent="0.25">
      <c r="A8" s="211" t="s">
        <v>423</v>
      </c>
      <c r="B8" s="212">
        <v>0.22</v>
      </c>
      <c r="C8" s="212">
        <v>3.9375E-2</v>
      </c>
      <c r="D8" s="212">
        <v>0.25937500000000002</v>
      </c>
      <c r="E8" s="212">
        <v>0.44337500000000002</v>
      </c>
      <c r="F8" s="212"/>
      <c r="G8" s="212">
        <v>0.20499999999999999</v>
      </c>
      <c r="H8" s="214">
        <v>6.9375000000000006E-2</v>
      </c>
      <c r="I8" s="212">
        <v>0.27437499999999998</v>
      </c>
      <c r="J8" s="212">
        <v>0.51837500000000003</v>
      </c>
      <c r="K8">
        <f t="shared" si="0"/>
        <v>33</v>
      </c>
      <c r="L8" s="219" t="s">
        <v>424</v>
      </c>
    </row>
    <row r="9" spans="1:14" x14ac:dyDescent="0.25">
      <c r="A9" s="211" t="s">
        <v>36</v>
      </c>
      <c r="B9" s="212">
        <v>0.25</v>
      </c>
      <c r="C9" s="212"/>
      <c r="D9" s="212">
        <v>0.25</v>
      </c>
      <c r="E9" s="212">
        <v>0.434</v>
      </c>
      <c r="F9" s="212"/>
      <c r="G9" s="212">
        <v>0.28999999999999998</v>
      </c>
      <c r="H9" s="212">
        <v>0.20200000000000001</v>
      </c>
      <c r="I9" s="212">
        <v>0.49199999999999999</v>
      </c>
      <c r="J9" s="212">
        <v>0.73599999999999999</v>
      </c>
      <c r="K9">
        <f t="shared" si="0"/>
        <v>7</v>
      </c>
      <c r="L9" s="219" t="s">
        <v>425</v>
      </c>
    </row>
    <row r="10" spans="1:14" x14ac:dyDescent="0.25">
      <c r="A10" s="211" t="s">
        <v>426</v>
      </c>
      <c r="B10" s="212">
        <v>0.23</v>
      </c>
      <c r="C10" s="212"/>
      <c r="D10" s="212">
        <v>0.23</v>
      </c>
      <c r="E10" s="212">
        <v>0.41400000000000003</v>
      </c>
      <c r="F10" s="212"/>
      <c r="G10" s="212">
        <v>0.22</v>
      </c>
      <c r="H10" s="212"/>
      <c r="I10" s="212">
        <v>0.22</v>
      </c>
      <c r="J10" s="212">
        <v>0.46400000000000002</v>
      </c>
      <c r="K10">
        <f t="shared" si="0"/>
        <v>42</v>
      </c>
      <c r="L10" s="219" t="s">
        <v>427</v>
      </c>
    </row>
    <row r="11" spans="1:14" x14ac:dyDescent="0.25">
      <c r="A11" s="211" t="s">
        <v>428</v>
      </c>
      <c r="B11" s="212">
        <v>0.04</v>
      </c>
      <c r="C11" s="212">
        <v>0.33296000000000003</v>
      </c>
      <c r="D11" s="212">
        <v>0.37296000000000001</v>
      </c>
      <c r="E11" s="212">
        <v>0.55696000000000001</v>
      </c>
      <c r="F11" s="212"/>
      <c r="G11" s="212">
        <v>0.04</v>
      </c>
      <c r="H11" s="212">
        <v>0.34171000000000001</v>
      </c>
      <c r="I11" s="212">
        <v>0.38170999999999999</v>
      </c>
      <c r="J11" s="212">
        <v>0.62570999999999999</v>
      </c>
      <c r="K11">
        <f t="shared" si="0"/>
        <v>13</v>
      </c>
      <c r="L11" s="219" t="s">
        <v>429</v>
      </c>
    </row>
    <row r="12" spans="1:14" x14ac:dyDescent="0.25">
      <c r="A12" s="211" t="s">
        <v>430</v>
      </c>
      <c r="B12" s="212">
        <v>0.312</v>
      </c>
      <c r="C12" s="212">
        <v>7.4999999999999997E-3</v>
      </c>
      <c r="D12" s="212">
        <v>0.31950000000000001</v>
      </c>
      <c r="E12" s="212">
        <v>0.50350000000000006</v>
      </c>
      <c r="F12" s="212"/>
      <c r="G12" s="212">
        <v>0.35</v>
      </c>
      <c r="H12" s="212">
        <v>7.4999999999999997E-3</v>
      </c>
      <c r="I12" s="212">
        <v>0.35749999999999998</v>
      </c>
      <c r="J12" s="212">
        <v>0.60150000000000003</v>
      </c>
      <c r="K12">
        <f t="shared" si="0"/>
        <v>17</v>
      </c>
      <c r="L12" s="219" t="s">
        <v>431</v>
      </c>
    </row>
    <row r="13" spans="1:14" x14ac:dyDescent="0.25">
      <c r="A13" s="213" t="s">
        <v>432</v>
      </c>
      <c r="B13" s="212">
        <v>0.16</v>
      </c>
      <c r="C13" s="212">
        <v>2.5000000000000001E-2</v>
      </c>
      <c r="D13" s="212">
        <v>0.185</v>
      </c>
      <c r="E13" s="212">
        <v>0.36899999999999999</v>
      </c>
      <c r="F13" s="212"/>
      <c r="G13" s="212">
        <v>0.16</v>
      </c>
      <c r="H13" s="212">
        <v>2.5000000000000001E-2</v>
      </c>
      <c r="I13" s="212">
        <v>0.185</v>
      </c>
      <c r="J13" s="212">
        <v>0.42900000000000005</v>
      </c>
      <c r="K13">
        <f t="shared" si="0"/>
        <v>47</v>
      </c>
      <c r="L13" s="219" t="s">
        <v>433</v>
      </c>
    </row>
    <row r="14" spans="1:14" x14ac:dyDescent="0.25">
      <c r="A14" s="213" t="s">
        <v>434</v>
      </c>
      <c r="B14" s="214">
        <v>0.32</v>
      </c>
      <c r="C14" s="214">
        <v>0.01</v>
      </c>
      <c r="D14" s="212">
        <v>0.33</v>
      </c>
      <c r="E14" s="212">
        <v>0.51400000000000001</v>
      </c>
      <c r="F14" s="212"/>
      <c r="G14" s="214">
        <v>0.32</v>
      </c>
      <c r="H14" s="214">
        <v>0.01</v>
      </c>
      <c r="I14" s="212">
        <v>0.33</v>
      </c>
      <c r="J14" s="212">
        <v>0.57400000000000007</v>
      </c>
      <c r="K14">
        <f t="shared" si="0"/>
        <v>19</v>
      </c>
      <c r="L14" s="219" t="s">
        <v>435</v>
      </c>
    </row>
    <row r="15" spans="1:14" x14ac:dyDescent="0.25">
      <c r="A15" s="211" t="s">
        <v>436</v>
      </c>
      <c r="B15" s="214">
        <v>0.45400000000000001</v>
      </c>
      <c r="C15" s="214">
        <v>0.21100000000000002</v>
      </c>
      <c r="D15" s="212">
        <v>0.66500000000000004</v>
      </c>
      <c r="E15" s="212">
        <v>0.84899999999999998</v>
      </c>
      <c r="F15" s="212"/>
      <c r="G15" s="214">
        <v>0.52900000000000003</v>
      </c>
      <c r="H15" s="212">
        <v>0.21100000000000002</v>
      </c>
      <c r="I15" s="212">
        <v>0.74</v>
      </c>
      <c r="J15" s="212">
        <v>0.98399999999999999</v>
      </c>
      <c r="K15">
        <f t="shared" si="0"/>
        <v>3</v>
      </c>
      <c r="L15" s="219" t="s">
        <v>437</v>
      </c>
    </row>
    <row r="16" spans="1:14" x14ac:dyDescent="0.25">
      <c r="A16" s="211" t="s">
        <v>45</v>
      </c>
      <c r="B16" s="212">
        <v>0.34</v>
      </c>
      <c r="C16" s="212">
        <v>0.215</v>
      </c>
      <c r="D16" s="212">
        <v>0.55500000000000005</v>
      </c>
      <c r="E16" s="212">
        <v>0.7390000000000001</v>
      </c>
      <c r="F16" s="212"/>
      <c r="G16" s="212">
        <v>0.56999999999999995</v>
      </c>
      <c r="H16" s="212">
        <v>0.01</v>
      </c>
      <c r="I16" s="212">
        <v>0.57999999999999996</v>
      </c>
      <c r="J16" s="212">
        <v>0.82399999999999995</v>
      </c>
      <c r="K16">
        <f t="shared" si="0"/>
        <v>4</v>
      </c>
      <c r="L16" s="219" t="s">
        <v>438</v>
      </c>
    </row>
    <row r="17" spans="1:12" x14ac:dyDescent="0.25">
      <c r="A17" s="213" t="s">
        <v>46</v>
      </c>
      <c r="B17" s="212">
        <v>0.3</v>
      </c>
      <c r="C17" s="212"/>
      <c r="D17" s="212">
        <v>0.3</v>
      </c>
      <c r="E17" s="212">
        <v>0.48399999999999999</v>
      </c>
      <c r="F17" s="212"/>
      <c r="G17" s="212">
        <v>0.32500000000000001</v>
      </c>
      <c r="H17" s="212"/>
      <c r="I17" s="212">
        <v>0.32500000000000001</v>
      </c>
      <c r="J17" s="212">
        <v>0.56900000000000006</v>
      </c>
      <c r="K17">
        <f t="shared" si="0"/>
        <v>21</v>
      </c>
      <c r="L17" s="219" t="s">
        <v>439</v>
      </c>
    </row>
    <row r="18" spans="1:12" x14ac:dyDescent="0.25">
      <c r="A18" s="211" t="s">
        <v>440</v>
      </c>
      <c r="B18" s="214">
        <v>0.24</v>
      </c>
      <c r="C18" s="212">
        <v>1.03E-2</v>
      </c>
      <c r="D18" s="212">
        <v>0.25029999999999997</v>
      </c>
      <c r="E18" s="212">
        <v>0.43429999999999996</v>
      </c>
      <c r="F18" s="212"/>
      <c r="G18" s="214">
        <v>0.26</v>
      </c>
      <c r="H18" s="212">
        <v>1.03E-2</v>
      </c>
      <c r="I18" s="212">
        <v>0.27029999999999998</v>
      </c>
      <c r="J18" s="212">
        <v>0.51429999999999998</v>
      </c>
      <c r="K18">
        <f t="shared" si="0"/>
        <v>36</v>
      </c>
      <c r="L18" s="219" t="s">
        <v>441</v>
      </c>
    </row>
    <row r="19" spans="1:12" x14ac:dyDescent="0.25">
      <c r="A19" s="211" t="s">
        <v>442</v>
      </c>
      <c r="B19" s="212">
        <v>0.28699999999999998</v>
      </c>
      <c r="C19" s="212">
        <v>1.4E-2</v>
      </c>
      <c r="D19" s="212">
        <v>0.30099999999999999</v>
      </c>
      <c r="E19" s="212">
        <v>0.48499999999999999</v>
      </c>
      <c r="F19" s="212"/>
      <c r="G19" s="212">
        <v>0.25700000000000001</v>
      </c>
      <c r="H19" s="212">
        <v>1.4E-2</v>
      </c>
      <c r="I19" s="212">
        <v>0.27100000000000002</v>
      </c>
      <c r="J19" s="212">
        <v>0.51500000000000001</v>
      </c>
      <c r="K19">
        <f t="shared" si="0"/>
        <v>35</v>
      </c>
      <c r="L19" s="221" t="s">
        <v>443</v>
      </c>
    </row>
    <row r="20" spans="1:12" x14ac:dyDescent="0.25">
      <c r="A20" s="213" t="s">
        <v>444</v>
      </c>
      <c r="B20" s="212">
        <v>0.2</v>
      </c>
      <c r="C20" s="212">
        <v>9.2499999999999995E-3</v>
      </c>
      <c r="D20" s="212">
        <v>0.20925000000000002</v>
      </c>
      <c r="E20" s="212">
        <v>0.39324999999999999</v>
      </c>
      <c r="F20" s="212"/>
      <c r="G20" s="212">
        <v>0.2</v>
      </c>
      <c r="H20" s="212">
        <v>9.2499999999999995E-3</v>
      </c>
      <c r="I20" s="212">
        <v>0.20925000000000002</v>
      </c>
      <c r="J20" s="212">
        <v>0.45325000000000004</v>
      </c>
      <c r="K20">
        <f t="shared" si="0"/>
        <v>43</v>
      </c>
      <c r="L20" s="219" t="s">
        <v>445</v>
      </c>
    </row>
    <row r="21" spans="1:12" x14ac:dyDescent="0.25">
      <c r="A21" s="211" t="s">
        <v>446</v>
      </c>
      <c r="B21" s="214">
        <v>0.3</v>
      </c>
      <c r="C21" s="214">
        <v>1.40476E-2</v>
      </c>
      <c r="D21" s="212">
        <v>0.31404759999999998</v>
      </c>
      <c r="E21" s="212">
        <v>0.49804759999999998</v>
      </c>
      <c r="F21" s="212"/>
      <c r="G21" s="214">
        <v>0.312</v>
      </c>
      <c r="H21" s="214">
        <v>6.7000000000000002E-3</v>
      </c>
      <c r="I21" s="212">
        <v>0.31869999999999998</v>
      </c>
      <c r="J21" s="212">
        <v>0.56269999999999998</v>
      </c>
      <c r="K21">
        <f t="shared" si="0"/>
        <v>23</v>
      </c>
      <c r="L21" s="219" t="s">
        <v>447</v>
      </c>
    </row>
    <row r="22" spans="1:12" x14ac:dyDescent="0.25">
      <c r="A22" s="213" t="s">
        <v>448</v>
      </c>
      <c r="B22" s="212">
        <v>0.31</v>
      </c>
      <c r="C22" s="212">
        <v>0.16190000000000002</v>
      </c>
      <c r="D22" s="212">
        <v>0.47189999999999999</v>
      </c>
      <c r="E22" s="212">
        <v>0.65589999999999993</v>
      </c>
      <c r="F22" s="212"/>
      <c r="G22" s="212">
        <v>0.3175</v>
      </c>
      <c r="H22" s="212">
        <v>0.16190000000000002</v>
      </c>
      <c r="I22" s="212">
        <v>0.47940000000000005</v>
      </c>
      <c r="J22" s="212">
        <v>0.72340000000000004</v>
      </c>
      <c r="K22">
        <f t="shared" si="0"/>
        <v>9</v>
      </c>
      <c r="L22" s="219" t="s">
        <v>449</v>
      </c>
    </row>
    <row r="23" spans="1:12" x14ac:dyDescent="0.25">
      <c r="A23" s="213" t="s">
        <v>51</v>
      </c>
      <c r="B23" s="212">
        <v>0.24</v>
      </c>
      <c r="C23" s="214">
        <v>3.1999E-2</v>
      </c>
      <c r="D23" s="212">
        <v>0.27199899999999999</v>
      </c>
      <c r="E23" s="212">
        <v>0.45599899999999999</v>
      </c>
      <c r="F23" s="212"/>
      <c r="G23" s="212">
        <v>0.24</v>
      </c>
      <c r="H23" s="214">
        <v>3.1999E-2</v>
      </c>
      <c r="I23" s="212">
        <v>0.27199899999999999</v>
      </c>
      <c r="J23" s="212">
        <v>0.51599899999999999</v>
      </c>
      <c r="K23">
        <f t="shared" si="0"/>
        <v>34</v>
      </c>
      <c r="L23" s="219" t="s">
        <v>450</v>
      </c>
    </row>
    <row r="24" spans="1:12" x14ac:dyDescent="0.25">
      <c r="A24" s="211" t="s">
        <v>52</v>
      </c>
      <c r="B24" s="212">
        <v>0.28599999999999998</v>
      </c>
      <c r="C24" s="214">
        <v>0.191</v>
      </c>
      <c r="D24" s="212">
        <v>0.47699999999999998</v>
      </c>
      <c r="E24" s="212">
        <v>0.66100000000000003</v>
      </c>
      <c r="F24" s="212"/>
      <c r="G24" s="212">
        <v>0.28599999999999998</v>
      </c>
      <c r="H24" s="214">
        <v>0.223</v>
      </c>
      <c r="I24" s="212">
        <v>0.50900000000000001</v>
      </c>
      <c r="J24" s="212">
        <v>0.753</v>
      </c>
      <c r="K24">
        <f t="shared" si="0"/>
        <v>6</v>
      </c>
      <c r="L24" s="219" t="s">
        <v>451</v>
      </c>
    </row>
    <row r="25" spans="1:12" x14ac:dyDescent="0.25">
      <c r="A25" s="213" t="s">
        <v>452</v>
      </c>
      <c r="B25" s="212">
        <v>0.28499999999999998</v>
      </c>
      <c r="C25" s="212">
        <v>2.1000000000000001E-2</v>
      </c>
      <c r="D25" s="212">
        <v>0.30599999999999999</v>
      </c>
      <c r="E25" s="212">
        <v>0.49</v>
      </c>
      <c r="F25" s="212"/>
      <c r="G25" s="212">
        <v>0.28499999999999998</v>
      </c>
      <c r="H25" s="212">
        <v>2.1000000000000001E-2</v>
      </c>
      <c r="I25" s="212">
        <v>0.30599999999999999</v>
      </c>
      <c r="J25" s="212">
        <v>0.55000000000000004</v>
      </c>
      <c r="K25">
        <f t="shared" si="0"/>
        <v>25</v>
      </c>
      <c r="L25" s="219" t="s">
        <v>453</v>
      </c>
    </row>
    <row r="26" spans="1:12" x14ac:dyDescent="0.25">
      <c r="A26" s="211" t="s">
        <v>454</v>
      </c>
      <c r="B26" s="214">
        <v>0.18</v>
      </c>
      <c r="C26" s="212">
        <v>4.0000000000000001E-3</v>
      </c>
      <c r="D26" s="212">
        <v>0.184</v>
      </c>
      <c r="E26" s="212">
        <v>0.36799999999999999</v>
      </c>
      <c r="F26" s="212"/>
      <c r="G26" s="214">
        <v>0.18</v>
      </c>
      <c r="H26" s="212">
        <v>4.0000000000000001E-3</v>
      </c>
      <c r="I26" s="212">
        <v>0.184</v>
      </c>
      <c r="J26" s="212">
        <v>0.42800000000000005</v>
      </c>
      <c r="K26">
        <f t="shared" si="0"/>
        <v>48</v>
      </c>
      <c r="L26" s="219" t="s">
        <v>455</v>
      </c>
    </row>
    <row r="27" spans="1:12" x14ac:dyDescent="0.25">
      <c r="A27" s="211" t="s">
        <v>456</v>
      </c>
      <c r="B27" s="212">
        <v>0.245</v>
      </c>
      <c r="C27" s="212">
        <v>4.7000000000000002E-3</v>
      </c>
      <c r="D27" s="212">
        <v>0.24970000000000001</v>
      </c>
      <c r="E27" s="212">
        <v>0.43369999999999997</v>
      </c>
      <c r="F27" s="212"/>
      <c r="G27" s="212">
        <v>0.245</v>
      </c>
      <c r="H27" s="212">
        <v>4.7000000000000002E-3</v>
      </c>
      <c r="I27" s="212">
        <v>0.24970000000000001</v>
      </c>
      <c r="J27" s="212">
        <v>0.49370000000000003</v>
      </c>
      <c r="K27">
        <f t="shared" si="0"/>
        <v>37</v>
      </c>
      <c r="L27" s="219" t="s">
        <v>457</v>
      </c>
    </row>
    <row r="28" spans="1:12" x14ac:dyDescent="0.25">
      <c r="A28" s="211" t="s">
        <v>458</v>
      </c>
      <c r="B28" s="212">
        <v>0.33</v>
      </c>
      <c r="C28" s="212">
        <v>7.4999999999999997E-3</v>
      </c>
      <c r="D28" s="212">
        <v>0.33750000000000002</v>
      </c>
      <c r="E28" s="212">
        <v>0.52150000000000007</v>
      </c>
      <c r="F28" s="212"/>
      <c r="G28" s="212">
        <v>0.29749999999999999</v>
      </c>
      <c r="H28" s="212">
        <v>7.4999999999999997E-3</v>
      </c>
      <c r="I28" s="212">
        <v>0.30499999999999999</v>
      </c>
      <c r="J28" s="212">
        <v>0.54900000000000004</v>
      </c>
      <c r="K28">
        <f t="shared" si="0"/>
        <v>26</v>
      </c>
      <c r="L28" s="219" t="s">
        <v>459</v>
      </c>
    </row>
    <row r="29" spans="1:12" x14ac:dyDescent="0.25">
      <c r="A29" s="211" t="s">
        <v>460</v>
      </c>
      <c r="B29" s="212">
        <v>0.28999999999999998</v>
      </c>
      <c r="C29" s="212">
        <v>8.9999999999999993E-3</v>
      </c>
      <c r="D29" s="212">
        <v>0.29899999999999999</v>
      </c>
      <c r="E29" s="212">
        <v>0.48299999999999998</v>
      </c>
      <c r="F29" s="212"/>
      <c r="G29" s="212">
        <v>0.28999999999999998</v>
      </c>
      <c r="H29" s="212">
        <v>3.0000000000000001E-3</v>
      </c>
      <c r="I29" s="212">
        <v>0.29299999999999998</v>
      </c>
      <c r="J29" s="212">
        <v>0.53700000000000003</v>
      </c>
      <c r="K29">
        <f t="shared" si="0"/>
        <v>28</v>
      </c>
      <c r="L29" s="219" t="s">
        <v>461</v>
      </c>
    </row>
    <row r="30" spans="1:12" x14ac:dyDescent="0.25">
      <c r="A30" s="211" t="s">
        <v>462</v>
      </c>
      <c r="B30" s="212">
        <v>0.23</v>
      </c>
      <c r="C30" s="212">
        <v>8.0499999999999999E-3</v>
      </c>
      <c r="D30" s="212">
        <v>0.23805000000000001</v>
      </c>
      <c r="E30" s="212">
        <v>0.42205000000000004</v>
      </c>
      <c r="F30" s="212"/>
      <c r="G30" s="212">
        <v>0.27</v>
      </c>
      <c r="H30" s="212">
        <v>7.4999999999999997E-3</v>
      </c>
      <c r="I30" s="212">
        <v>0.27750000000000002</v>
      </c>
      <c r="J30" s="212">
        <v>0.52150000000000007</v>
      </c>
      <c r="K30">
        <f t="shared" si="0"/>
        <v>32</v>
      </c>
      <c r="L30" s="219" t="s">
        <v>463</v>
      </c>
    </row>
    <row r="31" spans="1:12" x14ac:dyDescent="0.25">
      <c r="A31" s="211" t="s">
        <v>464</v>
      </c>
      <c r="B31" s="212">
        <v>0.222</v>
      </c>
      <c r="C31" s="212">
        <v>1.6250000000000001E-2</v>
      </c>
      <c r="D31" s="212">
        <v>0.23825000000000002</v>
      </c>
      <c r="E31" s="212">
        <v>0.42225000000000001</v>
      </c>
      <c r="F31" s="212"/>
      <c r="G31" s="212">
        <v>0.222</v>
      </c>
      <c r="H31" s="212">
        <v>1.6250000000000001E-2</v>
      </c>
      <c r="I31" s="212">
        <v>0.23825000000000002</v>
      </c>
      <c r="J31" s="212">
        <v>0.48225000000000007</v>
      </c>
      <c r="K31">
        <f t="shared" si="0"/>
        <v>39</v>
      </c>
      <c r="L31" s="219" t="s">
        <v>465</v>
      </c>
    </row>
    <row r="32" spans="1:12" x14ac:dyDescent="0.25">
      <c r="A32" s="211" t="s">
        <v>60</v>
      </c>
      <c r="B32" s="212">
        <v>0.105</v>
      </c>
      <c r="C32" s="212">
        <v>0.3095</v>
      </c>
      <c r="D32" s="212">
        <v>0.41449999999999998</v>
      </c>
      <c r="E32" s="212">
        <v>0.59850000000000003</v>
      </c>
      <c r="F32" s="212"/>
      <c r="G32" s="212">
        <v>0.13500000000000001</v>
      </c>
      <c r="H32" s="212">
        <v>0.34949999999999998</v>
      </c>
      <c r="I32" s="212">
        <v>0.48449999999999999</v>
      </c>
      <c r="J32" s="212">
        <v>0.72850000000000004</v>
      </c>
      <c r="K32">
        <f t="shared" si="0"/>
        <v>8</v>
      </c>
      <c r="L32" s="219" t="s">
        <v>466</v>
      </c>
    </row>
    <row r="33" spans="1:12" x14ac:dyDescent="0.25">
      <c r="A33" s="211" t="s">
        <v>467</v>
      </c>
      <c r="B33" s="212">
        <v>0.17</v>
      </c>
      <c r="C33" s="212">
        <v>1.8749999999999999E-2</v>
      </c>
      <c r="D33" s="212">
        <v>0.18875</v>
      </c>
      <c r="E33" s="212">
        <v>0.37275000000000003</v>
      </c>
      <c r="F33" s="212"/>
      <c r="G33" s="212">
        <v>0.21</v>
      </c>
      <c r="H33" s="212">
        <v>1.8749999999999999E-2</v>
      </c>
      <c r="I33" s="212">
        <v>0.22874999999999998</v>
      </c>
      <c r="J33" s="212">
        <v>0.47275</v>
      </c>
      <c r="K33">
        <f t="shared" si="0"/>
        <v>41</v>
      </c>
      <c r="L33" s="219" t="s">
        <v>468</v>
      </c>
    </row>
    <row r="34" spans="1:12" x14ac:dyDescent="0.25">
      <c r="A34" s="211" t="s">
        <v>469</v>
      </c>
      <c r="B34" s="212">
        <v>0.08</v>
      </c>
      <c r="C34" s="212">
        <v>0.18477399999999999</v>
      </c>
      <c r="D34" s="212">
        <v>0.18477399999999999</v>
      </c>
      <c r="E34" s="212">
        <v>0.36877399999999999</v>
      </c>
      <c r="F34" s="212"/>
      <c r="G34" s="212">
        <v>0.08</v>
      </c>
      <c r="H34" s="212">
        <v>0.16677400000000001</v>
      </c>
      <c r="I34" s="212">
        <v>0.16677400000000001</v>
      </c>
      <c r="J34" s="212">
        <v>0.41077400000000003</v>
      </c>
      <c r="K34">
        <f t="shared" si="0"/>
        <v>49</v>
      </c>
      <c r="L34" s="219" t="s">
        <v>470</v>
      </c>
    </row>
    <row r="35" spans="1:12" x14ac:dyDescent="0.25">
      <c r="A35" s="211" t="s">
        <v>471</v>
      </c>
      <c r="B35" s="212">
        <v>0.40500000000000003</v>
      </c>
      <c r="C35" s="212">
        <v>2.5000000000000001E-3</v>
      </c>
      <c r="D35" s="212">
        <v>0.40750000000000003</v>
      </c>
      <c r="E35" s="212">
        <v>0.59150000000000003</v>
      </c>
      <c r="F35" s="212"/>
      <c r="G35" s="212">
        <v>0.40500000000000003</v>
      </c>
      <c r="H35" s="212">
        <v>2.5000000000000001E-3</v>
      </c>
      <c r="I35" s="212">
        <v>0.40750000000000003</v>
      </c>
      <c r="J35" s="212">
        <v>0.65150000000000008</v>
      </c>
      <c r="K35">
        <f t="shared" ref="K35:K52" si="1">_xlfn.RANK.AVG(I35,$I$3:$I$57)</f>
        <v>11</v>
      </c>
      <c r="L35" s="219" t="s">
        <v>472</v>
      </c>
    </row>
    <row r="36" spans="1:12" x14ac:dyDescent="0.25">
      <c r="A36" s="211" t="s">
        <v>473</v>
      </c>
      <c r="B36" s="212">
        <v>0.23</v>
      </c>
      <c r="C36" s="212">
        <v>2.5000000000000001E-4</v>
      </c>
      <c r="D36" s="212">
        <v>0.23025000000000001</v>
      </c>
      <c r="E36" s="212">
        <v>0.41425000000000001</v>
      </c>
      <c r="F36" s="212"/>
      <c r="G36" s="212">
        <v>0.23</v>
      </c>
      <c r="H36" s="212">
        <v>2.5000000000000001E-4</v>
      </c>
      <c r="I36" s="212">
        <v>0.23025000000000001</v>
      </c>
      <c r="J36" s="212">
        <v>0.47425000000000006</v>
      </c>
      <c r="K36">
        <f t="shared" si="1"/>
        <v>40</v>
      </c>
      <c r="L36" s="219" t="s">
        <v>474</v>
      </c>
    </row>
    <row r="37" spans="1:12" x14ac:dyDescent="0.25">
      <c r="A37" s="211" t="s">
        <v>475</v>
      </c>
      <c r="B37" s="212">
        <v>0.38500000000000001</v>
      </c>
      <c r="C37" s="212"/>
      <c r="D37" s="212">
        <v>0.38500000000000001</v>
      </c>
      <c r="E37" s="212">
        <v>0.56899999999999995</v>
      </c>
      <c r="F37" s="212"/>
      <c r="G37" s="212">
        <v>0.47</v>
      </c>
      <c r="H37" s="212"/>
      <c r="I37" s="212">
        <v>0.47</v>
      </c>
      <c r="J37" s="212">
        <v>0.71399999999999997</v>
      </c>
      <c r="K37">
        <f t="shared" si="1"/>
        <v>10</v>
      </c>
      <c r="L37" s="219" t="s">
        <v>476</v>
      </c>
    </row>
    <row r="38" spans="1:12" x14ac:dyDescent="0.25">
      <c r="A38" s="211" t="s">
        <v>477</v>
      </c>
      <c r="B38" s="212">
        <v>0.19</v>
      </c>
      <c r="C38" s="212">
        <v>0.01</v>
      </c>
      <c r="D38" s="212">
        <v>0.2</v>
      </c>
      <c r="E38" s="212">
        <v>0.38400000000000001</v>
      </c>
      <c r="F38" s="212"/>
      <c r="G38" s="212">
        <v>0.19</v>
      </c>
      <c r="H38" s="212">
        <v>0.01</v>
      </c>
      <c r="I38" s="212">
        <v>0.2</v>
      </c>
      <c r="J38" s="212">
        <v>0.44400000000000006</v>
      </c>
      <c r="K38">
        <f t="shared" si="1"/>
        <v>44.5</v>
      </c>
      <c r="L38" s="219" t="s">
        <v>478</v>
      </c>
    </row>
    <row r="39" spans="1:12" x14ac:dyDescent="0.25">
      <c r="A39" s="213" t="s">
        <v>479</v>
      </c>
      <c r="B39" s="212">
        <v>0.38</v>
      </c>
      <c r="C39" s="212"/>
      <c r="D39" s="212">
        <v>0.38</v>
      </c>
      <c r="E39" s="212">
        <v>0.56400000000000006</v>
      </c>
      <c r="F39" s="212"/>
      <c r="G39" s="212">
        <v>0.38</v>
      </c>
      <c r="H39" s="212"/>
      <c r="I39" s="212">
        <v>0.38</v>
      </c>
      <c r="J39" s="212">
        <v>0.624</v>
      </c>
      <c r="K39">
        <f t="shared" si="1"/>
        <v>15</v>
      </c>
      <c r="L39" s="219" t="s">
        <v>480</v>
      </c>
    </row>
    <row r="40" spans="1:12" x14ac:dyDescent="0.25">
      <c r="A40" s="211" t="s">
        <v>481</v>
      </c>
      <c r="B40" s="214">
        <v>0.61099999999999999</v>
      </c>
      <c r="C40" s="212">
        <v>1.0999999999999999E-2</v>
      </c>
      <c r="D40" s="212">
        <v>0.622</v>
      </c>
      <c r="E40" s="212">
        <v>0.80600000000000005</v>
      </c>
      <c r="F40" s="212"/>
      <c r="G40" s="214">
        <v>0.78500000000000003</v>
      </c>
      <c r="H40" s="212"/>
      <c r="I40" s="212">
        <v>0.78500000000000003</v>
      </c>
      <c r="J40" s="212">
        <v>1.0290000000000001</v>
      </c>
      <c r="K40">
        <f t="shared" si="1"/>
        <v>2</v>
      </c>
      <c r="L40" s="219" t="s">
        <v>482</v>
      </c>
    </row>
    <row r="41" spans="1:12" x14ac:dyDescent="0.25">
      <c r="A41" s="211" t="s">
        <v>483</v>
      </c>
      <c r="B41" s="212">
        <v>0.37</v>
      </c>
      <c r="C41" s="212">
        <v>1.12E-2</v>
      </c>
      <c r="D41" s="212">
        <v>0.38119999999999998</v>
      </c>
      <c r="E41" s="212">
        <v>0.56519999999999992</v>
      </c>
      <c r="F41" s="212"/>
      <c r="G41" s="212">
        <v>0.37</v>
      </c>
      <c r="H41" s="212">
        <v>1.12E-2</v>
      </c>
      <c r="I41" s="212">
        <v>0.38119999999999998</v>
      </c>
      <c r="J41" s="212">
        <v>0.62519999999999998</v>
      </c>
      <c r="K41">
        <f t="shared" si="1"/>
        <v>14</v>
      </c>
      <c r="L41" s="219" t="s">
        <v>484</v>
      </c>
    </row>
    <row r="42" spans="1:12" x14ac:dyDescent="0.25">
      <c r="A42" s="211" t="s">
        <v>485</v>
      </c>
      <c r="B42" s="212">
        <v>0.28000000000000003</v>
      </c>
      <c r="C42" s="212">
        <v>7.4999999999999997E-3</v>
      </c>
      <c r="D42" s="212">
        <v>0.28750000000000003</v>
      </c>
      <c r="E42" s="212">
        <v>0.47150000000000003</v>
      </c>
      <c r="F42" s="212"/>
      <c r="G42" s="212">
        <v>0.28000000000000003</v>
      </c>
      <c r="H42" s="212">
        <v>7.4999999999999997E-3</v>
      </c>
      <c r="I42" s="212">
        <v>0.28750000000000003</v>
      </c>
      <c r="J42" s="212">
        <v>0.53150000000000008</v>
      </c>
      <c r="K42">
        <f t="shared" si="1"/>
        <v>30</v>
      </c>
      <c r="L42" s="219" t="s">
        <v>486</v>
      </c>
    </row>
    <row r="43" spans="1:12" x14ac:dyDescent="0.25">
      <c r="A43" s="211" t="s">
        <v>487</v>
      </c>
      <c r="B43" s="212">
        <v>0.28000000000000003</v>
      </c>
      <c r="C43" s="212">
        <v>0.02</v>
      </c>
      <c r="D43" s="212">
        <v>0.30000000000000004</v>
      </c>
      <c r="E43" s="212">
        <v>0.48400000000000004</v>
      </c>
      <c r="F43" s="212"/>
      <c r="G43" s="212">
        <v>0.28000000000000003</v>
      </c>
      <c r="H43" s="212">
        <v>0.02</v>
      </c>
      <c r="I43" s="212">
        <v>0.30000000000000004</v>
      </c>
      <c r="J43" s="212">
        <v>0.54400000000000004</v>
      </c>
      <c r="K43">
        <f t="shared" si="1"/>
        <v>27</v>
      </c>
      <c r="L43" s="219" t="s">
        <v>488</v>
      </c>
    </row>
    <row r="44" spans="1:12" x14ac:dyDescent="0.25">
      <c r="A44" s="213" t="s">
        <v>489</v>
      </c>
      <c r="B44" s="212">
        <v>0.26</v>
      </c>
      <c r="C44" s="212">
        <v>1.4E-2</v>
      </c>
      <c r="D44" s="212">
        <v>0.27400000000000002</v>
      </c>
      <c r="E44" s="212">
        <v>0.45800000000000002</v>
      </c>
      <c r="F44" s="212"/>
      <c r="G44" s="212">
        <v>0.27</v>
      </c>
      <c r="H44" s="212">
        <v>1.4E-2</v>
      </c>
      <c r="I44" s="212">
        <v>0.28400000000000003</v>
      </c>
      <c r="J44" s="212">
        <v>0.52800000000000002</v>
      </c>
      <c r="K44">
        <f t="shared" si="1"/>
        <v>31</v>
      </c>
      <c r="L44" s="219" t="s">
        <v>490</v>
      </c>
    </row>
    <row r="45" spans="1:12" x14ac:dyDescent="0.25">
      <c r="A45" s="213" t="s">
        <v>491</v>
      </c>
      <c r="B45" s="214">
        <v>0.2</v>
      </c>
      <c r="C45" s="212"/>
      <c r="D45" s="212">
        <v>0.2</v>
      </c>
      <c r="E45" s="212">
        <v>0.38400000000000001</v>
      </c>
      <c r="F45" s="212"/>
      <c r="G45" s="214">
        <v>0.2</v>
      </c>
      <c r="H45" s="212"/>
      <c r="I45" s="212">
        <v>0.2</v>
      </c>
      <c r="J45" s="212">
        <v>0.44400000000000006</v>
      </c>
      <c r="K45">
        <f t="shared" si="1"/>
        <v>44.5</v>
      </c>
      <c r="L45" s="219" t="s">
        <v>492</v>
      </c>
    </row>
    <row r="46" spans="1:12" x14ac:dyDescent="0.25">
      <c r="A46" s="213" t="s">
        <v>493</v>
      </c>
      <c r="B46" s="212">
        <v>0.34499999999999997</v>
      </c>
      <c r="C46" s="214">
        <v>6.4999999999999997E-3</v>
      </c>
      <c r="D46" s="212">
        <v>0.35149999999999998</v>
      </c>
      <c r="E46" s="212">
        <v>0.53549999999999998</v>
      </c>
      <c r="F46" s="212"/>
      <c r="G46" s="212">
        <v>0.34499999999999997</v>
      </c>
      <c r="H46" s="212">
        <v>6.4999999999999997E-3</v>
      </c>
      <c r="I46" s="212">
        <v>0.35149999999999998</v>
      </c>
      <c r="J46" s="212">
        <v>0.59550000000000003</v>
      </c>
      <c r="K46">
        <f t="shared" si="1"/>
        <v>18</v>
      </c>
      <c r="L46" s="219" t="s">
        <v>494</v>
      </c>
    </row>
    <row r="47" spans="1:12" x14ac:dyDescent="0.25">
      <c r="A47" s="213" t="s">
        <v>495</v>
      </c>
      <c r="B47" s="214">
        <v>0.121</v>
      </c>
      <c r="C47" s="214">
        <v>0.20420000000000002</v>
      </c>
      <c r="D47" s="212">
        <v>0.32520000000000004</v>
      </c>
      <c r="E47" s="212">
        <v>0.5092000000000001</v>
      </c>
      <c r="F47" s="212"/>
      <c r="G47" s="214">
        <v>0.28000000000000003</v>
      </c>
      <c r="H47" s="214">
        <v>0.04</v>
      </c>
      <c r="I47" s="212">
        <v>0.32</v>
      </c>
      <c r="J47" s="212">
        <v>0.56400000000000006</v>
      </c>
      <c r="K47">
        <f t="shared" si="1"/>
        <v>22</v>
      </c>
      <c r="L47" s="219" t="s">
        <v>496</v>
      </c>
    </row>
    <row r="48" spans="1:12" x14ac:dyDescent="0.25">
      <c r="A48" s="211" t="s">
        <v>74</v>
      </c>
      <c r="B48" s="212">
        <v>0.29799999999999999</v>
      </c>
      <c r="C48" s="214">
        <v>9.2999999999999999E-2</v>
      </c>
      <c r="D48" s="212">
        <v>0.39100000000000001</v>
      </c>
      <c r="E48" s="212">
        <v>0.57499999999999996</v>
      </c>
      <c r="F48" s="212"/>
      <c r="G48" s="212">
        <v>0.308</v>
      </c>
      <c r="H48" s="214">
        <v>9.4E-2</v>
      </c>
      <c r="I48" s="212">
        <v>0.40200000000000002</v>
      </c>
      <c r="J48" s="212">
        <v>0.64600000000000002</v>
      </c>
      <c r="K48">
        <f t="shared" si="1"/>
        <v>12</v>
      </c>
      <c r="L48" s="219" t="s">
        <v>497</v>
      </c>
    </row>
    <row r="49" spans="1:12" x14ac:dyDescent="0.25">
      <c r="A49" t="s">
        <v>498</v>
      </c>
      <c r="B49" s="212">
        <v>0.49399999999999999</v>
      </c>
      <c r="C49" s="212">
        <v>3.41903E-2</v>
      </c>
      <c r="D49" s="212">
        <v>0.5281903</v>
      </c>
      <c r="E49" s="212">
        <v>0.71219030000000005</v>
      </c>
      <c r="F49" s="212"/>
      <c r="G49" s="212">
        <v>0.49399999999999999</v>
      </c>
      <c r="H49" s="212">
        <v>3.41903E-2</v>
      </c>
      <c r="I49" s="212">
        <v>0.5281903</v>
      </c>
      <c r="J49" s="212">
        <v>0.7721903</v>
      </c>
      <c r="K49">
        <f t="shared" si="1"/>
        <v>5</v>
      </c>
      <c r="L49" s="219" t="s">
        <v>499</v>
      </c>
    </row>
    <row r="50" spans="1:12" x14ac:dyDescent="0.25">
      <c r="A50" s="211" t="s">
        <v>500</v>
      </c>
      <c r="B50" s="212">
        <v>0.20499999999999999</v>
      </c>
      <c r="C50" s="212">
        <v>0.16700000000000001</v>
      </c>
      <c r="D50" s="212">
        <v>0.372</v>
      </c>
      <c r="E50" s="212">
        <v>0.55600000000000005</v>
      </c>
      <c r="F50" s="212"/>
      <c r="G50" s="212">
        <v>0.20499999999999999</v>
      </c>
      <c r="H50" s="212">
        <v>0.16700000000000001</v>
      </c>
      <c r="I50" s="212">
        <v>0.372</v>
      </c>
      <c r="J50" s="212">
        <v>0.61599999999999999</v>
      </c>
      <c r="K50">
        <f t="shared" si="1"/>
        <v>16</v>
      </c>
      <c r="L50" s="219" t="s">
        <v>501</v>
      </c>
    </row>
    <row r="51" spans="1:12" x14ac:dyDescent="0.25">
      <c r="A51" s="215" t="s">
        <v>502</v>
      </c>
      <c r="B51" s="216">
        <v>0.309</v>
      </c>
      <c r="C51" s="216">
        <v>0.02</v>
      </c>
      <c r="D51" s="216">
        <v>0.32900000000000001</v>
      </c>
      <c r="E51" s="216">
        <v>0.51300000000000001</v>
      </c>
      <c r="F51" s="216"/>
      <c r="G51" s="216">
        <v>0.309</v>
      </c>
      <c r="H51" s="216">
        <v>0.02</v>
      </c>
      <c r="I51" s="216">
        <v>0.32900000000000001</v>
      </c>
      <c r="J51" s="216">
        <v>0.57300000000000006</v>
      </c>
      <c r="K51">
        <f t="shared" si="1"/>
        <v>20</v>
      </c>
      <c r="L51" s="219" t="s">
        <v>503</v>
      </c>
    </row>
    <row r="52" spans="1:12" x14ac:dyDescent="0.25">
      <c r="A52" s="211" t="s">
        <v>504</v>
      </c>
      <c r="B52" s="212">
        <v>0.23</v>
      </c>
      <c r="C52" s="212">
        <v>0.01</v>
      </c>
      <c r="D52" s="212">
        <v>0.24000000000000002</v>
      </c>
      <c r="E52" s="212">
        <v>0.42400000000000004</v>
      </c>
      <c r="F52" s="212"/>
      <c r="G52" s="212">
        <v>0.23</v>
      </c>
      <c r="H52" s="212">
        <v>0.01</v>
      </c>
      <c r="I52" s="212">
        <v>0.24000000000000002</v>
      </c>
      <c r="J52" s="212">
        <v>0.48400000000000004</v>
      </c>
      <c r="K52">
        <f t="shared" si="1"/>
        <v>38</v>
      </c>
      <c r="L52" s="222" t="s">
        <v>505</v>
      </c>
    </row>
    <row r="53" spans="1:12" x14ac:dyDescent="0.25">
      <c r="A53" s="211"/>
      <c r="B53" s="212"/>
      <c r="C53" s="212"/>
      <c r="D53" s="212"/>
      <c r="E53" s="212"/>
      <c r="F53" s="212"/>
      <c r="G53" s="212"/>
      <c r="H53" s="212"/>
      <c r="I53" s="212"/>
      <c r="J53" s="212"/>
      <c r="L53" s="219"/>
    </row>
    <row r="54" spans="1:12" x14ac:dyDescent="0.25">
      <c r="A54" s="211"/>
      <c r="B54" s="212"/>
      <c r="C54" s="212"/>
      <c r="D54" s="212"/>
      <c r="E54" s="212"/>
      <c r="F54" s="212"/>
      <c r="G54" s="212"/>
      <c r="H54" s="212"/>
      <c r="I54" s="212"/>
      <c r="J54" s="212"/>
      <c r="L54" s="219"/>
    </row>
    <row r="55" spans="1:12" x14ac:dyDescent="0.25">
      <c r="A55" s="211"/>
      <c r="B55" s="212"/>
      <c r="C55" s="212"/>
      <c r="D55" s="212"/>
      <c r="E55" s="212"/>
      <c r="F55" s="212"/>
      <c r="G55" s="212"/>
      <c r="H55" s="212"/>
      <c r="I55" s="212"/>
      <c r="J55" s="212"/>
      <c r="L55" s="219"/>
    </row>
    <row r="56" spans="1:12" x14ac:dyDescent="0.25">
      <c r="A56" s="217"/>
      <c r="B56" s="218"/>
      <c r="C56" s="218"/>
      <c r="D56" s="218"/>
      <c r="E56" s="218"/>
      <c r="F56" s="218"/>
      <c r="G56" s="218"/>
      <c r="H56" s="218"/>
      <c r="I56" s="218"/>
      <c r="J56" s="218"/>
      <c r="L56" s="219"/>
    </row>
    <row r="57" spans="1:12" x14ac:dyDescent="0.25">
      <c r="L57" s="2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5836-91A6-47F7-9152-5B1ACB629A16}">
  <dimension ref="A1:N57"/>
  <sheetViews>
    <sheetView workbookViewId="0">
      <selection activeCell="N2" sqref="N2"/>
    </sheetView>
  </sheetViews>
  <sheetFormatPr defaultRowHeight="13.2" x14ac:dyDescent="0.25"/>
  <cols>
    <col min="1" max="1" width="21.6640625" bestFit="1" customWidth="1"/>
    <col min="2" max="4" width="0" hidden="1" customWidth="1"/>
    <col min="5" max="5" width="13.77734375" hidden="1" customWidth="1"/>
    <col min="6" max="6" width="0" hidden="1" customWidth="1"/>
    <col min="7" max="7" width="9" customWidth="1"/>
    <col min="8" max="8" width="10.33203125" customWidth="1"/>
    <col min="9" max="9" width="9.44140625" customWidth="1"/>
    <col min="10" max="10" width="10" customWidth="1"/>
  </cols>
  <sheetData>
    <row r="1" spans="1:14" x14ac:dyDescent="0.25">
      <c r="B1" t="s">
        <v>510</v>
      </c>
      <c r="G1" t="s">
        <v>511</v>
      </c>
      <c r="N1" s="253">
        <v>44743</v>
      </c>
    </row>
    <row r="2" spans="1:14" ht="26.4" x14ac:dyDescent="0.25">
      <c r="B2" t="s">
        <v>506</v>
      </c>
      <c r="C2" t="s">
        <v>507</v>
      </c>
      <c r="D2" t="s">
        <v>508</v>
      </c>
      <c r="E2" t="s">
        <v>509</v>
      </c>
      <c r="G2" s="92" t="s">
        <v>506</v>
      </c>
      <c r="H2" s="92" t="s">
        <v>507</v>
      </c>
      <c r="I2" s="92" t="s">
        <v>508</v>
      </c>
      <c r="J2" s="92" t="s">
        <v>509</v>
      </c>
      <c r="K2" s="92" t="s">
        <v>534</v>
      </c>
      <c r="L2" t="s">
        <v>115</v>
      </c>
    </row>
    <row r="3" spans="1:14" x14ac:dyDescent="0.25">
      <c r="A3" s="211" t="s">
        <v>414</v>
      </c>
      <c r="B3" s="212">
        <v>0.28000000000000003</v>
      </c>
      <c r="C3" s="212">
        <v>1.2E-2</v>
      </c>
      <c r="D3" s="212">
        <v>0.29200000000000004</v>
      </c>
      <c r="E3" s="212">
        <v>0.47600000000000003</v>
      </c>
      <c r="F3" s="212"/>
      <c r="G3" s="212">
        <v>0.28999999999999998</v>
      </c>
      <c r="H3" s="212">
        <v>1.95E-2</v>
      </c>
      <c r="I3" s="212">
        <v>0.3095</v>
      </c>
      <c r="J3" s="212">
        <v>0.55349999999999999</v>
      </c>
      <c r="K3">
        <f t="shared" ref="K3:K34" si="0">_xlfn.RANK.AVG(I3,$I$3:$I$57)</f>
        <v>24</v>
      </c>
      <c r="L3" s="219" t="s">
        <v>415</v>
      </c>
    </row>
    <row r="4" spans="1:14" x14ac:dyDescent="0.25">
      <c r="A4" s="211" t="s">
        <v>416</v>
      </c>
      <c r="B4" s="212">
        <v>0.08</v>
      </c>
      <c r="C4" s="212">
        <v>9.4999999999999998E-3</v>
      </c>
      <c r="D4" s="212">
        <v>8.9499999999999996E-2</v>
      </c>
      <c r="E4" s="212">
        <v>0.27349999999999997</v>
      </c>
      <c r="F4" s="212"/>
      <c r="G4" s="212">
        <v>0.08</v>
      </c>
      <c r="H4" s="212">
        <v>9.4999999999999998E-3</v>
      </c>
      <c r="I4" s="212">
        <v>8.9499999999999996E-2</v>
      </c>
      <c r="J4" s="212">
        <v>0.33350000000000002</v>
      </c>
      <c r="K4">
        <f t="shared" si="0"/>
        <v>49</v>
      </c>
      <c r="L4" s="219" t="s">
        <v>417</v>
      </c>
    </row>
    <row r="5" spans="1:14" x14ac:dyDescent="0.25">
      <c r="A5" s="211" t="s">
        <v>418</v>
      </c>
      <c r="B5" s="212">
        <v>0.18</v>
      </c>
      <c r="C5" s="212">
        <v>0.01</v>
      </c>
      <c r="D5" s="212">
        <v>0.19</v>
      </c>
      <c r="E5" s="212">
        <v>0.374</v>
      </c>
      <c r="F5" s="212"/>
      <c r="G5" s="212">
        <v>0.18</v>
      </c>
      <c r="H5" s="212">
        <v>0.01</v>
      </c>
      <c r="I5" s="212">
        <v>0.19</v>
      </c>
      <c r="J5" s="212">
        <v>0.43400000000000005</v>
      </c>
      <c r="K5">
        <f t="shared" si="0"/>
        <v>46</v>
      </c>
      <c r="L5" s="219" t="s">
        <v>419</v>
      </c>
    </row>
    <row r="6" spans="1:14" x14ac:dyDescent="0.25">
      <c r="A6" s="211" t="s">
        <v>31</v>
      </c>
      <c r="B6" s="212">
        <v>0.245</v>
      </c>
      <c r="C6" s="212">
        <v>3.0000000000000001E-3</v>
      </c>
      <c r="D6" s="212">
        <v>0.248</v>
      </c>
      <c r="E6" s="212">
        <v>0.432</v>
      </c>
      <c r="F6" s="212"/>
      <c r="G6" s="212">
        <v>0.28499999999999998</v>
      </c>
      <c r="H6" s="212">
        <v>3.0000000000000001E-3</v>
      </c>
      <c r="I6" s="212">
        <v>0.28799999999999998</v>
      </c>
      <c r="J6" s="212">
        <v>0.53200000000000003</v>
      </c>
      <c r="K6">
        <f t="shared" si="0"/>
        <v>27</v>
      </c>
      <c r="L6" s="219" t="s">
        <v>420</v>
      </c>
    </row>
    <row r="7" spans="1:14" x14ac:dyDescent="0.25">
      <c r="A7" s="213" t="s">
        <v>421</v>
      </c>
      <c r="B7" s="214">
        <v>0.53900000000000003</v>
      </c>
      <c r="C7" s="214">
        <v>0.112</v>
      </c>
      <c r="D7" s="212">
        <v>0.65100000000000002</v>
      </c>
      <c r="E7" s="212">
        <v>0.83499999999999996</v>
      </c>
      <c r="F7" s="212"/>
      <c r="G7" s="214">
        <v>0.41</v>
      </c>
      <c r="H7" s="214">
        <v>0.49199999999999999</v>
      </c>
      <c r="I7" s="212">
        <v>0.90199999999999991</v>
      </c>
      <c r="J7" s="212">
        <v>1.1459999999999999</v>
      </c>
      <c r="K7">
        <f t="shared" si="0"/>
        <v>1</v>
      </c>
      <c r="L7" s="226" t="s">
        <v>513</v>
      </c>
    </row>
    <row r="8" spans="1:14" x14ac:dyDescent="0.25">
      <c r="A8" s="213" t="s">
        <v>423</v>
      </c>
      <c r="B8" s="212">
        <v>0.22</v>
      </c>
      <c r="C8" s="214">
        <v>1.2500000000000001E-2</v>
      </c>
      <c r="D8" s="212">
        <v>0.23250000000000001</v>
      </c>
      <c r="E8" s="212">
        <v>0.41649999999999998</v>
      </c>
      <c r="F8" s="212"/>
      <c r="G8" s="212">
        <v>0.20499999999999999</v>
      </c>
      <c r="H8" s="214">
        <v>3.2500000000000001E-2</v>
      </c>
      <c r="I8" s="212">
        <v>0.23749999999999999</v>
      </c>
      <c r="J8" s="212">
        <v>0.48150000000000004</v>
      </c>
      <c r="K8">
        <f t="shared" si="0"/>
        <v>37</v>
      </c>
      <c r="L8" s="219" t="s">
        <v>514</v>
      </c>
    </row>
    <row r="9" spans="1:14" x14ac:dyDescent="0.25">
      <c r="A9" s="213" t="s">
        <v>36</v>
      </c>
      <c r="B9" s="212"/>
      <c r="C9" s="212"/>
      <c r="D9" s="212"/>
      <c r="E9" s="212">
        <v>0.184</v>
      </c>
      <c r="F9" s="212"/>
      <c r="G9" s="212">
        <v>0.28999999999999998</v>
      </c>
      <c r="H9" s="214">
        <v>0.13900000000000001</v>
      </c>
      <c r="I9" s="212">
        <v>0.42899999999999999</v>
      </c>
      <c r="J9" s="212">
        <v>0.67300000000000004</v>
      </c>
      <c r="K9">
        <f t="shared" si="0"/>
        <v>10</v>
      </c>
      <c r="L9" s="219" t="s">
        <v>515</v>
      </c>
    </row>
    <row r="10" spans="1:14" x14ac:dyDescent="0.25">
      <c r="A10" s="211" t="s">
        <v>426</v>
      </c>
      <c r="B10" s="212">
        <v>0.23</v>
      </c>
      <c r="C10" s="212"/>
      <c r="D10" s="212">
        <v>0.23</v>
      </c>
      <c r="E10" s="212">
        <v>0.41400000000000003</v>
      </c>
      <c r="F10" s="212"/>
      <c r="G10" s="212">
        <v>0.22</v>
      </c>
      <c r="H10" s="212"/>
      <c r="I10" s="212">
        <v>0.22</v>
      </c>
      <c r="J10" s="212">
        <v>0.46400000000000002</v>
      </c>
      <c r="K10">
        <f t="shared" si="0"/>
        <v>42</v>
      </c>
      <c r="L10" s="219" t="s">
        <v>427</v>
      </c>
    </row>
    <row r="11" spans="1:14" x14ac:dyDescent="0.25">
      <c r="A11" s="213" t="s">
        <v>428</v>
      </c>
      <c r="B11" s="212">
        <v>0.04</v>
      </c>
      <c r="C11" s="212">
        <v>0.31496000000000002</v>
      </c>
      <c r="D11" s="212">
        <v>0.35496</v>
      </c>
      <c r="E11" s="212">
        <v>0.53895999999999999</v>
      </c>
      <c r="F11" s="212"/>
      <c r="G11" s="212">
        <v>0.04</v>
      </c>
      <c r="H11" s="212">
        <v>0.32371</v>
      </c>
      <c r="I11" s="212">
        <v>0.36370999999999998</v>
      </c>
      <c r="J11" s="212">
        <v>0.60770999999999997</v>
      </c>
      <c r="K11">
        <f t="shared" si="0"/>
        <v>14</v>
      </c>
      <c r="L11" s="219" t="s">
        <v>516</v>
      </c>
    </row>
    <row r="12" spans="1:14" x14ac:dyDescent="0.25">
      <c r="A12" s="213" t="s">
        <v>430</v>
      </c>
      <c r="B12" s="214"/>
      <c r="C12" s="212">
        <v>7.4999999999999997E-3</v>
      </c>
      <c r="D12" s="212">
        <v>7.4999999999999997E-3</v>
      </c>
      <c r="E12" s="212">
        <v>0.1915</v>
      </c>
      <c r="F12" s="212"/>
      <c r="G12" s="214">
        <v>0.32600000000000001</v>
      </c>
      <c r="H12" s="212">
        <v>7.4999999999999997E-3</v>
      </c>
      <c r="I12" s="212">
        <f>G12+H12</f>
        <v>0.33350000000000002</v>
      </c>
      <c r="J12" s="212">
        <v>0.2515</v>
      </c>
      <c r="K12">
        <f t="shared" si="0"/>
        <v>17</v>
      </c>
      <c r="L12" s="219" t="s">
        <v>517</v>
      </c>
    </row>
    <row r="13" spans="1:14" x14ac:dyDescent="0.25">
      <c r="A13" s="211" t="s">
        <v>432</v>
      </c>
      <c r="B13" s="212">
        <v>0.16</v>
      </c>
      <c r="C13" s="212">
        <v>2.5000000000000001E-2</v>
      </c>
      <c r="D13" s="212">
        <v>0.185</v>
      </c>
      <c r="E13" s="212">
        <v>0.36899999999999999</v>
      </c>
      <c r="F13" s="212"/>
      <c r="G13" s="212">
        <v>0.16</v>
      </c>
      <c r="H13" s="212">
        <v>2.5000000000000001E-2</v>
      </c>
      <c r="I13" s="212">
        <v>0.185</v>
      </c>
      <c r="J13" s="212">
        <v>0.42900000000000005</v>
      </c>
      <c r="K13">
        <f t="shared" si="0"/>
        <v>47</v>
      </c>
      <c r="L13" s="219" t="s">
        <v>433</v>
      </c>
    </row>
    <row r="14" spans="1:14" x14ac:dyDescent="0.25">
      <c r="A14" s="211" t="s">
        <v>434</v>
      </c>
      <c r="B14" s="212">
        <v>0.32</v>
      </c>
      <c r="C14" s="212">
        <v>0.01</v>
      </c>
      <c r="D14" s="212">
        <v>0.33</v>
      </c>
      <c r="E14" s="212">
        <v>0.51400000000000001</v>
      </c>
      <c r="F14" s="212"/>
      <c r="G14" s="212">
        <v>0.32</v>
      </c>
      <c r="H14" s="212">
        <v>0.01</v>
      </c>
      <c r="I14" s="212">
        <v>0.33</v>
      </c>
      <c r="J14" s="212">
        <v>0.57400000000000007</v>
      </c>
      <c r="K14">
        <f t="shared" si="0"/>
        <v>18</v>
      </c>
      <c r="L14" s="219" t="s">
        <v>435</v>
      </c>
    </row>
    <row r="15" spans="1:14" x14ac:dyDescent="0.25">
      <c r="A15" s="213" t="s">
        <v>436</v>
      </c>
      <c r="B15" s="212">
        <v>0.39200000000000002</v>
      </c>
      <c r="C15" s="214">
        <v>0.24100000000000002</v>
      </c>
      <c r="D15" s="212">
        <v>0.63300000000000001</v>
      </c>
      <c r="E15" s="212">
        <v>0.81699999999999995</v>
      </c>
      <c r="F15" s="212"/>
      <c r="G15" s="212">
        <v>0.46700000000000003</v>
      </c>
      <c r="H15" s="214">
        <v>0.24100000000000002</v>
      </c>
      <c r="I15" s="212">
        <v>0.70800000000000007</v>
      </c>
      <c r="J15" s="212">
        <v>0.95200000000000007</v>
      </c>
      <c r="K15">
        <f t="shared" si="0"/>
        <v>3</v>
      </c>
      <c r="L15" s="219" t="s">
        <v>518</v>
      </c>
    </row>
    <row r="16" spans="1:14" x14ac:dyDescent="0.25">
      <c r="A16" s="213" t="s">
        <v>45</v>
      </c>
      <c r="B16" s="214">
        <v>0.33</v>
      </c>
      <c r="C16" s="214">
        <v>0.30099999999999999</v>
      </c>
      <c r="D16" s="212">
        <v>0.63100000000000001</v>
      </c>
      <c r="E16" s="212">
        <v>0.81499999999999995</v>
      </c>
      <c r="F16" s="212"/>
      <c r="G16" s="214">
        <v>0.55000000000000004</v>
      </c>
      <c r="H16" s="212">
        <v>0.01</v>
      </c>
      <c r="I16" s="212">
        <v>0.56000000000000005</v>
      </c>
      <c r="J16" s="212">
        <v>0.80400000000000005</v>
      </c>
      <c r="K16">
        <f t="shared" si="0"/>
        <v>5</v>
      </c>
      <c r="L16" s="219" t="s">
        <v>519</v>
      </c>
    </row>
    <row r="17" spans="1:12" x14ac:dyDescent="0.25">
      <c r="A17" s="211" t="s">
        <v>46</v>
      </c>
      <c r="B17" s="212">
        <v>0.3</v>
      </c>
      <c r="C17" s="212"/>
      <c r="D17" s="212">
        <v>0.3</v>
      </c>
      <c r="E17" s="212">
        <v>0.48399999999999999</v>
      </c>
      <c r="F17" s="212"/>
      <c r="G17" s="212">
        <v>0.32500000000000001</v>
      </c>
      <c r="H17" s="212"/>
      <c r="I17" s="212">
        <v>0.32500000000000001</v>
      </c>
      <c r="J17" s="212">
        <v>0.56900000000000006</v>
      </c>
      <c r="K17">
        <f t="shared" si="0"/>
        <v>21</v>
      </c>
      <c r="L17" s="219" t="s">
        <v>439</v>
      </c>
    </row>
    <row r="18" spans="1:12" x14ac:dyDescent="0.25">
      <c r="A18" s="211" t="s">
        <v>440</v>
      </c>
      <c r="B18" s="212">
        <v>0.24</v>
      </c>
      <c r="C18" s="212">
        <v>1.03E-2</v>
      </c>
      <c r="D18" s="212">
        <v>0.25029999999999997</v>
      </c>
      <c r="E18" s="212">
        <v>0.43429999999999996</v>
      </c>
      <c r="F18" s="212"/>
      <c r="G18" s="212">
        <v>0.26</v>
      </c>
      <c r="H18" s="212">
        <v>1.03E-2</v>
      </c>
      <c r="I18" s="212">
        <v>0.27029999999999998</v>
      </c>
      <c r="J18" s="212">
        <v>0.51429999999999998</v>
      </c>
      <c r="K18">
        <f t="shared" si="0"/>
        <v>32</v>
      </c>
      <c r="L18" s="219" t="s">
        <v>441</v>
      </c>
    </row>
    <row r="19" spans="1:12" x14ac:dyDescent="0.25">
      <c r="A19" s="211" t="s">
        <v>442</v>
      </c>
      <c r="B19" s="212">
        <v>0.246</v>
      </c>
      <c r="C19" s="212">
        <v>1.4E-2</v>
      </c>
      <c r="D19" s="212">
        <v>0.26</v>
      </c>
      <c r="E19" s="212">
        <v>0.44400000000000001</v>
      </c>
      <c r="F19" s="212"/>
      <c r="G19" s="212">
        <v>0.216</v>
      </c>
      <c r="H19" s="212">
        <v>1.4E-2</v>
      </c>
      <c r="I19" s="212">
        <v>0.23</v>
      </c>
      <c r="J19" s="212">
        <v>0.47400000000000003</v>
      </c>
      <c r="K19">
        <f t="shared" si="0"/>
        <v>39</v>
      </c>
      <c r="L19" s="221" t="s">
        <v>520</v>
      </c>
    </row>
    <row r="20" spans="1:12" x14ac:dyDescent="0.25">
      <c r="A20" s="211" t="s">
        <v>444</v>
      </c>
      <c r="B20" s="212">
        <v>0.2</v>
      </c>
      <c r="C20" s="212">
        <v>9.2499999999999995E-3</v>
      </c>
      <c r="D20" s="212">
        <v>0.20925000000000002</v>
      </c>
      <c r="E20" s="212">
        <v>0.39324999999999999</v>
      </c>
      <c r="F20" s="212"/>
      <c r="G20" s="212">
        <v>0.2</v>
      </c>
      <c r="H20" s="212">
        <v>9.2499999999999995E-3</v>
      </c>
      <c r="I20" s="212">
        <v>0.20925000000000002</v>
      </c>
      <c r="J20" s="212">
        <v>0.45325000000000004</v>
      </c>
      <c r="K20">
        <f t="shared" si="0"/>
        <v>43</v>
      </c>
      <c r="L20" s="219" t="s">
        <v>445</v>
      </c>
    </row>
    <row r="21" spans="1:12" x14ac:dyDescent="0.25">
      <c r="A21" s="211" t="s">
        <v>446</v>
      </c>
      <c r="B21" s="212">
        <v>0.3</v>
      </c>
      <c r="C21" s="212">
        <v>1.40476E-2</v>
      </c>
      <c r="D21" s="212">
        <v>0.31404759999999998</v>
      </c>
      <c r="E21" s="212">
        <v>0.49804759999999998</v>
      </c>
      <c r="F21" s="212"/>
      <c r="G21" s="212">
        <v>0.312</v>
      </c>
      <c r="H21" s="212">
        <v>6.7000000000000002E-3</v>
      </c>
      <c r="I21" s="212">
        <v>0.31869999999999998</v>
      </c>
      <c r="J21" s="212">
        <v>0.56269999999999998</v>
      </c>
      <c r="K21">
        <f t="shared" si="0"/>
        <v>23</v>
      </c>
      <c r="L21" s="219" t="s">
        <v>447</v>
      </c>
    </row>
    <row r="22" spans="1:12" x14ac:dyDescent="0.25">
      <c r="A22" s="213" t="s">
        <v>448</v>
      </c>
      <c r="B22" s="214">
        <v>0.28899999999999998</v>
      </c>
      <c r="C22" s="214">
        <v>0.13990000000000002</v>
      </c>
      <c r="D22" s="212">
        <v>0.4289</v>
      </c>
      <c r="E22" s="212">
        <v>0.6129</v>
      </c>
      <c r="F22" s="212"/>
      <c r="G22" s="214">
        <v>0.29649999999999999</v>
      </c>
      <c r="H22" s="214">
        <v>0.13990000000000002</v>
      </c>
      <c r="I22" s="212">
        <v>0.43640000000000001</v>
      </c>
      <c r="J22" s="212">
        <v>0.6804</v>
      </c>
      <c r="K22">
        <f t="shared" si="0"/>
        <v>9</v>
      </c>
      <c r="L22" s="219" t="s">
        <v>521</v>
      </c>
    </row>
    <row r="23" spans="1:12" x14ac:dyDescent="0.25">
      <c r="A23" s="211" t="s">
        <v>51</v>
      </c>
      <c r="B23" s="212">
        <v>0.24</v>
      </c>
      <c r="C23" s="212">
        <v>2.9801000000000001E-2</v>
      </c>
      <c r="D23" s="212">
        <v>0.26980100000000001</v>
      </c>
      <c r="E23" s="212">
        <v>0.45380100000000001</v>
      </c>
      <c r="F23" s="212"/>
      <c r="G23" s="212">
        <v>0.24</v>
      </c>
      <c r="H23" s="212">
        <v>2.9801000000000001E-2</v>
      </c>
      <c r="I23" s="212">
        <v>0.26980100000000001</v>
      </c>
      <c r="J23" s="212">
        <v>0.51380100000000006</v>
      </c>
      <c r="K23">
        <f t="shared" si="0"/>
        <v>33</v>
      </c>
      <c r="L23" s="219" t="s">
        <v>522</v>
      </c>
    </row>
    <row r="24" spans="1:12" x14ac:dyDescent="0.25">
      <c r="A24" s="213" t="s">
        <v>52</v>
      </c>
      <c r="B24" s="212">
        <v>0.27200000000000002</v>
      </c>
      <c r="C24" s="214">
        <v>0.245</v>
      </c>
      <c r="D24" s="212">
        <v>0.51700000000000002</v>
      </c>
      <c r="E24" s="212">
        <v>0.70100000000000007</v>
      </c>
      <c r="F24" s="212"/>
      <c r="G24" s="212">
        <v>0.27200000000000002</v>
      </c>
      <c r="H24" s="214">
        <v>0.29000000000000004</v>
      </c>
      <c r="I24" s="212">
        <v>0.56200000000000006</v>
      </c>
      <c r="J24" s="212">
        <v>0.80600000000000005</v>
      </c>
      <c r="K24">
        <f t="shared" si="0"/>
        <v>4</v>
      </c>
      <c r="L24" s="219" t="s">
        <v>523</v>
      </c>
    </row>
    <row r="25" spans="1:12" x14ac:dyDescent="0.25">
      <c r="A25" s="211" t="s">
        <v>452</v>
      </c>
      <c r="B25" s="212">
        <v>0.28499999999999998</v>
      </c>
      <c r="C25" s="212">
        <v>1E-3</v>
      </c>
      <c r="D25" s="212">
        <v>0.28599999999999998</v>
      </c>
      <c r="E25" s="212">
        <v>0.47</v>
      </c>
      <c r="F25" s="212"/>
      <c r="G25" s="212">
        <v>0.28499999999999998</v>
      </c>
      <c r="H25" s="212">
        <v>1E-3</v>
      </c>
      <c r="I25" s="212">
        <v>0.28599999999999998</v>
      </c>
      <c r="J25" s="212">
        <v>0.53</v>
      </c>
      <c r="K25">
        <f t="shared" si="0"/>
        <v>29</v>
      </c>
      <c r="L25" s="219" t="s">
        <v>524</v>
      </c>
    </row>
    <row r="26" spans="1:12" x14ac:dyDescent="0.25">
      <c r="A26" s="211" t="s">
        <v>454</v>
      </c>
      <c r="B26" s="212">
        <v>0.18</v>
      </c>
      <c r="C26" s="212">
        <v>4.0000000000000001E-3</v>
      </c>
      <c r="D26" s="212">
        <v>0.184</v>
      </c>
      <c r="E26" s="212">
        <v>0.36799999999999999</v>
      </c>
      <c r="F26" s="212"/>
      <c r="G26" s="212">
        <v>0.18</v>
      </c>
      <c r="H26" s="212">
        <v>4.0000000000000001E-3</v>
      </c>
      <c r="I26" s="212">
        <v>0.184</v>
      </c>
      <c r="J26" s="212">
        <v>0.42800000000000005</v>
      </c>
      <c r="K26">
        <f t="shared" si="0"/>
        <v>48</v>
      </c>
      <c r="L26" s="219" t="s">
        <v>455</v>
      </c>
    </row>
    <row r="27" spans="1:12" x14ac:dyDescent="0.25">
      <c r="A27" s="213" t="s">
        <v>456</v>
      </c>
      <c r="B27" s="214">
        <v>0.22</v>
      </c>
      <c r="C27" s="212">
        <v>4.1999999999999997E-3</v>
      </c>
      <c r="D27" s="212">
        <v>0.22420000000000001</v>
      </c>
      <c r="E27" s="212">
        <v>0.40820000000000001</v>
      </c>
      <c r="F27" s="212"/>
      <c r="G27" s="214">
        <v>0.22</v>
      </c>
      <c r="H27" s="212">
        <v>4.1999999999999997E-3</v>
      </c>
      <c r="I27" s="212">
        <v>0.22420000000000001</v>
      </c>
      <c r="J27" s="212">
        <v>0.46820000000000006</v>
      </c>
      <c r="K27">
        <f t="shared" si="0"/>
        <v>41</v>
      </c>
      <c r="L27" s="219" t="s">
        <v>525</v>
      </c>
    </row>
    <row r="28" spans="1:12" x14ac:dyDescent="0.25">
      <c r="A28" s="213" t="s">
        <v>458</v>
      </c>
      <c r="B28" s="214">
        <v>0.33</v>
      </c>
      <c r="C28" s="212">
        <v>7.4999999999999997E-3</v>
      </c>
      <c r="D28" s="212">
        <v>0.33750000000000002</v>
      </c>
      <c r="E28" s="212">
        <v>0.52150000000000007</v>
      </c>
      <c r="F28" s="212"/>
      <c r="G28" s="214">
        <v>0.29749999999999999</v>
      </c>
      <c r="H28" s="212">
        <v>7.4999999999999997E-3</v>
      </c>
      <c r="I28" s="212">
        <v>0.30499999999999999</v>
      </c>
      <c r="J28" s="212">
        <v>0.54900000000000004</v>
      </c>
      <c r="K28">
        <f t="shared" si="0"/>
        <v>25</v>
      </c>
      <c r="L28" s="219" t="s">
        <v>459</v>
      </c>
    </row>
    <row r="29" spans="1:12" x14ac:dyDescent="0.25">
      <c r="A29" s="211" t="s">
        <v>460</v>
      </c>
      <c r="B29" s="212">
        <v>0.248</v>
      </c>
      <c r="C29" s="212">
        <v>8.9999999999999993E-3</v>
      </c>
      <c r="D29" s="212">
        <v>0.25700000000000001</v>
      </c>
      <c r="E29" s="212">
        <v>0.441</v>
      </c>
      <c r="F29" s="212"/>
      <c r="G29" s="212">
        <v>0.248</v>
      </c>
      <c r="H29" s="212">
        <v>3.0000000000000001E-3</v>
      </c>
      <c r="I29" s="212">
        <v>0.251</v>
      </c>
      <c r="J29" s="212">
        <v>0.495</v>
      </c>
      <c r="K29">
        <f t="shared" si="0"/>
        <v>34</v>
      </c>
      <c r="L29" s="219" t="s">
        <v>461</v>
      </c>
    </row>
    <row r="30" spans="1:12" x14ac:dyDescent="0.25">
      <c r="A30" s="211" t="s">
        <v>462</v>
      </c>
      <c r="B30" s="212">
        <v>0.23</v>
      </c>
      <c r="C30" s="212">
        <v>8.0499999999999999E-3</v>
      </c>
      <c r="D30" s="212">
        <v>0.23805000000000001</v>
      </c>
      <c r="E30" s="212">
        <v>0.42205000000000004</v>
      </c>
      <c r="F30" s="212"/>
      <c r="G30" s="212">
        <v>0.27</v>
      </c>
      <c r="H30" s="212">
        <v>7.4999999999999997E-3</v>
      </c>
      <c r="I30" s="212">
        <v>0.27750000000000002</v>
      </c>
      <c r="J30" s="212">
        <v>0.52150000000000007</v>
      </c>
      <c r="K30">
        <f t="shared" si="0"/>
        <v>31</v>
      </c>
      <c r="L30" s="219" t="s">
        <v>463</v>
      </c>
    </row>
    <row r="31" spans="1:12" x14ac:dyDescent="0.25">
      <c r="A31" s="211" t="s">
        <v>464</v>
      </c>
      <c r="B31" s="212">
        <v>0.222</v>
      </c>
      <c r="C31" s="212">
        <v>1.6250000000000001E-2</v>
      </c>
      <c r="D31" s="212">
        <v>0.23825000000000002</v>
      </c>
      <c r="E31" s="212">
        <v>0.42225000000000001</v>
      </c>
      <c r="F31" s="212"/>
      <c r="G31" s="212">
        <v>0.222</v>
      </c>
      <c r="H31" s="212">
        <v>1.6250000000000001E-2</v>
      </c>
      <c r="I31" s="212">
        <v>0.23825000000000002</v>
      </c>
      <c r="J31" s="212">
        <v>0.48225000000000007</v>
      </c>
      <c r="K31">
        <f t="shared" si="0"/>
        <v>36</v>
      </c>
      <c r="L31" s="219" t="s">
        <v>465</v>
      </c>
    </row>
    <row r="32" spans="1:12" x14ac:dyDescent="0.25">
      <c r="A32" s="211" t="s">
        <v>60</v>
      </c>
      <c r="B32" s="212">
        <v>0.105</v>
      </c>
      <c r="C32" s="212">
        <v>0.31950000000000001</v>
      </c>
      <c r="D32" s="212">
        <v>0.42449999999999999</v>
      </c>
      <c r="E32" s="212">
        <v>0.60850000000000004</v>
      </c>
      <c r="F32" s="212"/>
      <c r="G32" s="212">
        <v>0.13500000000000001</v>
      </c>
      <c r="H32" s="212">
        <v>0.35949999999999999</v>
      </c>
      <c r="I32" s="212">
        <v>0.4945</v>
      </c>
      <c r="J32" s="212">
        <v>0.73850000000000005</v>
      </c>
      <c r="K32">
        <f t="shared" si="0"/>
        <v>7</v>
      </c>
      <c r="L32" s="219" t="s">
        <v>526</v>
      </c>
    </row>
    <row r="33" spans="1:12" x14ac:dyDescent="0.25">
      <c r="A33" s="211" t="s">
        <v>467</v>
      </c>
      <c r="B33" s="212">
        <v>0.17</v>
      </c>
      <c r="C33" s="212">
        <v>1.8749999999999999E-2</v>
      </c>
      <c r="D33" s="212">
        <v>0.18875</v>
      </c>
      <c r="E33" s="212">
        <v>0.37275000000000003</v>
      </c>
      <c r="F33" s="212"/>
      <c r="G33" s="212">
        <v>0.21</v>
      </c>
      <c r="H33" s="212">
        <v>1.8749999999999999E-2</v>
      </c>
      <c r="I33" s="212">
        <v>0.22874999999999998</v>
      </c>
      <c r="J33" s="212">
        <v>0.47275</v>
      </c>
      <c r="K33">
        <f t="shared" si="0"/>
        <v>40</v>
      </c>
      <c r="L33" s="219" t="s">
        <v>468</v>
      </c>
    </row>
    <row r="34" spans="1:12" x14ac:dyDescent="0.25">
      <c r="A34" s="224" t="s">
        <v>469</v>
      </c>
      <c r="B34" s="225"/>
      <c r="C34" s="214">
        <v>3.774E-3</v>
      </c>
      <c r="D34" s="212">
        <v>3.774E-3</v>
      </c>
      <c r="E34" s="212">
        <v>0.187774</v>
      </c>
      <c r="F34" s="212"/>
      <c r="G34" s="225"/>
      <c r="H34" s="214">
        <v>3.274E-3</v>
      </c>
      <c r="I34" s="212">
        <v>3.274E-3</v>
      </c>
      <c r="J34" s="212">
        <v>0.24727400000000002</v>
      </c>
      <c r="K34">
        <f t="shared" si="0"/>
        <v>50</v>
      </c>
      <c r="L34" s="219" t="s">
        <v>527</v>
      </c>
    </row>
    <row r="35" spans="1:12" x14ac:dyDescent="0.25">
      <c r="A35" s="211" t="s">
        <v>471</v>
      </c>
      <c r="B35" s="212">
        <v>0.38500000000000001</v>
      </c>
      <c r="C35" s="212">
        <v>2.5000000000000001E-3</v>
      </c>
      <c r="D35" s="212">
        <v>0.38750000000000001</v>
      </c>
      <c r="E35" s="212">
        <v>0.57150000000000001</v>
      </c>
      <c r="F35" s="212"/>
      <c r="G35" s="212">
        <v>0.38500000000000001</v>
      </c>
      <c r="H35" s="212">
        <v>2.5000000000000001E-3</v>
      </c>
      <c r="I35" s="212">
        <v>0.38750000000000001</v>
      </c>
      <c r="J35" s="212">
        <v>0.63150000000000006</v>
      </c>
      <c r="K35">
        <f t="shared" ref="K35:K52" si="1">_xlfn.RANK.AVG(I35,$I$3:$I$57)</f>
        <v>11</v>
      </c>
      <c r="L35" s="219" t="s">
        <v>472</v>
      </c>
    </row>
    <row r="36" spans="1:12" x14ac:dyDescent="0.25">
      <c r="A36" s="211" t="s">
        <v>473</v>
      </c>
      <c r="B36" s="212">
        <v>0.23</v>
      </c>
      <c r="C36" s="212">
        <v>2.5000000000000001E-4</v>
      </c>
      <c r="D36" s="212">
        <v>0.23025000000000001</v>
      </c>
      <c r="E36" s="212">
        <v>0.41425000000000001</v>
      </c>
      <c r="F36" s="212"/>
      <c r="G36" s="212">
        <v>0.23</v>
      </c>
      <c r="H36" s="212">
        <v>2.5000000000000001E-4</v>
      </c>
      <c r="I36" s="212">
        <v>0.23025000000000001</v>
      </c>
      <c r="J36" s="212">
        <v>0.47425000000000006</v>
      </c>
      <c r="K36">
        <f t="shared" si="1"/>
        <v>38</v>
      </c>
      <c r="L36" s="219" t="s">
        <v>474</v>
      </c>
    </row>
    <row r="37" spans="1:12" x14ac:dyDescent="0.25">
      <c r="A37" s="211" t="s">
        <v>475</v>
      </c>
      <c r="B37" s="212">
        <v>0.38500000000000001</v>
      </c>
      <c r="C37" s="212"/>
      <c r="D37" s="212">
        <v>0.38500000000000001</v>
      </c>
      <c r="E37" s="212">
        <v>0.56899999999999995</v>
      </c>
      <c r="F37" s="212"/>
      <c r="G37" s="212">
        <v>0.47</v>
      </c>
      <c r="H37" s="212"/>
      <c r="I37" s="212">
        <v>0.47</v>
      </c>
      <c r="J37" s="212">
        <v>0.71399999999999997</v>
      </c>
      <c r="K37">
        <f t="shared" si="1"/>
        <v>8</v>
      </c>
      <c r="L37" s="219" t="s">
        <v>476</v>
      </c>
    </row>
    <row r="38" spans="1:12" x14ac:dyDescent="0.25">
      <c r="A38" s="211" t="s">
        <v>477</v>
      </c>
      <c r="B38" s="212">
        <v>0.19</v>
      </c>
      <c r="C38" s="212">
        <v>0.01</v>
      </c>
      <c r="D38" s="212">
        <v>0.2</v>
      </c>
      <c r="E38" s="212">
        <v>0.38400000000000001</v>
      </c>
      <c r="F38" s="212"/>
      <c r="G38" s="212">
        <v>0.19</v>
      </c>
      <c r="H38" s="212">
        <v>0.01</v>
      </c>
      <c r="I38" s="212">
        <v>0.2</v>
      </c>
      <c r="J38" s="212">
        <v>0.44400000000000006</v>
      </c>
      <c r="K38">
        <f t="shared" si="1"/>
        <v>44.5</v>
      </c>
      <c r="L38" s="219" t="s">
        <v>478</v>
      </c>
    </row>
    <row r="39" spans="1:12" x14ac:dyDescent="0.25">
      <c r="A39" s="211" t="s">
        <v>479</v>
      </c>
      <c r="B39" s="212">
        <v>0.38</v>
      </c>
      <c r="C39" s="212"/>
      <c r="D39" s="212">
        <v>0.38</v>
      </c>
      <c r="E39" s="212">
        <v>0.56400000000000006</v>
      </c>
      <c r="F39" s="212"/>
      <c r="G39" s="212">
        <v>0.38</v>
      </c>
      <c r="H39" s="212"/>
      <c r="I39" s="212">
        <v>0.38</v>
      </c>
      <c r="J39" s="212">
        <v>0.624</v>
      </c>
      <c r="K39">
        <f t="shared" si="1"/>
        <v>12</v>
      </c>
      <c r="L39" s="219" t="s">
        <v>480</v>
      </c>
    </row>
    <row r="40" spans="1:12" x14ac:dyDescent="0.25">
      <c r="A40" s="213" t="s">
        <v>481</v>
      </c>
      <c r="B40" s="212">
        <v>0.57599999999999996</v>
      </c>
      <c r="C40" s="212">
        <v>1.0999999999999999E-2</v>
      </c>
      <c r="D40" s="212">
        <v>0.58699999999999997</v>
      </c>
      <c r="E40" s="212">
        <v>0.77099999999999991</v>
      </c>
      <c r="F40" s="212"/>
      <c r="G40" s="212">
        <v>0.74099999999999999</v>
      </c>
      <c r="H40" s="212"/>
      <c r="I40" s="212">
        <v>0.74099999999999999</v>
      </c>
      <c r="J40" s="212">
        <v>0.98499999999999999</v>
      </c>
      <c r="K40">
        <f t="shared" si="1"/>
        <v>2</v>
      </c>
      <c r="L40" s="219" t="s">
        <v>528</v>
      </c>
    </row>
    <row r="41" spans="1:12" x14ac:dyDescent="0.25">
      <c r="A41" s="211" t="s">
        <v>483</v>
      </c>
      <c r="B41" s="212">
        <v>0.34</v>
      </c>
      <c r="C41" s="212">
        <v>1.12E-2</v>
      </c>
      <c r="D41" s="212">
        <v>0.35120000000000001</v>
      </c>
      <c r="E41" s="212">
        <v>0.53520000000000001</v>
      </c>
      <c r="F41" s="212"/>
      <c r="G41" s="212">
        <v>0.34</v>
      </c>
      <c r="H41" s="212">
        <v>1.12E-2</v>
      </c>
      <c r="I41" s="212">
        <v>0.35120000000000001</v>
      </c>
      <c r="J41" s="212">
        <v>0.59520000000000006</v>
      </c>
      <c r="K41">
        <f t="shared" si="1"/>
        <v>16</v>
      </c>
      <c r="L41" s="219" t="s">
        <v>529</v>
      </c>
    </row>
    <row r="42" spans="1:12" x14ac:dyDescent="0.25">
      <c r="A42" s="213" t="s">
        <v>485</v>
      </c>
      <c r="B42" s="214">
        <v>0.28000000000000003</v>
      </c>
      <c r="C42" s="212">
        <v>7.4999999999999997E-3</v>
      </c>
      <c r="D42" s="212">
        <v>0.28750000000000003</v>
      </c>
      <c r="E42" s="212">
        <v>0.47150000000000003</v>
      </c>
      <c r="F42" s="212"/>
      <c r="G42" s="214">
        <v>0.28000000000000003</v>
      </c>
      <c r="H42" s="212">
        <v>7.4999999999999997E-3</v>
      </c>
      <c r="I42" s="212">
        <v>0.28750000000000003</v>
      </c>
      <c r="J42" s="212">
        <v>0.53150000000000008</v>
      </c>
      <c r="K42">
        <f t="shared" si="1"/>
        <v>28</v>
      </c>
      <c r="L42" s="219" t="s">
        <v>486</v>
      </c>
    </row>
    <row r="43" spans="1:12" x14ac:dyDescent="0.25">
      <c r="A43" s="211" t="s">
        <v>487</v>
      </c>
      <c r="B43" s="212">
        <v>0.28000000000000003</v>
      </c>
      <c r="C43" s="212">
        <v>0.02</v>
      </c>
      <c r="D43" s="212">
        <v>0.30000000000000004</v>
      </c>
      <c r="E43" s="212">
        <v>0.48400000000000004</v>
      </c>
      <c r="F43" s="212"/>
      <c r="G43" s="212">
        <v>0.28000000000000003</v>
      </c>
      <c r="H43" s="212">
        <v>0.02</v>
      </c>
      <c r="I43" s="212">
        <v>0.30000000000000004</v>
      </c>
      <c r="J43" s="212">
        <v>0.54400000000000004</v>
      </c>
      <c r="K43">
        <f t="shared" si="1"/>
        <v>26</v>
      </c>
      <c r="L43" s="219" t="s">
        <v>488</v>
      </c>
    </row>
    <row r="44" spans="1:12" x14ac:dyDescent="0.25">
      <c r="A44" s="211" t="s">
        <v>489</v>
      </c>
      <c r="B44" s="212">
        <v>0.26</v>
      </c>
      <c r="C44" s="212">
        <v>1.4E-2</v>
      </c>
      <c r="D44" s="212">
        <v>0.27400000000000002</v>
      </c>
      <c r="E44" s="212">
        <v>0.45800000000000002</v>
      </c>
      <c r="F44" s="212"/>
      <c r="G44" s="212">
        <v>0.27</v>
      </c>
      <c r="H44" s="212">
        <v>1.4E-2</v>
      </c>
      <c r="I44" s="212">
        <v>0.28400000000000003</v>
      </c>
      <c r="J44" s="212">
        <v>0.52800000000000002</v>
      </c>
      <c r="K44">
        <f t="shared" si="1"/>
        <v>30</v>
      </c>
      <c r="L44" s="219" t="s">
        <v>490</v>
      </c>
    </row>
    <row r="45" spans="1:12" x14ac:dyDescent="0.25">
      <c r="A45" s="211" t="s">
        <v>491</v>
      </c>
      <c r="B45" s="212">
        <v>0.2</v>
      </c>
      <c r="C45" s="212"/>
      <c r="D45" s="212">
        <v>0.2</v>
      </c>
      <c r="E45" s="212">
        <v>0.38400000000000001</v>
      </c>
      <c r="F45" s="212"/>
      <c r="G45" s="212">
        <v>0.2</v>
      </c>
      <c r="H45" s="212"/>
      <c r="I45" s="212">
        <v>0.2</v>
      </c>
      <c r="J45" s="212">
        <v>0.44400000000000006</v>
      </c>
      <c r="K45">
        <f t="shared" si="1"/>
        <v>44.5</v>
      </c>
      <c r="L45" s="219" t="s">
        <v>492</v>
      </c>
    </row>
    <row r="46" spans="1:12" x14ac:dyDescent="0.25">
      <c r="A46" s="211" t="s">
        <v>493</v>
      </c>
      <c r="B46" s="212">
        <v>0.31900000000000001</v>
      </c>
      <c r="C46" s="212">
        <v>6.4999999999999997E-3</v>
      </c>
      <c r="D46" s="212">
        <v>0.32550000000000001</v>
      </c>
      <c r="E46" s="212">
        <v>0.50950000000000006</v>
      </c>
      <c r="F46" s="212"/>
      <c r="G46" s="212">
        <v>0.31900000000000001</v>
      </c>
      <c r="H46" s="212">
        <v>6.4999999999999997E-3</v>
      </c>
      <c r="I46" s="212">
        <v>0.32550000000000001</v>
      </c>
      <c r="J46" s="212">
        <v>0.56950000000000001</v>
      </c>
      <c r="K46">
        <f t="shared" si="1"/>
        <v>20</v>
      </c>
      <c r="L46" s="219" t="s">
        <v>494</v>
      </c>
    </row>
    <row r="47" spans="1:12" x14ac:dyDescent="0.25">
      <c r="A47" s="213" t="s">
        <v>495</v>
      </c>
      <c r="B47" s="212">
        <v>0.121</v>
      </c>
      <c r="C47" s="214">
        <v>0.24859999999999999</v>
      </c>
      <c r="D47" s="212">
        <v>0.36959999999999998</v>
      </c>
      <c r="E47" s="212">
        <v>0.55359999999999998</v>
      </c>
      <c r="F47" s="212"/>
      <c r="G47" s="212">
        <v>0.28000000000000003</v>
      </c>
      <c r="H47" s="212">
        <v>0.04</v>
      </c>
      <c r="I47" s="212">
        <v>0.32</v>
      </c>
      <c r="J47" s="212">
        <v>0.56400000000000006</v>
      </c>
      <c r="K47">
        <f t="shared" si="1"/>
        <v>22</v>
      </c>
      <c r="L47" s="219" t="s">
        <v>530</v>
      </c>
    </row>
    <row r="48" spans="1:12" x14ac:dyDescent="0.25">
      <c r="A48" s="213" t="s">
        <v>74</v>
      </c>
      <c r="B48" s="214">
        <v>0.28000000000000003</v>
      </c>
      <c r="C48" s="214">
        <v>8.8000000000000009E-2</v>
      </c>
      <c r="D48" s="212">
        <v>0.36800000000000005</v>
      </c>
      <c r="E48" s="212">
        <v>0.55200000000000005</v>
      </c>
      <c r="F48" s="212"/>
      <c r="G48" s="214">
        <v>0.28899999999999998</v>
      </c>
      <c r="H48" s="214">
        <v>8.900000000000001E-2</v>
      </c>
      <c r="I48" s="212">
        <v>0.378</v>
      </c>
      <c r="J48" s="212">
        <v>0.622</v>
      </c>
      <c r="K48">
        <f t="shared" si="1"/>
        <v>13</v>
      </c>
      <c r="L48" s="219" t="s">
        <v>531</v>
      </c>
    </row>
    <row r="49" spans="1:12" x14ac:dyDescent="0.25">
      <c r="A49" s="213" t="s">
        <v>498</v>
      </c>
      <c r="B49" s="212">
        <v>0.49399999999999999</v>
      </c>
      <c r="C49" s="214">
        <v>2.9790299999999999E-2</v>
      </c>
      <c r="D49" s="212">
        <v>0.52379030000000004</v>
      </c>
      <c r="E49" s="212">
        <v>0.70779030000000009</v>
      </c>
      <c r="F49" s="212"/>
      <c r="G49" s="212">
        <v>0.49399999999999999</v>
      </c>
      <c r="H49" s="214">
        <v>2.9790299999999999E-2</v>
      </c>
      <c r="I49" s="212">
        <v>0.52379030000000004</v>
      </c>
      <c r="J49" s="212">
        <v>0.76779030000000004</v>
      </c>
      <c r="K49">
        <f t="shared" si="1"/>
        <v>6</v>
      </c>
      <c r="L49" s="219" t="s">
        <v>532</v>
      </c>
    </row>
    <row r="50" spans="1:12" x14ac:dyDescent="0.25">
      <c r="A50" s="211" t="s">
        <v>500</v>
      </c>
      <c r="B50" s="212">
        <v>0.20499999999999999</v>
      </c>
      <c r="C50" s="212">
        <v>0.152</v>
      </c>
      <c r="D50" s="212">
        <v>0.35699999999999998</v>
      </c>
      <c r="E50" s="212">
        <v>0.54099999999999993</v>
      </c>
      <c r="F50" s="212"/>
      <c r="G50" s="212">
        <v>0.20499999999999999</v>
      </c>
      <c r="H50" s="212">
        <v>0.152</v>
      </c>
      <c r="I50" s="212">
        <v>0.35699999999999998</v>
      </c>
      <c r="J50" s="212">
        <v>0.60099999999999998</v>
      </c>
      <c r="K50">
        <f t="shared" si="1"/>
        <v>15</v>
      </c>
      <c r="L50" s="219" t="s">
        <v>533</v>
      </c>
    </row>
    <row r="51" spans="1:12" x14ac:dyDescent="0.25">
      <c r="A51" s="211" t="s">
        <v>502</v>
      </c>
      <c r="B51" s="212">
        <v>0.309</v>
      </c>
      <c r="C51" s="212">
        <v>0.02</v>
      </c>
      <c r="D51" s="212">
        <v>0.32900000000000001</v>
      </c>
      <c r="E51" s="212">
        <v>0.51300000000000001</v>
      </c>
      <c r="F51" s="212"/>
      <c r="G51" s="212">
        <v>0.309</v>
      </c>
      <c r="H51" s="212">
        <v>0.02</v>
      </c>
      <c r="I51" s="212">
        <v>0.32900000000000001</v>
      </c>
      <c r="J51" s="212">
        <v>0.57300000000000006</v>
      </c>
      <c r="K51">
        <f t="shared" si="1"/>
        <v>19</v>
      </c>
      <c r="L51" s="219" t="s">
        <v>503</v>
      </c>
    </row>
    <row r="52" spans="1:12" x14ac:dyDescent="0.25">
      <c r="A52" s="215" t="s">
        <v>504</v>
      </c>
      <c r="B52" s="216">
        <v>0.23</v>
      </c>
      <c r="C52" s="216">
        <v>0.01</v>
      </c>
      <c r="D52" s="216">
        <v>0.24000000000000002</v>
      </c>
      <c r="E52" s="216">
        <v>0.42400000000000004</v>
      </c>
      <c r="F52" s="216"/>
      <c r="G52" s="216">
        <v>0.23</v>
      </c>
      <c r="H52" s="216">
        <v>0.01</v>
      </c>
      <c r="I52" s="216">
        <v>0.24000000000000002</v>
      </c>
      <c r="J52" s="216">
        <v>0.48400000000000004</v>
      </c>
      <c r="K52">
        <f t="shared" si="1"/>
        <v>35</v>
      </c>
      <c r="L52" s="222" t="s">
        <v>505</v>
      </c>
    </row>
    <row r="53" spans="1:12" x14ac:dyDescent="0.25">
      <c r="A53" s="211"/>
      <c r="B53" s="212"/>
      <c r="C53" s="212"/>
      <c r="D53" s="212"/>
      <c r="E53" s="212"/>
      <c r="F53" s="212"/>
      <c r="G53" s="212"/>
      <c r="H53" s="212"/>
      <c r="I53" s="212"/>
      <c r="J53" s="212"/>
      <c r="L53" s="219"/>
    </row>
    <row r="54" spans="1:12" x14ac:dyDescent="0.25">
      <c r="A54" s="213"/>
      <c r="B54" s="212"/>
      <c r="C54" s="212"/>
      <c r="D54" s="212"/>
      <c r="E54" s="212"/>
      <c r="F54" s="212"/>
      <c r="G54" s="212"/>
      <c r="H54" s="212"/>
      <c r="I54" s="212"/>
      <c r="J54" s="212"/>
      <c r="L54" s="219"/>
    </row>
    <row r="55" spans="1:12" x14ac:dyDescent="0.25">
      <c r="A55" s="211"/>
      <c r="B55" s="212"/>
      <c r="C55" s="212"/>
      <c r="D55" s="212"/>
      <c r="E55" s="212"/>
      <c r="F55" s="212"/>
      <c r="G55" s="212"/>
      <c r="H55" s="212"/>
      <c r="I55" s="212"/>
      <c r="J55" s="212"/>
      <c r="L55" s="219"/>
    </row>
    <row r="56" spans="1:12" x14ac:dyDescent="0.25">
      <c r="A56" s="213"/>
      <c r="B56" s="212"/>
      <c r="C56" s="212"/>
      <c r="D56" s="212"/>
      <c r="E56" s="212"/>
      <c r="F56" s="212"/>
      <c r="G56" s="214"/>
      <c r="H56" s="212"/>
      <c r="I56" s="212"/>
      <c r="J56" s="212"/>
      <c r="L56" s="219"/>
    </row>
    <row r="57" spans="1:12" x14ac:dyDescent="0.25">
      <c r="A57" s="211"/>
      <c r="B57" s="212"/>
      <c r="C57" s="212"/>
      <c r="D57" s="212"/>
      <c r="E57" s="212"/>
      <c r="F57" s="212"/>
      <c r="G57" s="212"/>
      <c r="H57" s="212"/>
      <c r="I57" s="212"/>
      <c r="J57" s="212"/>
      <c r="L57" s="2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71"/>
  <sheetViews>
    <sheetView showGridLines="0" zoomScaleNormal="100" zoomScalePageLayoutView="75" workbookViewId="0">
      <selection activeCell="D5" sqref="D5"/>
    </sheetView>
  </sheetViews>
  <sheetFormatPr defaultColWidth="15.88671875" defaultRowHeight="15.6" x14ac:dyDescent="0.3"/>
  <cols>
    <col min="1" max="1" width="14.44140625" style="92" customWidth="1"/>
    <col min="2" max="2" width="13.5546875" style="92" customWidth="1"/>
    <col min="3" max="3" width="11" style="159" customWidth="1"/>
    <col min="4" max="4" width="11.109375" style="122" customWidth="1"/>
    <col min="5" max="5" width="10.5546875" style="92" customWidth="1"/>
    <col min="6" max="6" width="68.109375" style="92" customWidth="1"/>
    <col min="7" max="7" width="11.109375" style="123" customWidth="1"/>
    <col min="8" max="8" width="58.88671875" style="102" customWidth="1"/>
    <col min="9" max="16384" width="15.88671875" style="92"/>
  </cols>
  <sheetData>
    <row r="1" spans="1:12" x14ac:dyDescent="0.3">
      <c r="A1" s="237"/>
      <c r="B1" s="98" t="s">
        <v>184</v>
      </c>
      <c r="C1" s="151" t="s">
        <v>185</v>
      </c>
      <c r="D1" s="99" t="s">
        <v>188</v>
      </c>
      <c r="E1" s="100"/>
      <c r="F1" s="93"/>
      <c r="G1" s="101"/>
    </row>
    <row r="2" spans="1:12" ht="13.2" x14ac:dyDescent="0.25">
      <c r="A2" s="238"/>
      <c r="B2" s="103" t="s">
        <v>24</v>
      </c>
      <c r="C2" s="152" t="s">
        <v>186</v>
      </c>
      <c r="D2" s="104" t="s">
        <v>24</v>
      </c>
      <c r="E2" s="105"/>
      <c r="F2" s="17"/>
      <c r="G2" s="106"/>
      <c r="H2" s="107"/>
    </row>
    <row r="3" spans="1:12" ht="24.6" x14ac:dyDescent="0.3">
      <c r="A3" s="239"/>
      <c r="B3" s="103" t="s">
        <v>80</v>
      </c>
      <c r="C3" s="152" t="s">
        <v>80</v>
      </c>
      <c r="D3" s="104" t="s">
        <v>80</v>
      </c>
      <c r="E3" s="108" t="s">
        <v>21</v>
      </c>
      <c r="G3" s="109" t="s">
        <v>133</v>
      </c>
      <c r="H3" s="110" t="s">
        <v>372</v>
      </c>
    </row>
    <row r="4" spans="1:12" ht="24.6" thickBot="1" x14ac:dyDescent="0.3">
      <c r="A4" s="240" t="s">
        <v>21</v>
      </c>
      <c r="B4" s="111" t="s">
        <v>81</v>
      </c>
      <c r="C4" s="153" t="s">
        <v>81</v>
      </c>
      <c r="D4" s="112" t="s">
        <v>81</v>
      </c>
      <c r="E4" s="113" t="s">
        <v>23</v>
      </c>
      <c r="F4" s="94" t="s">
        <v>82</v>
      </c>
      <c r="G4" s="114" t="s">
        <v>135</v>
      </c>
      <c r="H4" s="115" t="s">
        <v>264</v>
      </c>
    </row>
    <row r="5" spans="1:12" s="17" customFormat="1" ht="26.4" x14ac:dyDescent="0.25">
      <c r="A5" s="241" t="s">
        <v>83</v>
      </c>
      <c r="B5" s="147">
        <f>815</f>
        <v>815</v>
      </c>
      <c r="C5" s="154">
        <v>20</v>
      </c>
      <c r="D5" s="116">
        <f t="shared" ref="D5:D36" si="0">B5+C5</f>
        <v>835</v>
      </c>
      <c r="E5" s="117">
        <f t="shared" ref="E5:E36" si="1">RANK(D5,D$5:D$54)</f>
        <v>46</v>
      </c>
      <c r="F5" s="141" t="s">
        <v>373</v>
      </c>
      <c r="G5" s="118">
        <v>38991</v>
      </c>
      <c r="H5" s="119" t="s">
        <v>374</v>
      </c>
    </row>
    <row r="6" spans="1:12" s="17" customFormat="1" ht="13.2" x14ac:dyDescent="0.25">
      <c r="A6" s="241" t="s">
        <v>187</v>
      </c>
      <c r="B6" s="116">
        <f>662/2</f>
        <v>331</v>
      </c>
      <c r="C6" s="154">
        <f>160+20+2</f>
        <v>182</v>
      </c>
      <c r="D6" s="147">
        <f t="shared" si="0"/>
        <v>513</v>
      </c>
      <c r="E6" s="117">
        <f t="shared" si="1"/>
        <v>48</v>
      </c>
      <c r="F6" s="141" t="s">
        <v>263</v>
      </c>
      <c r="G6" s="149">
        <v>43770</v>
      </c>
      <c r="H6" s="107" t="s">
        <v>262</v>
      </c>
      <c r="J6" s="141"/>
      <c r="K6" s="141"/>
      <c r="L6" s="141"/>
    </row>
    <row r="7" spans="1:12" s="17" customFormat="1" ht="39.6" x14ac:dyDescent="0.25">
      <c r="A7" s="241" t="s">
        <v>235</v>
      </c>
      <c r="B7" s="116">
        <f>3957</f>
        <v>3957</v>
      </c>
      <c r="C7" s="154">
        <f>32+(800/10)</f>
        <v>112</v>
      </c>
      <c r="D7" s="147">
        <f t="shared" si="0"/>
        <v>4069</v>
      </c>
      <c r="E7" s="117">
        <f t="shared" si="1"/>
        <v>1</v>
      </c>
      <c r="F7" s="141" t="s">
        <v>375</v>
      </c>
      <c r="G7" s="118">
        <v>43466</v>
      </c>
      <c r="H7" s="107" t="s">
        <v>265</v>
      </c>
    </row>
    <row r="8" spans="1:12" s="17" customFormat="1" ht="26.4" x14ac:dyDescent="0.25">
      <c r="A8" s="241" t="s">
        <v>84</v>
      </c>
      <c r="B8" s="116">
        <f>1553</f>
        <v>1553</v>
      </c>
      <c r="C8" s="154">
        <v>20</v>
      </c>
      <c r="D8" s="147">
        <f t="shared" si="0"/>
        <v>1573</v>
      </c>
      <c r="E8" s="117">
        <f t="shared" si="1"/>
        <v>27</v>
      </c>
      <c r="F8" s="17" t="s">
        <v>176</v>
      </c>
      <c r="G8" s="118">
        <v>41548</v>
      </c>
      <c r="H8" s="107" t="s">
        <v>142</v>
      </c>
    </row>
    <row r="9" spans="1:12" s="17" customFormat="1" ht="92.4" x14ac:dyDescent="0.25">
      <c r="A9" s="242" t="s">
        <v>33</v>
      </c>
      <c r="B9" s="116">
        <f xml:space="preserve"> 1942</f>
        <v>1942</v>
      </c>
      <c r="C9" s="154">
        <f xml:space="preserve"> 122 + 118+ 3 +(0.0065*F61) +4+3</f>
        <v>1091.23</v>
      </c>
      <c r="D9" s="147">
        <f t="shared" si="0"/>
        <v>3033.23</v>
      </c>
      <c r="E9" s="117">
        <f t="shared" si="1"/>
        <v>5</v>
      </c>
      <c r="F9" s="141" t="s">
        <v>412</v>
      </c>
      <c r="G9" s="118">
        <v>44927</v>
      </c>
      <c r="H9" s="120" t="s">
        <v>189</v>
      </c>
    </row>
    <row r="10" spans="1:12" s="141" customFormat="1" ht="39.6" x14ac:dyDescent="0.25">
      <c r="A10" s="241" t="s">
        <v>191</v>
      </c>
      <c r="B10" s="147">
        <f>2350</f>
        <v>2350</v>
      </c>
      <c r="C10" s="164">
        <f>(F61*0.0045)+32+39+10+7.5</f>
        <v>670.89</v>
      </c>
      <c r="D10" s="147">
        <f t="shared" si="0"/>
        <v>3020.89</v>
      </c>
      <c r="E10" s="165">
        <f t="shared" si="1"/>
        <v>6</v>
      </c>
      <c r="F10" s="166" t="s">
        <v>266</v>
      </c>
      <c r="G10" s="149">
        <v>43318</v>
      </c>
      <c r="H10" s="115" t="s">
        <v>136</v>
      </c>
    </row>
    <row r="11" spans="1:12" s="17" customFormat="1" ht="13.2" x14ac:dyDescent="0.25">
      <c r="A11" s="241" t="s">
        <v>85</v>
      </c>
      <c r="B11" s="116">
        <f>1546</f>
        <v>1546</v>
      </c>
      <c r="C11" s="154">
        <f>40 + 5+10</f>
        <v>55</v>
      </c>
      <c r="D11" s="147">
        <f t="shared" si="0"/>
        <v>1601</v>
      </c>
      <c r="E11" s="117">
        <f t="shared" si="1"/>
        <v>25</v>
      </c>
      <c r="F11" s="141" t="s">
        <v>267</v>
      </c>
      <c r="G11" s="118">
        <v>40725</v>
      </c>
      <c r="H11" s="107" t="s">
        <v>192</v>
      </c>
    </row>
    <row r="12" spans="1:12" s="17" customFormat="1" ht="13.2" x14ac:dyDescent="0.25">
      <c r="A12" s="241" t="s">
        <v>86</v>
      </c>
      <c r="B12" s="116">
        <f>(75*18)+40</f>
        <v>1390</v>
      </c>
      <c r="C12" s="154"/>
      <c r="D12" s="147">
        <f t="shared" si="0"/>
        <v>1390</v>
      </c>
      <c r="E12" s="117">
        <f t="shared" si="1"/>
        <v>33</v>
      </c>
      <c r="F12" s="17" t="s">
        <v>193</v>
      </c>
      <c r="G12" s="118">
        <v>39356</v>
      </c>
      <c r="H12" s="107" t="s">
        <v>9</v>
      </c>
    </row>
    <row r="13" spans="1:12" s="17" customFormat="1" ht="13.2" x14ac:dyDescent="0.25">
      <c r="A13" s="241" t="s">
        <v>87</v>
      </c>
      <c r="B13" s="116">
        <f>1322</f>
        <v>1322</v>
      </c>
      <c r="C13" s="155">
        <f>11.5+35.15</f>
        <v>46.65</v>
      </c>
      <c r="D13" s="147">
        <f t="shared" si="0"/>
        <v>1368.65</v>
      </c>
      <c r="E13" s="117">
        <f t="shared" si="1"/>
        <v>35</v>
      </c>
      <c r="F13" s="17" t="s">
        <v>144</v>
      </c>
      <c r="G13" s="118">
        <v>40057</v>
      </c>
      <c r="H13" s="107" t="s">
        <v>143</v>
      </c>
    </row>
    <row r="14" spans="1:12" s="17" customFormat="1" ht="13.2" x14ac:dyDescent="0.25">
      <c r="A14" s="241" t="s">
        <v>88</v>
      </c>
      <c r="B14" s="116">
        <f>725</f>
        <v>725</v>
      </c>
      <c r="C14" s="155">
        <f>4.8+ 275</f>
        <v>279.8</v>
      </c>
      <c r="D14" s="147">
        <f t="shared" si="0"/>
        <v>1004.8</v>
      </c>
      <c r="E14" s="117">
        <f t="shared" si="1"/>
        <v>42</v>
      </c>
      <c r="F14" s="17" t="s">
        <v>178</v>
      </c>
      <c r="G14" s="118">
        <v>41640</v>
      </c>
      <c r="H14" s="107" t="s">
        <v>194</v>
      </c>
    </row>
    <row r="15" spans="1:12" s="17" customFormat="1" ht="66" x14ac:dyDescent="0.25">
      <c r="A15" s="241" t="s">
        <v>195</v>
      </c>
      <c r="B15" s="116">
        <v>2093</v>
      </c>
      <c r="C15" s="155">
        <f>2*(300+45+20+5+0.5+7)</f>
        <v>755</v>
      </c>
      <c r="D15" s="147">
        <f t="shared" si="0"/>
        <v>2848</v>
      </c>
      <c r="E15" s="117">
        <f t="shared" si="1"/>
        <v>9</v>
      </c>
      <c r="F15" s="141" t="s">
        <v>258</v>
      </c>
      <c r="G15" s="118">
        <v>43101</v>
      </c>
      <c r="H15" s="107" t="s">
        <v>274</v>
      </c>
    </row>
    <row r="16" spans="1:12" s="17" customFormat="1" ht="26.4" x14ac:dyDescent="0.25">
      <c r="A16" s="241" t="s">
        <v>89</v>
      </c>
      <c r="B16" s="116">
        <f>3360</f>
        <v>3360</v>
      </c>
      <c r="C16" s="155">
        <f>11.2+ 25</f>
        <v>36.200000000000003</v>
      </c>
      <c r="D16" s="147">
        <f t="shared" si="0"/>
        <v>3396.2</v>
      </c>
      <c r="E16" s="117">
        <f t="shared" si="1"/>
        <v>3</v>
      </c>
      <c r="F16" s="17" t="s">
        <v>246</v>
      </c>
      <c r="G16" s="118">
        <v>42186</v>
      </c>
      <c r="H16" s="107" t="s">
        <v>145</v>
      </c>
    </row>
    <row r="17" spans="1:8" s="17" customFormat="1" ht="39.6" x14ac:dyDescent="0.25">
      <c r="A17" s="241" t="s">
        <v>196</v>
      </c>
      <c r="B17" s="147">
        <f>2890+19</f>
        <v>2909</v>
      </c>
      <c r="C17" s="188">
        <f>1.9</f>
        <v>1.9</v>
      </c>
      <c r="D17" s="147">
        <f t="shared" si="0"/>
        <v>2910.9</v>
      </c>
      <c r="E17" s="165">
        <f t="shared" si="1"/>
        <v>8</v>
      </c>
      <c r="F17" s="141" t="s">
        <v>344</v>
      </c>
      <c r="G17" s="149">
        <v>43922</v>
      </c>
      <c r="H17" s="107" t="s">
        <v>146</v>
      </c>
    </row>
    <row r="18" spans="1:8" s="17" customFormat="1" ht="26.4" x14ac:dyDescent="0.25">
      <c r="A18" s="241" t="s">
        <v>236</v>
      </c>
      <c r="B18" s="116">
        <f>1692</f>
        <v>1692</v>
      </c>
      <c r="C18" s="155">
        <f>572+6+77+15</f>
        <v>670</v>
      </c>
      <c r="D18" s="147">
        <f t="shared" si="0"/>
        <v>2362</v>
      </c>
      <c r="E18" s="117">
        <f t="shared" si="1"/>
        <v>14</v>
      </c>
      <c r="F18" s="175" t="s">
        <v>256</v>
      </c>
      <c r="G18" s="118">
        <v>43831</v>
      </c>
      <c r="H18" s="107" t="s">
        <v>190</v>
      </c>
    </row>
    <row r="19" spans="1:8" s="17" customFormat="1" ht="26.4" x14ac:dyDescent="0.25">
      <c r="A19" s="241" t="s">
        <v>90</v>
      </c>
      <c r="B19" s="116">
        <f xml:space="preserve"> 1695</f>
        <v>1695</v>
      </c>
      <c r="C19" s="155">
        <f xml:space="preserve"> 30</f>
        <v>30</v>
      </c>
      <c r="D19" s="147">
        <f t="shared" si="0"/>
        <v>1725</v>
      </c>
      <c r="E19" s="117">
        <f t="shared" si="1"/>
        <v>23</v>
      </c>
      <c r="F19" s="17" t="s">
        <v>148</v>
      </c>
      <c r="G19" s="118">
        <v>44682</v>
      </c>
      <c r="H19" s="107" t="s">
        <v>147</v>
      </c>
    </row>
    <row r="20" spans="1:8" s="17" customFormat="1" ht="13.2" x14ac:dyDescent="0.25">
      <c r="A20" s="241" t="s">
        <v>91</v>
      </c>
      <c r="B20" s="116">
        <f>1870</f>
        <v>1870</v>
      </c>
      <c r="C20" s="155">
        <f>400 +44+4</f>
        <v>448</v>
      </c>
      <c r="D20" s="147">
        <f t="shared" si="0"/>
        <v>2318</v>
      </c>
      <c r="E20" s="117">
        <f t="shared" si="1"/>
        <v>15</v>
      </c>
      <c r="F20" s="17" t="s">
        <v>179</v>
      </c>
      <c r="G20" s="118">
        <v>42005</v>
      </c>
      <c r="H20" s="107" t="s">
        <v>149</v>
      </c>
    </row>
    <row r="21" spans="1:8" s="17" customFormat="1" ht="26.4" x14ac:dyDescent="0.25">
      <c r="A21" s="241" t="s">
        <v>237</v>
      </c>
      <c r="B21" s="116">
        <f>1410</f>
        <v>1410</v>
      </c>
      <c r="C21" s="155">
        <f>19.5</f>
        <v>19.5</v>
      </c>
      <c r="D21" s="147">
        <f t="shared" si="0"/>
        <v>1429.5</v>
      </c>
      <c r="E21" s="117">
        <f t="shared" si="1"/>
        <v>30</v>
      </c>
      <c r="F21" s="17" t="s">
        <v>200</v>
      </c>
      <c r="G21" s="118">
        <v>44927</v>
      </c>
      <c r="H21" s="107" t="s">
        <v>150</v>
      </c>
    </row>
    <row r="22" spans="1:8" s="17" customFormat="1" ht="26.4" x14ac:dyDescent="0.25">
      <c r="A22" s="241" t="s">
        <v>197</v>
      </c>
      <c r="B22" s="116">
        <f>0.63*800</f>
        <v>504</v>
      </c>
      <c r="C22" s="155">
        <f>7</f>
        <v>7</v>
      </c>
      <c r="D22" s="147">
        <f t="shared" si="0"/>
        <v>511</v>
      </c>
      <c r="E22" s="117">
        <f t="shared" si="1"/>
        <v>49</v>
      </c>
      <c r="F22" s="17" t="s">
        <v>201</v>
      </c>
      <c r="G22" s="118">
        <v>40544</v>
      </c>
      <c r="H22" s="107" t="s">
        <v>151</v>
      </c>
    </row>
    <row r="23" spans="1:8" s="17" customFormat="1" ht="13.2" x14ac:dyDescent="0.25">
      <c r="A23" s="241" t="s">
        <v>198</v>
      </c>
      <c r="B23" s="116">
        <f>837</f>
        <v>837</v>
      </c>
      <c r="C23" s="154">
        <f>(F61*0.004) +20</f>
        <v>537.68000000000006</v>
      </c>
      <c r="D23" s="147">
        <f t="shared" si="0"/>
        <v>1374.68</v>
      </c>
      <c r="E23" s="117">
        <f t="shared" si="1"/>
        <v>34</v>
      </c>
      <c r="F23" s="17" t="s">
        <v>202</v>
      </c>
      <c r="G23" s="118">
        <v>39692</v>
      </c>
      <c r="H23" s="107" t="s">
        <v>199</v>
      </c>
    </row>
    <row r="24" spans="1:8" s="17" customFormat="1" ht="13.2" x14ac:dyDescent="0.25">
      <c r="A24" s="241" t="s">
        <v>92</v>
      </c>
      <c r="B24" s="116">
        <f>1800</f>
        <v>1800</v>
      </c>
      <c r="C24" s="155">
        <f xml:space="preserve"> (76.5/2)</f>
        <v>38.25</v>
      </c>
      <c r="D24" s="147">
        <f t="shared" si="0"/>
        <v>1838.25</v>
      </c>
      <c r="E24" s="117">
        <f t="shared" si="1"/>
        <v>19</v>
      </c>
      <c r="F24" s="17" t="s">
        <v>203</v>
      </c>
      <c r="G24" s="118">
        <v>41656</v>
      </c>
      <c r="H24" s="107" t="s">
        <v>180</v>
      </c>
    </row>
    <row r="25" spans="1:8" s="17" customFormat="1" ht="13.2" x14ac:dyDescent="0.25">
      <c r="A25" s="241" t="s">
        <v>229</v>
      </c>
      <c r="B25" s="116">
        <f>80*20</f>
        <v>1600</v>
      </c>
      <c r="C25" s="155">
        <f>(300/5)</f>
        <v>60</v>
      </c>
      <c r="D25" s="147">
        <f t="shared" si="0"/>
        <v>1660</v>
      </c>
      <c r="E25" s="117">
        <f t="shared" si="1"/>
        <v>24</v>
      </c>
      <c r="F25" s="17" t="s">
        <v>204</v>
      </c>
      <c r="G25" s="118">
        <v>40087</v>
      </c>
      <c r="H25" s="121" t="s">
        <v>152</v>
      </c>
    </row>
    <row r="26" spans="1:8" s="17" customFormat="1" ht="26.4" x14ac:dyDescent="0.25">
      <c r="A26" s="241" t="s">
        <v>93</v>
      </c>
      <c r="B26" s="116">
        <f>1992</f>
        <v>1992</v>
      </c>
      <c r="C26" s="155">
        <f>39</f>
        <v>39</v>
      </c>
      <c r="D26" s="147">
        <f t="shared" si="0"/>
        <v>2031</v>
      </c>
      <c r="E26" s="117">
        <f t="shared" si="1"/>
        <v>18</v>
      </c>
      <c r="F26" s="17" t="s">
        <v>94</v>
      </c>
      <c r="G26" s="118">
        <v>43831</v>
      </c>
      <c r="H26" s="107" t="s">
        <v>153</v>
      </c>
    </row>
    <row r="27" spans="1:8" s="17" customFormat="1" ht="13.2" x14ac:dyDescent="0.25">
      <c r="A27" s="241" t="s">
        <v>206</v>
      </c>
      <c r="B27" s="116">
        <f>1760</f>
        <v>1760</v>
      </c>
      <c r="C27" s="154">
        <v>0</v>
      </c>
      <c r="D27" s="147">
        <f t="shared" si="0"/>
        <v>1760</v>
      </c>
      <c r="E27" s="117">
        <f t="shared" si="1"/>
        <v>21</v>
      </c>
      <c r="F27" s="17" t="s">
        <v>205</v>
      </c>
      <c r="G27" s="118">
        <v>44470</v>
      </c>
      <c r="H27" s="121" t="s">
        <v>154</v>
      </c>
    </row>
    <row r="28" spans="1:8" s="17" customFormat="1" ht="26.4" x14ac:dyDescent="0.25">
      <c r="A28" s="241" t="s">
        <v>207</v>
      </c>
      <c r="B28" s="116">
        <f>1512</f>
        <v>1512</v>
      </c>
      <c r="C28" s="155">
        <f>1785.71+(10+10)</f>
        <v>1805.71</v>
      </c>
      <c r="D28" s="147">
        <f t="shared" si="0"/>
        <v>3317.71</v>
      </c>
      <c r="E28" s="117">
        <f t="shared" si="1"/>
        <v>4</v>
      </c>
      <c r="F28" s="141" t="s">
        <v>407</v>
      </c>
      <c r="G28" s="118">
        <v>44378</v>
      </c>
      <c r="H28" s="107" t="s">
        <v>6</v>
      </c>
    </row>
    <row r="29" spans="1:8" s="17" customFormat="1" ht="13.2" x14ac:dyDescent="0.25">
      <c r="A29" s="241" t="s">
        <v>208</v>
      </c>
      <c r="B29" s="116">
        <f>1050.5</f>
        <v>1050.5</v>
      </c>
      <c r="C29" s="154">
        <f xml:space="preserve"> 699 + (52.5/10)</f>
        <v>704.25</v>
      </c>
      <c r="D29" s="147">
        <f t="shared" si="0"/>
        <v>1754.75</v>
      </c>
      <c r="E29" s="117">
        <f t="shared" si="1"/>
        <v>22</v>
      </c>
      <c r="F29" s="17" t="s">
        <v>209</v>
      </c>
      <c r="G29" s="118">
        <v>33478</v>
      </c>
      <c r="H29" s="127" t="s">
        <v>7</v>
      </c>
    </row>
    <row r="30" spans="1:8" s="17" customFormat="1" ht="13.2" x14ac:dyDescent="0.25">
      <c r="A30" s="241" t="s">
        <v>211</v>
      </c>
      <c r="B30" s="116">
        <f>22.75</f>
        <v>22.75</v>
      </c>
      <c r="C30" s="155">
        <f>750+195+(148.25/10)</f>
        <v>959.82500000000005</v>
      </c>
      <c r="D30" s="147">
        <f t="shared" si="0"/>
        <v>982.57500000000005</v>
      </c>
      <c r="E30" s="117">
        <f t="shared" si="1"/>
        <v>44</v>
      </c>
      <c r="F30" s="17" t="s">
        <v>210</v>
      </c>
      <c r="G30" s="118">
        <v>43101</v>
      </c>
      <c r="H30" s="127" t="s">
        <v>8</v>
      </c>
    </row>
    <row r="31" spans="1:8" s="17" customFormat="1" ht="26.4" x14ac:dyDescent="0.25">
      <c r="A31" s="241" t="s">
        <v>95</v>
      </c>
      <c r="B31" s="116">
        <f>35*40</f>
        <v>1400</v>
      </c>
      <c r="C31" s="155">
        <f>5.5</f>
        <v>5.5</v>
      </c>
      <c r="D31" s="147">
        <f t="shared" si="0"/>
        <v>1405.5</v>
      </c>
      <c r="E31" s="117">
        <f t="shared" si="1"/>
        <v>31</v>
      </c>
      <c r="F31" s="141" t="s">
        <v>268</v>
      </c>
      <c r="G31" s="118">
        <v>44378</v>
      </c>
      <c r="H31" s="107" t="s">
        <v>155</v>
      </c>
    </row>
    <row r="32" spans="1:8" s="17" customFormat="1" ht="13.2" x14ac:dyDescent="0.25">
      <c r="A32" s="241" t="s">
        <v>213</v>
      </c>
      <c r="B32" s="116">
        <f>1360</f>
        <v>1360</v>
      </c>
      <c r="C32" s="154">
        <f>(F62*0.00452)+24</f>
        <v>688.54248214079996</v>
      </c>
      <c r="D32" s="147">
        <f t="shared" si="0"/>
        <v>2048.5424821408001</v>
      </c>
      <c r="E32" s="117">
        <f t="shared" si="1"/>
        <v>17</v>
      </c>
      <c r="F32" s="17" t="s">
        <v>212</v>
      </c>
      <c r="G32" s="118">
        <v>44927</v>
      </c>
      <c r="H32" s="107" t="s">
        <v>156</v>
      </c>
    </row>
    <row r="33" spans="1:8" s="17" customFormat="1" ht="13.2" x14ac:dyDescent="0.25">
      <c r="A33" s="243" t="s">
        <v>96</v>
      </c>
      <c r="B33" s="199">
        <f>800.16</f>
        <v>800.16</v>
      </c>
      <c r="C33" s="156">
        <v>0</v>
      </c>
      <c r="D33" s="186">
        <f t="shared" si="0"/>
        <v>800.16</v>
      </c>
      <c r="E33" s="128">
        <f t="shared" si="1"/>
        <v>47</v>
      </c>
      <c r="F33" s="96" t="s">
        <v>214</v>
      </c>
      <c r="G33" s="129">
        <v>39264</v>
      </c>
      <c r="H33" s="107" t="s">
        <v>157</v>
      </c>
    </row>
    <row r="34" spans="1:8" s="17" customFormat="1" ht="13.2" x14ac:dyDescent="0.25">
      <c r="A34" s="244" t="s">
        <v>97</v>
      </c>
      <c r="B34" s="200">
        <f>1223</f>
        <v>1223</v>
      </c>
      <c r="C34" s="157">
        <f>(213.75/10)</f>
        <v>21.375</v>
      </c>
      <c r="D34" s="187">
        <f t="shared" si="0"/>
        <v>1244.375</v>
      </c>
      <c r="E34" s="130">
        <f t="shared" si="1"/>
        <v>37</v>
      </c>
      <c r="F34" s="97" t="s">
        <v>159</v>
      </c>
      <c r="G34" s="131">
        <v>43544</v>
      </c>
      <c r="H34" s="127" t="s">
        <v>158</v>
      </c>
    </row>
    <row r="35" spans="1:8" s="17" customFormat="1" ht="13.2" x14ac:dyDescent="0.25">
      <c r="A35" s="241" t="s">
        <v>98</v>
      </c>
      <c r="B35" s="116">
        <f>172</f>
        <v>172</v>
      </c>
      <c r="C35" s="155">
        <f>27+6</f>
        <v>33</v>
      </c>
      <c r="D35" s="147">
        <f t="shared" si="0"/>
        <v>205</v>
      </c>
      <c r="E35" s="117">
        <f t="shared" si="1"/>
        <v>50</v>
      </c>
      <c r="F35" s="17" t="s">
        <v>161</v>
      </c>
      <c r="G35" s="118">
        <v>38047</v>
      </c>
      <c r="H35" s="107" t="s">
        <v>160</v>
      </c>
    </row>
    <row r="36" spans="1:8" s="17" customFormat="1" ht="13.2" x14ac:dyDescent="0.25">
      <c r="A36" s="241" t="s">
        <v>99</v>
      </c>
      <c r="B36" s="116">
        <f>968</f>
        <v>968</v>
      </c>
      <c r="C36" s="155">
        <f>240+ (29/2)</f>
        <v>254.5</v>
      </c>
      <c r="D36" s="147">
        <f t="shared" si="0"/>
        <v>1222.5</v>
      </c>
      <c r="E36" s="117">
        <f t="shared" si="1"/>
        <v>38</v>
      </c>
      <c r="F36" s="141" t="s">
        <v>269</v>
      </c>
      <c r="G36" s="118">
        <v>40058</v>
      </c>
      <c r="H36" s="121" t="s">
        <v>162</v>
      </c>
    </row>
    <row r="37" spans="1:8" s="17" customFormat="1" ht="13.2" x14ac:dyDescent="0.25">
      <c r="A37" s="241" t="s">
        <v>100</v>
      </c>
      <c r="B37" s="116">
        <v>1804.25</v>
      </c>
      <c r="C37" s="154">
        <v>24</v>
      </c>
      <c r="D37" s="147">
        <f t="shared" ref="D37:D54" si="2">B37+C37</f>
        <v>1828.25</v>
      </c>
      <c r="E37" s="117">
        <f t="shared" ref="E37:E54" si="3">RANK(D37,D$5:D$54)</f>
        <v>20</v>
      </c>
      <c r="F37" s="17" t="s">
        <v>247</v>
      </c>
      <c r="G37" s="118">
        <v>44013</v>
      </c>
      <c r="H37" s="127" t="s">
        <v>163</v>
      </c>
    </row>
    <row r="38" spans="1:8" s="17" customFormat="1" ht="13.2" x14ac:dyDescent="0.25">
      <c r="A38" s="241" t="s">
        <v>230</v>
      </c>
      <c r="B38" s="116">
        <f>1059</f>
        <v>1059</v>
      </c>
      <c r="C38" s="155">
        <f>20</f>
        <v>20</v>
      </c>
      <c r="D38" s="147">
        <f t="shared" si="2"/>
        <v>1079</v>
      </c>
      <c r="E38" s="117">
        <f t="shared" si="3"/>
        <v>39</v>
      </c>
      <c r="F38" s="17" t="s">
        <v>215</v>
      </c>
      <c r="G38" s="118">
        <v>44927</v>
      </c>
      <c r="H38" s="107" t="s">
        <v>164</v>
      </c>
    </row>
    <row r="39" spans="1:8" s="17" customFormat="1" ht="26.4" x14ac:dyDescent="0.25">
      <c r="A39" s="241" t="s">
        <v>101</v>
      </c>
      <c r="B39" s="116">
        <f>1395</f>
        <v>1395</v>
      </c>
      <c r="C39" s="155">
        <f>11+39.5+20+3.5</f>
        <v>74</v>
      </c>
      <c r="D39" s="147">
        <f t="shared" si="2"/>
        <v>1469</v>
      </c>
      <c r="E39" s="117">
        <f t="shared" si="3"/>
        <v>28</v>
      </c>
      <c r="F39" s="17" t="s">
        <v>216</v>
      </c>
      <c r="G39" s="118">
        <v>43101</v>
      </c>
      <c r="H39" s="107" t="s">
        <v>165</v>
      </c>
    </row>
    <row r="40" spans="1:8" s="17" customFormat="1" ht="13.2" x14ac:dyDescent="0.25">
      <c r="A40" s="241" t="s">
        <v>231</v>
      </c>
      <c r="B40" s="116">
        <f>948</f>
        <v>948</v>
      </c>
      <c r="C40" s="155">
        <f>100+(48/10) + 6</f>
        <v>110.8</v>
      </c>
      <c r="D40" s="147">
        <f t="shared" si="2"/>
        <v>1058.8</v>
      </c>
      <c r="E40" s="117">
        <f t="shared" si="3"/>
        <v>41</v>
      </c>
      <c r="F40" s="141" t="s">
        <v>260</v>
      </c>
      <c r="G40" s="118">
        <v>43344</v>
      </c>
      <c r="H40" s="127" t="s">
        <v>166</v>
      </c>
    </row>
    <row r="41" spans="1:8" s="17" customFormat="1" ht="13.2" x14ac:dyDescent="0.25">
      <c r="A41" s="245" t="s">
        <v>257</v>
      </c>
      <c r="B41" s="147">
        <f>998</f>
        <v>998</v>
      </c>
      <c r="C41" s="158">
        <f>(10/10)</f>
        <v>1</v>
      </c>
      <c r="D41" s="147">
        <f t="shared" si="2"/>
        <v>999</v>
      </c>
      <c r="E41" s="148">
        <f t="shared" si="3"/>
        <v>43</v>
      </c>
      <c r="F41" s="17" t="s">
        <v>140</v>
      </c>
      <c r="G41" s="118">
        <v>40179</v>
      </c>
      <c r="H41" s="107" t="s">
        <v>141</v>
      </c>
    </row>
    <row r="42" spans="1:8" s="17" customFormat="1" ht="13.2" x14ac:dyDescent="0.25">
      <c r="A42" s="241" t="s">
        <v>232</v>
      </c>
      <c r="B42" s="116">
        <v>2584</v>
      </c>
      <c r="C42" s="154">
        <f>180+35</f>
        <v>215</v>
      </c>
      <c r="D42" s="147">
        <f t="shared" si="2"/>
        <v>2799</v>
      </c>
      <c r="E42" s="117">
        <f t="shared" si="3"/>
        <v>10</v>
      </c>
      <c r="F42" s="141" t="s">
        <v>261</v>
      </c>
      <c r="G42" s="118">
        <v>44378</v>
      </c>
      <c r="H42" s="107" t="s">
        <v>167</v>
      </c>
    </row>
    <row r="43" spans="1:8" s="17" customFormat="1" ht="13.2" x14ac:dyDescent="0.25">
      <c r="A43" s="241" t="s">
        <v>102</v>
      </c>
      <c r="B43" s="116">
        <f xml:space="preserve"> 1044</f>
        <v>1044</v>
      </c>
      <c r="C43" s="155">
        <f xml:space="preserve"> (1.5* 10)+ 1.5</f>
        <v>16.5</v>
      </c>
      <c r="D43" s="147">
        <f t="shared" si="2"/>
        <v>1060.5</v>
      </c>
      <c r="E43" s="117">
        <f t="shared" si="3"/>
        <v>40</v>
      </c>
      <c r="F43" s="17" t="s">
        <v>217</v>
      </c>
      <c r="G43" s="118">
        <v>43002</v>
      </c>
      <c r="H43" s="127" t="s">
        <v>169</v>
      </c>
    </row>
    <row r="44" spans="1:8" s="17" customFormat="1" ht="13.2" x14ac:dyDescent="0.25">
      <c r="A44" s="241" t="s">
        <v>103</v>
      </c>
      <c r="B44" s="116">
        <f>800</f>
        <v>800</v>
      </c>
      <c r="C44" s="155">
        <f>(F61*0.9*1*0.0263*1) + (20/2)</f>
        <v>3073.3714</v>
      </c>
      <c r="D44" s="147">
        <f t="shared" si="2"/>
        <v>3873.3714</v>
      </c>
      <c r="E44" s="117">
        <f t="shared" si="3"/>
        <v>2</v>
      </c>
      <c r="F44" s="141" t="s">
        <v>270</v>
      </c>
      <c r="G44" s="118">
        <v>44927</v>
      </c>
      <c r="H44" s="127" t="s">
        <v>170</v>
      </c>
    </row>
    <row r="45" spans="1:8" s="17" customFormat="1" ht="13.2" x14ac:dyDescent="0.25">
      <c r="A45" s="241" t="s">
        <v>233</v>
      </c>
      <c r="B45" s="116">
        <f>1457</f>
        <v>1457</v>
      </c>
      <c r="C45" s="155">
        <f>(10/10)</f>
        <v>1</v>
      </c>
      <c r="D45" s="147">
        <f t="shared" si="2"/>
        <v>1458</v>
      </c>
      <c r="E45" s="117">
        <f t="shared" si="3"/>
        <v>29</v>
      </c>
      <c r="F45" s="17" t="s">
        <v>218</v>
      </c>
      <c r="G45" s="118">
        <v>40725</v>
      </c>
      <c r="H45" s="107" t="s">
        <v>171</v>
      </c>
    </row>
    <row r="46" spans="1:8" s="17" customFormat="1" ht="13.2" x14ac:dyDescent="0.25">
      <c r="A46" s="241" t="s">
        <v>104</v>
      </c>
      <c r="B46" s="116">
        <f>1386</f>
        <v>1386</v>
      </c>
      <c r="C46" s="154">
        <v>5</v>
      </c>
      <c r="D46" s="147">
        <f t="shared" si="2"/>
        <v>1391</v>
      </c>
      <c r="E46" s="117">
        <f t="shared" si="3"/>
        <v>32</v>
      </c>
      <c r="F46" s="17" t="s">
        <v>219</v>
      </c>
      <c r="G46" s="118">
        <v>42917</v>
      </c>
      <c r="H46" s="121" t="s">
        <v>174</v>
      </c>
    </row>
    <row r="47" spans="1:8" s="17" customFormat="1" ht="26.4" x14ac:dyDescent="0.25">
      <c r="A47" s="241" t="s">
        <v>105</v>
      </c>
      <c r="B47" s="116">
        <f>840</f>
        <v>840</v>
      </c>
      <c r="C47" s="155">
        <f>54+1+1</f>
        <v>56</v>
      </c>
      <c r="D47" s="147">
        <f t="shared" si="2"/>
        <v>896</v>
      </c>
      <c r="E47" s="117">
        <f t="shared" si="3"/>
        <v>45</v>
      </c>
      <c r="F47" s="17" t="s">
        <v>173</v>
      </c>
      <c r="G47" s="118">
        <v>40794</v>
      </c>
      <c r="H47" s="107" t="s">
        <v>172</v>
      </c>
    </row>
    <row r="48" spans="1:8" s="17" customFormat="1" ht="26.4" x14ac:dyDescent="0.25">
      <c r="A48" s="241" t="s">
        <v>221</v>
      </c>
      <c r="B48" s="116">
        <v>708.25</v>
      </c>
      <c r="C48" s="154">
        <f>600+6+13</f>
        <v>619</v>
      </c>
      <c r="D48" s="147">
        <f t="shared" si="2"/>
        <v>1327.25</v>
      </c>
      <c r="E48" s="117">
        <f t="shared" si="3"/>
        <v>36</v>
      </c>
      <c r="F48" s="141" t="s">
        <v>259</v>
      </c>
      <c r="G48" s="118">
        <v>44927</v>
      </c>
      <c r="H48" s="107" t="s">
        <v>220</v>
      </c>
    </row>
    <row r="49" spans="1:8" s="17" customFormat="1" ht="26.4" x14ac:dyDescent="0.25">
      <c r="A49" s="241" t="s">
        <v>106</v>
      </c>
      <c r="B49" s="116">
        <f>2328</f>
        <v>2328</v>
      </c>
      <c r="C49" s="155">
        <f>52+7.5</f>
        <v>59.5</v>
      </c>
      <c r="D49" s="147">
        <f t="shared" si="2"/>
        <v>2387.5</v>
      </c>
      <c r="E49" s="117">
        <f t="shared" si="3"/>
        <v>13</v>
      </c>
      <c r="F49" s="17" t="s">
        <v>248</v>
      </c>
      <c r="G49" s="118">
        <v>42552</v>
      </c>
      <c r="H49" s="107" t="s">
        <v>1</v>
      </c>
    </row>
    <row r="50" spans="1:8" s="17" customFormat="1" ht="26.4" x14ac:dyDescent="0.25">
      <c r="A50" s="241" t="s">
        <v>222</v>
      </c>
      <c r="B50" s="116">
        <v>1888</v>
      </c>
      <c r="C50" s="155">
        <f xml:space="preserve"> 560 + (100/10)</f>
        <v>570</v>
      </c>
      <c r="D50" s="147">
        <f t="shared" si="2"/>
        <v>2458</v>
      </c>
      <c r="E50" s="117">
        <f t="shared" si="3"/>
        <v>12</v>
      </c>
      <c r="F50" s="141" t="s">
        <v>271</v>
      </c>
      <c r="G50" s="118">
        <v>44013</v>
      </c>
      <c r="H50" s="127" t="s">
        <v>2</v>
      </c>
    </row>
    <row r="51" spans="1:8" s="17" customFormat="1" ht="26.4" x14ac:dyDescent="0.25">
      <c r="A51" s="241" t="s">
        <v>107</v>
      </c>
      <c r="B51" s="116">
        <v>1830</v>
      </c>
      <c r="C51" s="155">
        <f>16 + 275+ 3.6</f>
        <v>294.60000000000002</v>
      </c>
      <c r="D51" s="147">
        <f t="shared" si="2"/>
        <v>2124.6</v>
      </c>
      <c r="E51" s="117">
        <f t="shared" si="3"/>
        <v>16</v>
      </c>
      <c r="F51" s="141" t="s">
        <v>272</v>
      </c>
      <c r="G51" s="118">
        <v>44743</v>
      </c>
      <c r="H51" s="107" t="s">
        <v>3</v>
      </c>
    </row>
    <row r="52" spans="1:8" s="17" customFormat="1" ht="26.4" x14ac:dyDescent="0.25">
      <c r="A52" s="241" t="s">
        <v>234</v>
      </c>
      <c r="B52" s="116">
        <f>1131.25</f>
        <v>1131.25</v>
      </c>
      <c r="C52" s="155">
        <f xml:space="preserve"> (F61*0.013738)+5.1</f>
        <v>1783.07196</v>
      </c>
      <c r="D52" s="147">
        <f t="shared" si="2"/>
        <v>2914.3219600000002</v>
      </c>
      <c r="E52" s="117">
        <f t="shared" si="3"/>
        <v>7</v>
      </c>
      <c r="F52" s="141" t="s">
        <v>273</v>
      </c>
      <c r="G52" s="118">
        <v>43831</v>
      </c>
      <c r="H52" s="127" t="s">
        <v>4</v>
      </c>
    </row>
    <row r="53" spans="1:8" s="17" customFormat="1" ht="13.2" x14ac:dyDescent="0.25">
      <c r="A53" s="241" t="s">
        <v>108</v>
      </c>
      <c r="B53" s="116">
        <f xml:space="preserve"> 2578</f>
        <v>2578</v>
      </c>
      <c r="C53" s="154">
        <v>5</v>
      </c>
      <c r="D53" s="147">
        <f t="shared" si="2"/>
        <v>2583</v>
      </c>
      <c r="E53" s="117">
        <f t="shared" si="3"/>
        <v>11</v>
      </c>
      <c r="F53" s="17" t="s">
        <v>137</v>
      </c>
      <c r="G53" s="118">
        <v>43739</v>
      </c>
      <c r="H53" s="127" t="s">
        <v>5</v>
      </c>
    </row>
    <row r="54" spans="1:8" s="17" customFormat="1" ht="27" thickBot="1" x14ac:dyDescent="0.3">
      <c r="A54" s="246" t="s">
        <v>223</v>
      </c>
      <c r="B54" s="168">
        <v>907.5</v>
      </c>
      <c r="C54" s="168">
        <f>(F62*0.0045)+15+6</f>
        <v>682.60202867999988</v>
      </c>
      <c r="D54" s="169">
        <f t="shared" si="2"/>
        <v>1590.1020286799999</v>
      </c>
      <c r="E54" s="170">
        <f t="shared" si="3"/>
        <v>26</v>
      </c>
      <c r="F54" s="171" t="s">
        <v>224</v>
      </c>
      <c r="G54" s="172">
        <v>45108</v>
      </c>
      <c r="H54" s="173" t="s">
        <v>175</v>
      </c>
    </row>
    <row r="55" spans="1:8" x14ac:dyDescent="0.3">
      <c r="C55" s="167"/>
      <c r="D55" s="122" t="s">
        <v>134</v>
      </c>
      <c r="H55" s="124"/>
    </row>
    <row r="56" spans="1:8" customFormat="1" x14ac:dyDescent="0.3">
      <c r="A56" s="8" t="s">
        <v>14</v>
      </c>
      <c r="B56" s="8"/>
      <c r="C56" s="160"/>
      <c r="D56" s="125"/>
      <c r="G56" s="2"/>
      <c r="H56" s="5"/>
    </row>
    <row r="57" spans="1:8" customFormat="1" x14ac:dyDescent="0.3">
      <c r="C57" s="161"/>
      <c r="D57" s="125" t="s">
        <v>11</v>
      </c>
      <c r="G57" s="2"/>
      <c r="H57" s="4"/>
    </row>
    <row r="58" spans="1:8" customFormat="1" x14ac:dyDescent="0.3">
      <c r="C58" s="161"/>
      <c r="D58" s="125" t="s">
        <v>12</v>
      </c>
      <c r="G58" s="2"/>
      <c r="H58" s="4"/>
    </row>
    <row r="59" spans="1:8" customFormat="1" x14ac:dyDescent="0.3">
      <c r="C59" s="161"/>
      <c r="D59" s="125" t="s">
        <v>13</v>
      </c>
      <c r="G59" s="2"/>
      <c r="H59" s="4"/>
    </row>
    <row r="60" spans="1:8" customFormat="1" x14ac:dyDescent="0.3">
      <c r="A60" t="s">
        <v>10</v>
      </c>
      <c r="C60" s="161"/>
      <c r="D60" s="125"/>
      <c r="G60" s="3"/>
      <c r="H60" s="4"/>
    </row>
    <row r="61" spans="1:8" customFormat="1" x14ac:dyDescent="0.3">
      <c r="A61" s="126" t="s">
        <v>242</v>
      </c>
      <c r="B61" s="126" t="s">
        <v>243</v>
      </c>
      <c r="C61" s="162"/>
      <c r="D61" s="95" t="str">
        <f>Assumptions!C16</f>
        <v>2023</v>
      </c>
      <c r="E61" s="126" t="s">
        <v>244</v>
      </c>
      <c r="F61" s="15">
        <f>Assumptions!F19</f>
        <v>129420</v>
      </c>
      <c r="G61" s="3"/>
      <c r="H61" s="4"/>
    </row>
    <row r="62" spans="1:8" customFormat="1" x14ac:dyDescent="0.3">
      <c r="A62" s="247"/>
      <c r="B62" s="91" t="s">
        <v>245</v>
      </c>
      <c r="C62" s="161"/>
      <c r="D62" s="95" t="str">
        <f>Assumptions!B15</f>
        <v>2018</v>
      </c>
      <c r="F62" s="15">
        <f>Assumptions!B19</f>
        <v>147022.67303999999</v>
      </c>
      <c r="G62" s="3"/>
      <c r="H62" s="4"/>
    </row>
    <row r="63" spans="1:8" customFormat="1" x14ac:dyDescent="0.3">
      <c r="A63" s="8" t="s">
        <v>109</v>
      </c>
      <c r="B63" s="8"/>
      <c r="C63" s="160"/>
      <c r="D63" s="125"/>
      <c r="G63" s="3"/>
      <c r="H63" s="4"/>
    </row>
    <row r="64" spans="1:8" customFormat="1" x14ac:dyDescent="0.3">
      <c r="A64" t="s">
        <v>110</v>
      </c>
      <c r="C64" s="161"/>
      <c r="D64" s="125"/>
      <c r="G64" s="3"/>
      <c r="H64" s="4"/>
    </row>
    <row r="65" spans="3:8" customFormat="1" x14ac:dyDescent="0.3">
      <c r="C65" s="161"/>
      <c r="D65" s="125"/>
      <c r="G65" s="2"/>
      <c r="H65" s="4"/>
    </row>
    <row r="66" spans="3:8" customFormat="1" x14ac:dyDescent="0.3">
      <c r="C66" s="161"/>
      <c r="D66" s="125"/>
      <c r="G66" s="2"/>
      <c r="H66" s="4"/>
    </row>
    <row r="67" spans="3:8" customFormat="1" x14ac:dyDescent="0.3">
      <c r="C67" s="161"/>
      <c r="D67" s="125"/>
      <c r="G67" s="2"/>
      <c r="H67" s="4"/>
    </row>
    <row r="68" spans="3:8" customFormat="1" x14ac:dyDescent="0.3">
      <c r="C68" s="161"/>
      <c r="D68" s="125"/>
      <c r="G68" s="2"/>
      <c r="H68" s="4"/>
    </row>
    <row r="69" spans="3:8" customFormat="1" x14ac:dyDescent="0.3">
      <c r="C69" s="161"/>
      <c r="D69" s="125"/>
      <c r="G69" s="2"/>
      <c r="H69" s="4"/>
    </row>
    <row r="70" spans="3:8" customFormat="1" x14ac:dyDescent="0.3">
      <c r="C70" s="161"/>
      <c r="D70" s="125"/>
      <c r="G70" s="2"/>
      <c r="H70" s="4"/>
    </row>
    <row r="71" spans="3:8" customFormat="1" x14ac:dyDescent="0.3">
      <c r="C71" s="161"/>
      <c r="D71" s="125"/>
      <c r="G71" s="2"/>
      <c r="H71" s="4"/>
    </row>
  </sheetData>
  <phoneticPr fontId="4" type="noConversion"/>
  <hyperlinks>
    <hyperlink ref="H5" r:id="rId1" xr:uid="{00000000-0004-0000-0300-000000000000}"/>
    <hyperlink ref="H41" r:id="rId2" xr:uid="{00000000-0004-0000-0300-000001000000}"/>
    <hyperlink ref="H7" r:id="rId3" xr:uid="{00000000-0004-0000-0300-000002000000}"/>
    <hyperlink ref="H8" r:id="rId4" xr:uid="{00000000-0004-0000-0300-000003000000}"/>
    <hyperlink ref="H11" r:id="rId5" xr:uid="{00000000-0004-0000-0300-000004000000}"/>
    <hyperlink ref="H12" r:id="rId6" xr:uid="{00000000-0004-0000-0300-000005000000}"/>
    <hyperlink ref="H13" r:id="rId7" xr:uid="{00000000-0004-0000-0300-000006000000}"/>
    <hyperlink ref="H14" r:id="rId8" xr:uid="{00000000-0004-0000-0300-000007000000}"/>
    <hyperlink ref="H15" r:id="rId9" display="http://www3.honolulu.gov/mvrfeeinq/" xr:uid="{00000000-0004-0000-0300-000008000000}"/>
    <hyperlink ref="H17" r:id="rId10" xr:uid="{00000000-0004-0000-0300-000009000000}"/>
    <hyperlink ref="H24" r:id="rId11" xr:uid="{00000000-0004-0000-0300-00000A000000}"/>
    <hyperlink ref="H23" r:id="rId12" xr:uid="{00000000-0004-0000-0300-00000B000000}"/>
    <hyperlink ref="H22" r:id="rId13" xr:uid="{00000000-0004-0000-0300-00000C000000}"/>
    <hyperlink ref="H21" r:id="rId14" xr:uid="{00000000-0004-0000-0300-00000D000000}"/>
    <hyperlink ref="H26" r:id="rId15" xr:uid="{00000000-0004-0000-0300-00000E000000}"/>
    <hyperlink ref="H35" r:id="rId16" xr:uid="{00000000-0004-0000-0300-00000F000000}"/>
    <hyperlink ref="H42" r:id="rId17" xr:uid="{00000000-0004-0000-0300-000010000000}"/>
    <hyperlink ref="H20" r:id="rId18" location="4" xr:uid="{00000000-0004-0000-0300-000011000000}"/>
    <hyperlink ref="H10" r:id="rId19" xr:uid="{00000000-0004-0000-0300-000012000000}"/>
    <hyperlink ref="H28" r:id="rId20" xr:uid="{00000000-0004-0000-0300-000013000000}"/>
    <hyperlink ref="H45" r:id="rId21" location="Trailer" xr:uid="{00000000-0004-0000-0300-000014000000}"/>
    <hyperlink ref="H9" r:id="rId22" xr:uid="{00000000-0004-0000-0300-000015000000}"/>
    <hyperlink ref="H4" r:id="rId23" xr:uid="{00000000-0004-0000-0300-000016000000}"/>
    <hyperlink ref="H16" r:id="rId24" xr:uid="{00000000-0004-0000-0300-000017000000}"/>
    <hyperlink ref="H18" r:id="rId25" xr:uid="{00000000-0004-0000-0300-000018000000}"/>
    <hyperlink ref="H19" r:id="rId26" xr:uid="{00000000-0004-0000-0300-000019000000}"/>
    <hyperlink ref="H32" r:id="rId27" xr:uid="{00000000-0004-0000-0300-00001A000000}"/>
    <hyperlink ref="H33" r:id="rId28" xr:uid="{00000000-0004-0000-0300-00001B000000}"/>
    <hyperlink ref="H39" r:id="rId29" xr:uid="{00000000-0004-0000-0300-00001C000000}"/>
    <hyperlink ref="H51" r:id="rId30" xr:uid="{00000000-0004-0000-0300-00001D000000}"/>
    <hyperlink ref="H49" r:id="rId31" xr:uid="{00000000-0004-0000-0300-00001E000000}"/>
    <hyperlink ref="H6" r:id="rId32" xr:uid="{00000000-0004-0000-0300-00001F000000}"/>
    <hyperlink ref="H48" r:id="rId33" xr:uid="{00000000-0004-0000-0300-000020000000}"/>
    <hyperlink ref="H31" r:id="rId34" xr:uid="{00000000-0004-0000-0300-000021000000}"/>
    <hyperlink ref="H38" r:id="rId35" xr:uid="{00000000-0004-0000-0300-000022000000}"/>
  </hyperlinks>
  <printOptions horizontalCentered="1"/>
  <pageMargins left="0.25" right="0.25" top="0.75" bottom="0.75" header="0.3" footer="0.3"/>
  <pageSetup scale="86" orientation="landscape" r:id="rId36"/>
  <headerFooter alignWithMargins="0">
    <oddFooter>&amp;CPrepared by ODOT TDD: Economics and Financial Analysis</oddFooter>
  </headerFooter>
  <rowBreaks count="1" manualBreakCount="1">
    <brk id="33" max="16383" man="1"/>
  </rowBreaks>
  <legacyDrawing r:id="rId3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23"/>
  <sheetViews>
    <sheetView showGridLines="0" showRowColHeaders="0" zoomScaleNormal="100" workbookViewId="0">
      <selection activeCell="A5" sqref="A5"/>
    </sheetView>
  </sheetViews>
  <sheetFormatPr defaultColWidth="9.109375" defaultRowHeight="13.2" x14ac:dyDescent="0.25"/>
  <cols>
    <col min="1" max="1" width="17.88671875" customWidth="1"/>
    <col min="2" max="2" width="17.6640625" customWidth="1"/>
    <col min="3" max="3" width="11.5546875" customWidth="1"/>
    <col min="4" max="4" width="57.6640625" customWidth="1"/>
    <col min="5" max="5" width="4.5546875" customWidth="1"/>
    <col min="7" max="7" width="13.44140625" customWidth="1"/>
    <col min="8" max="8" width="13.6640625" customWidth="1"/>
    <col min="9" max="9" width="17.88671875" customWidth="1"/>
  </cols>
  <sheetData>
    <row r="1" spans="1:9" x14ac:dyDescent="0.25">
      <c r="A1" s="20"/>
      <c r="B1" s="18" t="s">
        <v>24</v>
      </c>
      <c r="C1" s="20"/>
    </row>
    <row r="2" spans="1:9" x14ac:dyDescent="0.25">
      <c r="A2" s="20"/>
      <c r="B2" s="18" t="s">
        <v>114</v>
      </c>
      <c r="C2" s="21" t="s">
        <v>21</v>
      </c>
    </row>
    <row r="3" spans="1:9" x14ac:dyDescent="0.25">
      <c r="A3" s="22" t="s">
        <v>21</v>
      </c>
      <c r="B3" s="23" t="s">
        <v>81</v>
      </c>
      <c r="C3" s="22" t="s">
        <v>23</v>
      </c>
      <c r="D3" s="24" t="s">
        <v>115</v>
      </c>
    </row>
    <row r="4" spans="1:9" x14ac:dyDescent="0.25">
      <c r="A4" s="20" t="s">
        <v>36</v>
      </c>
      <c r="B4" s="25">
        <v>0.17499999999999999</v>
      </c>
      <c r="C4" s="26">
        <f>RANK(B4,B$4:B$8)</f>
        <v>2</v>
      </c>
      <c r="D4" s="150" t="s">
        <v>545</v>
      </c>
    </row>
    <row r="5" spans="1:9" x14ac:dyDescent="0.25">
      <c r="A5" s="20" t="s">
        <v>26</v>
      </c>
      <c r="B5" s="25">
        <v>2.8500000000000001E-2</v>
      </c>
      <c r="C5" s="26">
        <f>RANK(B5,B$4:B$8)</f>
        <v>5</v>
      </c>
      <c r="D5" s="1" t="s">
        <v>225</v>
      </c>
    </row>
    <row r="6" spans="1:9" x14ac:dyDescent="0.25">
      <c r="A6" s="20" t="s">
        <v>28</v>
      </c>
      <c r="B6" s="27">
        <v>4.3779999999999999E-2</v>
      </c>
      <c r="C6" s="26">
        <f t="shared" ref="C6:C8" si="0">RANK(B6,B$4:B$8)</f>
        <v>4</v>
      </c>
      <c r="D6" s="1" t="s">
        <v>226</v>
      </c>
    </row>
    <row r="7" spans="1:9" x14ac:dyDescent="0.25">
      <c r="A7" s="20" t="s">
        <v>30</v>
      </c>
      <c r="B7" s="25">
        <v>5.4600000000000003E-2</v>
      </c>
      <c r="C7" s="26">
        <f t="shared" si="0"/>
        <v>3</v>
      </c>
      <c r="D7" s="1" t="s">
        <v>225</v>
      </c>
    </row>
    <row r="8" spans="1:9" ht="15.6" x14ac:dyDescent="0.25">
      <c r="A8" s="28" t="s">
        <v>116</v>
      </c>
      <c r="B8" s="29">
        <v>0.23699999999999999</v>
      </c>
      <c r="C8" s="23">
        <f t="shared" si="0"/>
        <v>1</v>
      </c>
      <c r="D8" s="174" t="s">
        <v>405</v>
      </c>
    </row>
    <row r="9" spans="1:9" x14ac:dyDescent="0.25">
      <c r="A9" s="8" t="s">
        <v>117</v>
      </c>
    </row>
    <row r="10" spans="1:9" ht="13.8" x14ac:dyDescent="0.25">
      <c r="A10" s="8"/>
      <c r="E10" s="30"/>
      <c r="F10" s="31"/>
      <c r="G10" s="31"/>
      <c r="H10" s="32"/>
      <c r="I10" s="33"/>
    </row>
    <row r="11" spans="1:9" ht="13.8" x14ac:dyDescent="0.25">
      <c r="E11" s="30"/>
      <c r="F11" s="31"/>
      <c r="G11" s="32"/>
      <c r="H11" s="32"/>
      <c r="I11" s="33"/>
    </row>
    <row r="12" spans="1:9" ht="13.8" x14ac:dyDescent="0.25">
      <c r="A12" s="8" t="s">
        <v>118</v>
      </c>
      <c r="E12" s="30"/>
      <c r="F12" s="31"/>
      <c r="G12" s="32"/>
      <c r="H12" s="32"/>
      <c r="I12" s="33"/>
    </row>
    <row r="13" spans="1:9" ht="13.8" x14ac:dyDescent="0.25">
      <c r="A13" s="150" t="s">
        <v>376</v>
      </c>
      <c r="B13" s="34"/>
      <c r="D13" s="16" t="s">
        <v>0</v>
      </c>
      <c r="E13" s="33"/>
      <c r="F13" s="31"/>
      <c r="G13" s="32"/>
      <c r="H13" s="32"/>
      <c r="I13" s="33"/>
    </row>
    <row r="14" spans="1:9" ht="13.8" x14ac:dyDescent="0.25">
      <c r="A14" s="8" t="s">
        <v>406</v>
      </c>
      <c r="E14" s="33"/>
      <c r="F14" s="31"/>
      <c r="G14" s="32"/>
      <c r="H14" s="32"/>
      <c r="I14" s="33"/>
    </row>
    <row r="15" spans="1:9" ht="13.8" x14ac:dyDescent="0.25">
      <c r="A15" s="8" t="s">
        <v>119</v>
      </c>
      <c r="E15" s="33"/>
      <c r="F15" s="32"/>
      <c r="G15" s="32"/>
      <c r="H15" s="32"/>
      <c r="I15" s="33"/>
    </row>
    <row r="16" spans="1:9" ht="13.8" x14ac:dyDescent="0.25">
      <c r="A16" s="150" t="s">
        <v>121</v>
      </c>
      <c r="E16" s="33"/>
      <c r="F16" s="32"/>
      <c r="G16" s="35"/>
      <c r="H16" s="35"/>
      <c r="I16" s="33"/>
    </row>
    <row r="17" spans="1:8" x14ac:dyDescent="0.25">
      <c r="A17" s="8" t="s">
        <v>120</v>
      </c>
    </row>
    <row r="18" spans="1:8" x14ac:dyDescent="0.25">
      <c r="A18" s="8" t="s">
        <v>542</v>
      </c>
      <c r="H18" s="36"/>
    </row>
    <row r="19" spans="1:8" x14ac:dyDescent="0.25">
      <c r="A19" s="1"/>
    </row>
    <row r="20" spans="1:8" x14ac:dyDescent="0.25">
      <c r="A20" s="19" t="s">
        <v>111</v>
      </c>
      <c r="B20" s="19"/>
    </row>
    <row r="22" spans="1:8" ht="15.6" x14ac:dyDescent="0.25">
      <c r="A22" s="37" t="s">
        <v>122</v>
      </c>
    </row>
    <row r="23" spans="1:8" x14ac:dyDescent="0.25">
      <c r="A23" s="38"/>
    </row>
  </sheetData>
  <phoneticPr fontId="4" type="noConversion"/>
  <printOptions horizontalCentered="1"/>
  <pageMargins left="0.39" right="0.2" top="1.05" bottom="1" header="0.5" footer="0.5"/>
  <pageSetup scale="97" orientation="portrait" r:id="rId1"/>
  <headerFooter alignWithMargins="0">
    <oddFooter>&amp;CPrepared by ODOT TDD: Economics and Financial Analysis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1:Q65"/>
  <sheetViews>
    <sheetView showGridLines="0" showRowColHeaders="0" tabSelected="1" zoomScaleNormal="100" zoomScalePageLayoutView="75" workbookViewId="0">
      <selection activeCell="F7" sqref="F7"/>
    </sheetView>
  </sheetViews>
  <sheetFormatPr defaultColWidth="9.109375" defaultRowHeight="13.2" x14ac:dyDescent="0.25"/>
  <cols>
    <col min="1" max="1" width="1.6640625" customWidth="1"/>
    <col min="2" max="2" width="16.6640625" customWidth="1"/>
    <col min="3" max="3" width="13.6640625" style="3" customWidth="1"/>
    <col min="4" max="4" width="10" style="3" customWidth="1"/>
    <col min="5" max="5" width="3.5546875" customWidth="1"/>
    <col min="6" max="6" width="11.44140625" customWidth="1"/>
    <col min="8" max="8" width="9.33203125" customWidth="1"/>
    <col min="9" max="9" width="3.44140625" customWidth="1"/>
    <col min="10" max="10" width="14.88671875" customWidth="1"/>
    <col min="11" max="11" width="11.6640625" style="3" customWidth="1"/>
    <col min="12" max="12" width="11.6640625" customWidth="1"/>
    <col min="13" max="13" width="4.109375" customWidth="1"/>
    <col min="14" max="14" width="9.33203125" customWidth="1"/>
    <col min="15" max="15" width="12.109375" customWidth="1"/>
    <col min="16" max="16" width="9.33203125" customWidth="1"/>
    <col min="17" max="17" width="5.88671875" customWidth="1"/>
  </cols>
  <sheetData>
    <row r="1" spans="2:17" ht="15.6" x14ac:dyDescent="0.3">
      <c r="B1" s="258">
        <v>2023</v>
      </c>
      <c r="C1" s="258"/>
      <c r="D1" s="258"/>
      <c r="G1" s="262">
        <v>2023</v>
      </c>
      <c r="H1" s="262"/>
      <c r="I1" s="262"/>
      <c r="K1" s="262">
        <v>2023</v>
      </c>
      <c r="L1" s="262"/>
      <c r="M1" s="262"/>
    </row>
    <row r="2" spans="2:17" ht="15.6" x14ac:dyDescent="0.3">
      <c r="B2" s="258" t="s">
        <v>15</v>
      </c>
      <c r="C2" s="258"/>
      <c r="D2" s="258"/>
      <c r="G2" s="39" t="s">
        <v>16</v>
      </c>
      <c r="H2" s="39"/>
      <c r="I2" s="39"/>
      <c r="J2" s="258" t="s">
        <v>17</v>
      </c>
      <c r="K2" s="258"/>
      <c r="L2" s="258"/>
    </row>
    <row r="3" spans="2:17" x14ac:dyDescent="0.25">
      <c r="B3" s="259" t="s">
        <v>345</v>
      </c>
      <c r="C3" s="259"/>
      <c r="D3" s="259"/>
      <c r="G3" s="40" t="s">
        <v>18</v>
      </c>
      <c r="H3" s="40"/>
      <c r="I3" s="40"/>
      <c r="J3" s="259" t="s">
        <v>19</v>
      </c>
      <c r="K3" s="259"/>
      <c r="L3" s="259"/>
    </row>
    <row r="4" spans="2:17" ht="13.8" thickBot="1" x14ac:dyDescent="0.3">
      <c r="G4" s="41"/>
      <c r="H4" s="41"/>
      <c r="I4" s="41"/>
      <c r="J4" s="41"/>
      <c r="K4" s="42"/>
      <c r="L4" s="42"/>
      <c r="M4" s="42"/>
      <c r="N4" s="43"/>
      <c r="O4" s="1"/>
      <c r="P4" s="44"/>
    </row>
    <row r="5" spans="2:17" ht="13.8" x14ac:dyDescent="0.25">
      <c r="B5" s="45"/>
      <c r="C5" s="46" t="s">
        <v>20</v>
      </c>
      <c r="D5" s="47" t="s">
        <v>21</v>
      </c>
      <c r="F5" s="45"/>
      <c r="G5" s="46"/>
      <c r="H5" s="47" t="s">
        <v>21</v>
      </c>
      <c r="I5" s="48"/>
      <c r="J5" s="49"/>
      <c r="K5" s="50"/>
      <c r="L5" s="47" t="s">
        <v>21</v>
      </c>
      <c r="M5" s="51"/>
      <c r="N5" s="52"/>
      <c r="O5" s="52"/>
      <c r="P5" s="52"/>
      <c r="Q5" s="51"/>
    </row>
    <row r="6" spans="2:17" ht="14.4" thickBot="1" x14ac:dyDescent="0.3">
      <c r="B6" s="53" t="s">
        <v>21</v>
      </c>
      <c r="C6" s="54" t="s">
        <v>22</v>
      </c>
      <c r="D6" s="55" t="s">
        <v>23</v>
      </c>
      <c r="F6" s="53" t="s">
        <v>21</v>
      </c>
      <c r="G6" s="54" t="s">
        <v>24</v>
      </c>
      <c r="H6" s="55" t="s">
        <v>23</v>
      </c>
      <c r="I6" s="48"/>
      <c r="J6" s="53" t="s">
        <v>21</v>
      </c>
      <c r="K6" s="56" t="s">
        <v>24</v>
      </c>
      <c r="L6" s="55" t="s">
        <v>23</v>
      </c>
      <c r="M6" s="51"/>
      <c r="N6" s="57"/>
      <c r="O6" s="58"/>
      <c r="P6" s="58"/>
      <c r="Q6" s="51"/>
    </row>
    <row r="7" spans="2:17" ht="13.8" x14ac:dyDescent="0.25">
      <c r="B7" s="59" t="s">
        <v>25</v>
      </c>
      <c r="C7" s="60">
        <f>'Motor Carrier Registration Fees'!D5</f>
        <v>835</v>
      </c>
      <c r="D7" s="61">
        <f>RANK(C7,C$7:C$56)</f>
        <v>46</v>
      </c>
      <c r="E7" s="62"/>
      <c r="F7" s="63" t="s">
        <v>36</v>
      </c>
      <c r="G7" s="64">
        <f>'Weight-Mile Tax Rates'!B4</f>
        <v>0.17499999999999999</v>
      </c>
      <c r="H7" s="65">
        <f>RANK(G7,G$7:G$11)</f>
        <v>2</v>
      </c>
      <c r="I7" s="66"/>
      <c r="J7" s="59" t="s">
        <v>25</v>
      </c>
      <c r="K7" s="67">
        <f>'Diesel Rate Comparison'!C2</f>
        <v>0.3095</v>
      </c>
      <c r="L7" s="61">
        <f>RANK(K7,K$7:K$56)</f>
        <v>24</v>
      </c>
      <c r="M7" s="68"/>
      <c r="N7" s="62"/>
    </row>
    <row r="8" spans="2:17" ht="13.8" x14ac:dyDescent="0.25">
      <c r="B8" s="63" t="s">
        <v>27</v>
      </c>
      <c r="C8" s="60">
        <f>'Motor Carrier Registration Fees'!D6</f>
        <v>513</v>
      </c>
      <c r="D8" s="69">
        <f t="shared" ref="D8:D56" si="0">RANK(C8,C$7:C$56)</f>
        <v>48</v>
      </c>
      <c r="E8" s="62"/>
      <c r="F8" s="63" t="s">
        <v>26</v>
      </c>
      <c r="G8" s="64">
        <f>'Weight-Mile Tax Rates'!B5</f>
        <v>2.8500000000000001E-2</v>
      </c>
      <c r="H8" s="65">
        <f t="shared" ref="H8:H11" si="1">RANK(G8,G$7:G$11)</f>
        <v>5</v>
      </c>
      <c r="I8" s="66"/>
      <c r="J8" s="63" t="s">
        <v>27</v>
      </c>
      <c r="K8" s="70">
        <f>'Diesel Rate Comparison'!C3</f>
        <v>8.9499999999999996E-2</v>
      </c>
      <c r="L8" s="69">
        <f t="shared" ref="L8:L56" si="2">RANK(K8,K$7:K$56)</f>
        <v>50</v>
      </c>
      <c r="M8" s="68"/>
      <c r="N8" s="62"/>
    </row>
    <row r="9" spans="2:17" ht="13.8" x14ac:dyDescent="0.25">
      <c r="B9" s="63" t="s">
        <v>29</v>
      </c>
      <c r="C9" s="60">
        <f>'Motor Carrier Registration Fees'!D7</f>
        <v>4069</v>
      </c>
      <c r="D9" s="69">
        <f t="shared" si="0"/>
        <v>1</v>
      </c>
      <c r="E9" s="62"/>
      <c r="F9" s="63" t="s">
        <v>28</v>
      </c>
      <c r="G9" s="64">
        <f>'Weight-Mile Tax Rates'!B6</f>
        <v>4.3779999999999999E-2</v>
      </c>
      <c r="H9" s="65">
        <f t="shared" si="1"/>
        <v>4</v>
      </c>
      <c r="I9" s="66"/>
      <c r="J9" s="63" t="s">
        <v>29</v>
      </c>
      <c r="K9" s="70">
        <f>'Diesel Rate Comparison'!C4</f>
        <v>0.19</v>
      </c>
      <c r="L9" s="69">
        <f t="shared" si="2"/>
        <v>46</v>
      </c>
      <c r="M9" s="68"/>
      <c r="N9" s="62"/>
    </row>
    <row r="10" spans="2:17" ht="13.8" x14ac:dyDescent="0.25">
      <c r="B10" s="63" t="s">
        <v>31</v>
      </c>
      <c r="C10" s="60">
        <f>'Motor Carrier Registration Fees'!D8</f>
        <v>1573</v>
      </c>
      <c r="D10" s="69">
        <f t="shared" si="0"/>
        <v>27</v>
      </c>
      <c r="E10" s="62"/>
      <c r="F10" s="63" t="s">
        <v>30</v>
      </c>
      <c r="G10" s="64">
        <f>'Weight-Mile Tax Rates'!B7</f>
        <v>5.4600000000000003E-2</v>
      </c>
      <c r="H10" s="65">
        <f t="shared" si="1"/>
        <v>3</v>
      </c>
      <c r="I10" s="66"/>
      <c r="J10" s="63" t="s">
        <v>31</v>
      </c>
      <c r="K10" s="70">
        <f>'Diesel Rate Comparison'!C5</f>
        <v>0.28799999999999998</v>
      </c>
      <c r="L10" s="69">
        <f t="shared" si="2"/>
        <v>29</v>
      </c>
      <c r="M10" s="68"/>
      <c r="N10" s="62"/>
    </row>
    <row r="11" spans="2:17" ht="13.8" x14ac:dyDescent="0.25">
      <c r="B11" s="63" t="s">
        <v>33</v>
      </c>
      <c r="C11" s="60">
        <f>'Motor Carrier Registration Fees'!D9</f>
        <v>3033.23</v>
      </c>
      <c r="D11" s="69">
        <f t="shared" si="0"/>
        <v>5</v>
      </c>
      <c r="F11" s="71" t="s">
        <v>32</v>
      </c>
      <c r="G11" s="72">
        <f>'Weight-Mile Tax Rates'!B8</f>
        <v>0.23699999999999999</v>
      </c>
      <c r="H11" s="260">
        <f>RANK(G11,G$7:G$11)</f>
        <v>1</v>
      </c>
      <c r="I11" s="41"/>
      <c r="J11" s="63" t="s">
        <v>33</v>
      </c>
      <c r="K11" s="70">
        <f>'Diesel Rate Comparison'!C6</f>
        <v>0.80820000000000003</v>
      </c>
      <c r="L11" s="69">
        <f t="shared" si="2"/>
        <v>1</v>
      </c>
      <c r="M11" s="68"/>
      <c r="N11" s="62"/>
    </row>
    <row r="12" spans="2:17" ht="13.8" x14ac:dyDescent="0.25">
      <c r="B12" s="63" t="s">
        <v>34</v>
      </c>
      <c r="C12" s="60">
        <f>'Motor Carrier Registration Fees'!D10</f>
        <v>3020.89</v>
      </c>
      <c r="D12" s="69">
        <f t="shared" si="0"/>
        <v>6</v>
      </c>
      <c r="F12" s="74" t="s">
        <v>35</v>
      </c>
      <c r="G12" s="41"/>
      <c r="H12" s="73"/>
      <c r="I12" s="41"/>
      <c r="J12" s="63" t="s">
        <v>34</v>
      </c>
      <c r="K12" s="70">
        <f>'Diesel Rate Comparison'!C7</f>
        <v>0.27437499999999998</v>
      </c>
      <c r="L12" s="69">
        <f t="shared" si="2"/>
        <v>33</v>
      </c>
      <c r="M12" s="68"/>
      <c r="N12" s="62"/>
    </row>
    <row r="13" spans="2:17" ht="13.8" x14ac:dyDescent="0.25">
      <c r="B13" s="63" t="s">
        <v>36</v>
      </c>
      <c r="C13" s="60">
        <f>'Motor Carrier Registration Fees'!D11</f>
        <v>1601</v>
      </c>
      <c r="D13" s="69">
        <f t="shared" si="0"/>
        <v>25</v>
      </c>
      <c r="F13" s="74" t="s">
        <v>37</v>
      </c>
      <c r="H13" s="75"/>
      <c r="J13" s="63" t="s">
        <v>36</v>
      </c>
      <c r="K13" s="70">
        <f>'Diesel Rate Comparison'!C8</f>
        <v>0.49199999999999999</v>
      </c>
      <c r="L13" s="69">
        <f t="shared" si="2"/>
        <v>7</v>
      </c>
      <c r="M13" s="68"/>
      <c r="N13" s="62"/>
    </row>
    <row r="14" spans="2:17" ht="14.4" thickBot="1" x14ac:dyDescent="0.3">
      <c r="B14" s="63" t="s">
        <v>38</v>
      </c>
      <c r="C14" s="60">
        <f>'Motor Carrier Registration Fees'!D12</f>
        <v>1390</v>
      </c>
      <c r="D14" s="69">
        <f t="shared" si="0"/>
        <v>33</v>
      </c>
      <c r="F14" s="76" t="s">
        <v>39</v>
      </c>
      <c r="G14" s="77"/>
      <c r="H14" s="78"/>
      <c r="I14" s="41"/>
      <c r="J14" s="63" t="s">
        <v>38</v>
      </c>
      <c r="K14" s="70">
        <f>'Diesel Rate Comparison'!C9</f>
        <v>0.22</v>
      </c>
      <c r="L14" s="69">
        <f t="shared" si="2"/>
        <v>42</v>
      </c>
      <c r="M14" s="68"/>
      <c r="N14" s="62"/>
    </row>
    <row r="15" spans="2:17" ht="13.8" x14ac:dyDescent="0.25">
      <c r="B15" s="63" t="s">
        <v>40</v>
      </c>
      <c r="C15" s="60">
        <f>'Motor Carrier Registration Fees'!D13</f>
        <v>1368.65</v>
      </c>
      <c r="D15" s="69">
        <f t="shared" si="0"/>
        <v>35</v>
      </c>
      <c r="J15" s="63" t="s">
        <v>40</v>
      </c>
      <c r="K15" s="70">
        <f>'Diesel Rate Comparison'!C10</f>
        <v>0.38170999999999999</v>
      </c>
      <c r="L15" s="69">
        <f t="shared" si="2"/>
        <v>13</v>
      </c>
      <c r="M15" s="68"/>
      <c r="N15" s="62"/>
    </row>
    <row r="16" spans="2:17" ht="13.8" x14ac:dyDescent="0.25">
      <c r="B16" s="63" t="s">
        <v>41</v>
      </c>
      <c r="C16" s="60">
        <f>'Motor Carrier Registration Fees'!D14</f>
        <v>1004.8</v>
      </c>
      <c r="D16" s="69">
        <f t="shared" si="0"/>
        <v>42</v>
      </c>
      <c r="F16" s="79"/>
      <c r="J16" s="63" t="s">
        <v>41</v>
      </c>
      <c r="K16" s="70">
        <f>'Diesel Rate Comparison'!C11</f>
        <v>0.35749999999999998</v>
      </c>
      <c r="L16" s="69">
        <f t="shared" si="2"/>
        <v>17</v>
      </c>
      <c r="M16" s="68"/>
      <c r="N16" s="62"/>
    </row>
    <row r="17" spans="2:14" ht="13.8" x14ac:dyDescent="0.25">
      <c r="B17" s="63" t="s">
        <v>42</v>
      </c>
      <c r="C17" s="60">
        <f>'Motor Carrier Registration Fees'!D15</f>
        <v>2848</v>
      </c>
      <c r="D17" s="69">
        <f t="shared" si="0"/>
        <v>9</v>
      </c>
      <c r="F17" s="79"/>
      <c r="J17" s="63" t="s">
        <v>42</v>
      </c>
      <c r="K17" s="70">
        <f>'Diesel Rate Comparison'!C12</f>
        <v>0.185</v>
      </c>
      <c r="L17" s="69">
        <f t="shared" si="2"/>
        <v>47</v>
      </c>
      <c r="M17" s="68"/>
      <c r="N17" s="62"/>
    </row>
    <row r="18" spans="2:14" ht="13.8" x14ac:dyDescent="0.25">
      <c r="B18" s="63" t="s">
        <v>43</v>
      </c>
      <c r="C18" s="60">
        <f>'Motor Carrier Registration Fees'!D16</f>
        <v>3396.2</v>
      </c>
      <c r="D18" s="69">
        <f t="shared" si="0"/>
        <v>3</v>
      </c>
      <c r="J18" s="63" t="s">
        <v>43</v>
      </c>
      <c r="K18" s="70">
        <f>'Diesel Rate Comparison'!C13</f>
        <v>0.33</v>
      </c>
      <c r="L18" s="69">
        <f t="shared" si="2"/>
        <v>19</v>
      </c>
      <c r="M18" s="68"/>
      <c r="N18" s="62"/>
    </row>
    <row r="19" spans="2:14" ht="13.8" x14ac:dyDescent="0.25">
      <c r="B19" s="63" t="s">
        <v>44</v>
      </c>
      <c r="C19" s="60">
        <f>'Motor Carrier Registration Fees'!D17</f>
        <v>2910.9</v>
      </c>
      <c r="D19" s="69">
        <f t="shared" si="0"/>
        <v>8</v>
      </c>
      <c r="J19" s="63" t="s">
        <v>44</v>
      </c>
      <c r="K19" s="70">
        <f>'Diesel Rate Comparison'!C14</f>
        <v>0.74</v>
      </c>
      <c r="L19" s="69">
        <f t="shared" si="2"/>
        <v>3</v>
      </c>
      <c r="M19" s="68"/>
      <c r="N19" s="62"/>
    </row>
    <row r="20" spans="2:14" ht="13.8" x14ac:dyDescent="0.25">
      <c r="B20" s="63" t="s">
        <v>45</v>
      </c>
      <c r="C20" s="60">
        <f>'Motor Carrier Registration Fees'!D18</f>
        <v>2362</v>
      </c>
      <c r="D20" s="69">
        <f t="shared" si="0"/>
        <v>14</v>
      </c>
      <c r="J20" s="63" t="s">
        <v>45</v>
      </c>
      <c r="K20" s="70">
        <f>'Diesel Rate Comparison'!C15</f>
        <v>0.57999999999999996</v>
      </c>
      <c r="L20" s="69">
        <f t="shared" si="2"/>
        <v>4</v>
      </c>
      <c r="M20" s="68"/>
      <c r="N20" s="62"/>
    </row>
    <row r="21" spans="2:14" ht="13.8" x14ac:dyDescent="0.25">
      <c r="B21" s="63" t="s">
        <v>46</v>
      </c>
      <c r="C21" s="60">
        <f>'Motor Carrier Registration Fees'!D19</f>
        <v>1725</v>
      </c>
      <c r="D21" s="69">
        <f t="shared" si="0"/>
        <v>23</v>
      </c>
      <c r="J21" s="63" t="s">
        <v>46</v>
      </c>
      <c r="K21" s="70">
        <f>'Diesel Rate Comparison'!C16</f>
        <v>0.32500000000000001</v>
      </c>
      <c r="L21" s="69">
        <f t="shared" si="2"/>
        <v>21</v>
      </c>
      <c r="M21" s="68"/>
      <c r="N21" s="62"/>
    </row>
    <row r="22" spans="2:14" ht="13.8" x14ac:dyDescent="0.25">
      <c r="B22" s="63" t="s">
        <v>47</v>
      </c>
      <c r="C22" s="60">
        <f>'Motor Carrier Registration Fees'!D20</f>
        <v>2318</v>
      </c>
      <c r="D22" s="69">
        <f t="shared" si="0"/>
        <v>15</v>
      </c>
      <c r="J22" s="63" t="s">
        <v>47</v>
      </c>
      <c r="K22" s="70">
        <f>'Diesel Rate Comparison'!C17</f>
        <v>0.27029999999999998</v>
      </c>
      <c r="L22" s="69">
        <f t="shared" si="2"/>
        <v>36</v>
      </c>
      <c r="M22" s="68"/>
      <c r="N22" s="62"/>
    </row>
    <row r="23" spans="2:14" ht="13.8" x14ac:dyDescent="0.25">
      <c r="B23" s="63" t="s">
        <v>26</v>
      </c>
      <c r="C23" s="60">
        <f>'Motor Carrier Registration Fees'!D21</f>
        <v>1429.5</v>
      </c>
      <c r="D23" s="69">
        <f t="shared" si="0"/>
        <v>30</v>
      </c>
      <c r="J23" s="63" t="s">
        <v>26</v>
      </c>
      <c r="K23" s="70">
        <f>'Diesel Rate Comparison'!C18</f>
        <v>0.27100000000000002</v>
      </c>
      <c r="L23" s="69">
        <f t="shared" si="2"/>
        <v>35</v>
      </c>
      <c r="M23" s="68"/>
      <c r="N23" s="62"/>
    </row>
    <row r="24" spans="2:14" ht="13.8" x14ac:dyDescent="0.25">
      <c r="B24" s="63" t="s">
        <v>48</v>
      </c>
      <c r="C24" s="60">
        <f>'Motor Carrier Registration Fees'!D22</f>
        <v>511</v>
      </c>
      <c r="D24" s="69">
        <f t="shared" si="0"/>
        <v>49</v>
      </c>
      <c r="J24" s="63" t="s">
        <v>48</v>
      </c>
      <c r="K24" s="70">
        <f>'Diesel Rate Comparison'!C19</f>
        <v>0.20925000000000002</v>
      </c>
      <c r="L24" s="69">
        <f t="shared" si="2"/>
        <v>43</v>
      </c>
      <c r="M24" s="68"/>
      <c r="N24" s="62"/>
    </row>
    <row r="25" spans="2:14" ht="13.8" x14ac:dyDescent="0.25">
      <c r="B25" s="63" t="s">
        <v>49</v>
      </c>
      <c r="C25" s="60">
        <f>'Motor Carrier Registration Fees'!D23</f>
        <v>1374.68</v>
      </c>
      <c r="D25" s="69">
        <f t="shared" si="0"/>
        <v>34</v>
      </c>
      <c r="J25" s="63" t="s">
        <v>49</v>
      </c>
      <c r="K25" s="70">
        <f>'Diesel Rate Comparison'!C20</f>
        <v>0.31869999999999998</v>
      </c>
      <c r="L25" s="69">
        <f t="shared" si="2"/>
        <v>23</v>
      </c>
      <c r="M25" s="68"/>
      <c r="N25" s="62"/>
    </row>
    <row r="26" spans="2:14" ht="13.8" x14ac:dyDescent="0.25">
      <c r="B26" s="63" t="s">
        <v>50</v>
      </c>
      <c r="C26" s="60">
        <f>'Motor Carrier Registration Fees'!D24</f>
        <v>1838.25</v>
      </c>
      <c r="D26" s="69">
        <f t="shared" si="0"/>
        <v>19</v>
      </c>
      <c r="J26" s="63" t="s">
        <v>50</v>
      </c>
      <c r="K26" s="70">
        <f>'Diesel Rate Comparison'!C21</f>
        <v>0.47940000000000005</v>
      </c>
      <c r="L26" s="69">
        <f t="shared" si="2"/>
        <v>9</v>
      </c>
      <c r="M26" s="68"/>
      <c r="N26" s="62"/>
    </row>
    <row r="27" spans="2:14" ht="13.8" x14ac:dyDescent="0.25">
      <c r="B27" s="63" t="s">
        <v>51</v>
      </c>
      <c r="C27" s="60">
        <f>'Motor Carrier Registration Fees'!D25</f>
        <v>1660</v>
      </c>
      <c r="D27" s="69">
        <f t="shared" si="0"/>
        <v>24</v>
      </c>
      <c r="J27" s="63" t="s">
        <v>51</v>
      </c>
      <c r="K27" s="70">
        <f>'Diesel Rate Comparison'!C22</f>
        <v>0.27199899999999999</v>
      </c>
      <c r="L27" s="69">
        <f t="shared" si="2"/>
        <v>34</v>
      </c>
      <c r="M27" s="68"/>
      <c r="N27" s="62"/>
    </row>
    <row r="28" spans="2:14" ht="13.8" x14ac:dyDescent="0.25">
      <c r="B28" s="63" t="s">
        <v>52</v>
      </c>
      <c r="C28" s="60">
        <f>'Motor Carrier Registration Fees'!D26</f>
        <v>2031</v>
      </c>
      <c r="D28" s="69">
        <f t="shared" si="0"/>
        <v>18</v>
      </c>
      <c r="J28" s="63" t="s">
        <v>52</v>
      </c>
      <c r="K28" s="70">
        <f>'Diesel Rate Comparison'!C23</f>
        <v>0.50900000000000001</v>
      </c>
      <c r="L28" s="69">
        <f t="shared" si="2"/>
        <v>6</v>
      </c>
      <c r="M28" s="68"/>
      <c r="N28" s="62"/>
    </row>
    <row r="29" spans="2:14" ht="13.8" x14ac:dyDescent="0.25">
      <c r="B29" s="63" t="s">
        <v>53</v>
      </c>
      <c r="C29" s="60">
        <f>'Motor Carrier Registration Fees'!D27</f>
        <v>1760</v>
      </c>
      <c r="D29" s="69">
        <f t="shared" si="0"/>
        <v>21</v>
      </c>
      <c r="J29" s="63" t="s">
        <v>53</v>
      </c>
      <c r="K29" s="70">
        <f>'Diesel Rate Comparison'!C24</f>
        <v>0.30599999999999999</v>
      </c>
      <c r="L29" s="69">
        <f t="shared" si="2"/>
        <v>25</v>
      </c>
      <c r="M29" s="68"/>
      <c r="N29" s="62"/>
    </row>
    <row r="30" spans="2:14" ht="13.8" x14ac:dyDescent="0.25">
      <c r="B30" s="63" t="s">
        <v>54</v>
      </c>
      <c r="C30" s="60">
        <f>'Motor Carrier Registration Fees'!D28</f>
        <v>3317.71</v>
      </c>
      <c r="D30" s="69">
        <f t="shared" si="0"/>
        <v>4</v>
      </c>
      <c r="J30" s="63" t="s">
        <v>54</v>
      </c>
      <c r="K30" s="70">
        <f>'Diesel Rate Comparison'!C25</f>
        <v>0.184</v>
      </c>
      <c r="L30" s="69">
        <f t="shared" si="2"/>
        <v>48</v>
      </c>
      <c r="M30" s="68"/>
      <c r="N30" s="62"/>
    </row>
    <row r="31" spans="2:14" ht="13.8" x14ac:dyDescent="0.25">
      <c r="B31" s="63" t="s">
        <v>55</v>
      </c>
      <c r="C31" s="60">
        <f>'Motor Carrier Registration Fees'!D29</f>
        <v>1754.75</v>
      </c>
      <c r="D31" s="69">
        <f t="shared" si="0"/>
        <v>22</v>
      </c>
      <c r="J31" s="63" t="s">
        <v>55</v>
      </c>
      <c r="K31" s="70">
        <f>'Diesel Rate Comparison'!C26</f>
        <v>0.24970000000000001</v>
      </c>
      <c r="L31" s="69">
        <f t="shared" si="2"/>
        <v>37</v>
      </c>
      <c r="M31" s="68"/>
      <c r="N31" s="62"/>
    </row>
    <row r="32" spans="2:14" ht="13.8" x14ac:dyDescent="0.25">
      <c r="B32" s="63" t="s">
        <v>56</v>
      </c>
      <c r="C32" s="60">
        <f>'Motor Carrier Registration Fees'!D30</f>
        <v>982.57500000000005</v>
      </c>
      <c r="D32" s="69">
        <f t="shared" si="0"/>
        <v>44</v>
      </c>
      <c r="J32" s="63" t="s">
        <v>56</v>
      </c>
      <c r="K32" s="70">
        <f>'Diesel Rate Comparison'!C27</f>
        <v>0.30499999999999999</v>
      </c>
      <c r="L32" s="69">
        <f t="shared" si="2"/>
        <v>26</v>
      </c>
      <c r="M32" s="68"/>
      <c r="N32" s="62"/>
    </row>
    <row r="33" spans="2:14" ht="13.8" x14ac:dyDescent="0.25">
      <c r="B33" s="63" t="s">
        <v>57</v>
      </c>
      <c r="C33" s="60">
        <f>'Motor Carrier Registration Fees'!D31</f>
        <v>1405.5</v>
      </c>
      <c r="D33" s="69">
        <f t="shared" si="0"/>
        <v>31</v>
      </c>
      <c r="J33" s="63" t="s">
        <v>57</v>
      </c>
      <c r="K33" s="70">
        <f>'Diesel Rate Comparison'!C28</f>
        <v>0.29299999999999998</v>
      </c>
      <c r="L33" s="69">
        <f t="shared" si="2"/>
        <v>28</v>
      </c>
      <c r="M33" s="68"/>
      <c r="N33" s="62"/>
    </row>
    <row r="34" spans="2:14" ht="13.8" x14ac:dyDescent="0.25">
      <c r="B34" s="63" t="s">
        <v>58</v>
      </c>
      <c r="C34" s="60">
        <f>'Motor Carrier Registration Fees'!D32</f>
        <v>2048.5424821408001</v>
      </c>
      <c r="D34" s="69">
        <f t="shared" si="0"/>
        <v>17</v>
      </c>
      <c r="J34" s="63" t="s">
        <v>58</v>
      </c>
      <c r="K34" s="70">
        <f>'Diesel Rate Comparison'!C29</f>
        <v>0.27750000000000002</v>
      </c>
      <c r="L34" s="69">
        <f t="shared" si="2"/>
        <v>32</v>
      </c>
      <c r="M34" s="68"/>
      <c r="N34" s="62"/>
    </row>
    <row r="35" spans="2:14" ht="13.8" x14ac:dyDescent="0.25">
      <c r="B35" s="63" t="s">
        <v>59</v>
      </c>
      <c r="C35" s="60">
        <f>'Motor Carrier Registration Fees'!D33</f>
        <v>800.16</v>
      </c>
      <c r="D35" s="69">
        <f t="shared" si="0"/>
        <v>47</v>
      </c>
      <c r="J35" s="63" t="s">
        <v>59</v>
      </c>
      <c r="K35" s="70">
        <f>'Diesel Rate Comparison'!C30</f>
        <v>0.23825000000000002</v>
      </c>
      <c r="L35" s="69">
        <f t="shared" si="2"/>
        <v>39</v>
      </c>
      <c r="M35" s="68"/>
      <c r="N35" s="62"/>
    </row>
    <row r="36" spans="2:14" ht="13.8" x14ac:dyDescent="0.25">
      <c r="B36" s="63" t="s">
        <v>60</v>
      </c>
      <c r="C36" s="60">
        <f>'Motor Carrier Registration Fees'!D34</f>
        <v>1244.375</v>
      </c>
      <c r="D36" s="69">
        <f t="shared" si="0"/>
        <v>37</v>
      </c>
      <c r="J36" s="63" t="s">
        <v>60</v>
      </c>
      <c r="K36" s="70">
        <f>'Diesel Rate Comparison'!C31</f>
        <v>0.48449999999999999</v>
      </c>
      <c r="L36" s="69">
        <f t="shared" si="2"/>
        <v>8</v>
      </c>
      <c r="M36" s="68"/>
      <c r="N36" s="62"/>
    </row>
    <row r="37" spans="2:14" ht="13.8" x14ac:dyDescent="0.25">
      <c r="B37" s="63" t="s">
        <v>28</v>
      </c>
      <c r="C37" s="60">
        <f>'Motor Carrier Registration Fees'!D35</f>
        <v>205</v>
      </c>
      <c r="D37" s="69">
        <f t="shared" si="0"/>
        <v>50</v>
      </c>
      <c r="J37" s="63" t="s">
        <v>28</v>
      </c>
      <c r="K37" s="70">
        <f>'Diesel Rate Comparison'!C32</f>
        <v>0.22874999999999998</v>
      </c>
      <c r="L37" s="69">
        <f t="shared" si="2"/>
        <v>41</v>
      </c>
      <c r="M37" s="68"/>
      <c r="N37" s="62"/>
    </row>
    <row r="38" spans="2:14" ht="13.8" x14ac:dyDescent="0.25">
      <c r="B38" s="63" t="s">
        <v>30</v>
      </c>
      <c r="C38" s="60">
        <f>'Motor Carrier Registration Fees'!D36</f>
        <v>1222.5</v>
      </c>
      <c r="D38" s="69">
        <f t="shared" si="0"/>
        <v>38</v>
      </c>
      <c r="J38" s="63" t="s">
        <v>30</v>
      </c>
      <c r="K38" s="70">
        <f>'Diesel Rate Comparison'!C33</f>
        <v>0.16677400000000001</v>
      </c>
      <c r="L38" s="69">
        <f t="shared" si="2"/>
        <v>49</v>
      </c>
      <c r="M38" s="68"/>
      <c r="N38" s="62"/>
    </row>
    <row r="39" spans="2:14" ht="13.8" x14ac:dyDescent="0.25">
      <c r="B39" s="63" t="s">
        <v>61</v>
      </c>
      <c r="C39" s="60">
        <f>'Motor Carrier Registration Fees'!D37</f>
        <v>1828.25</v>
      </c>
      <c r="D39" s="69">
        <f t="shared" si="0"/>
        <v>20</v>
      </c>
      <c r="J39" s="63" t="s">
        <v>61</v>
      </c>
      <c r="K39" s="70">
        <f>'Diesel Rate Comparison'!C34</f>
        <v>0.40750000000000003</v>
      </c>
      <c r="L39" s="69">
        <f t="shared" si="2"/>
        <v>11</v>
      </c>
      <c r="M39" s="68"/>
      <c r="N39" s="62"/>
    </row>
    <row r="40" spans="2:14" ht="13.8" x14ac:dyDescent="0.25">
      <c r="B40" s="63" t="s">
        <v>62</v>
      </c>
      <c r="C40" s="60">
        <f>'Motor Carrier Registration Fees'!D38</f>
        <v>1079</v>
      </c>
      <c r="D40" s="69">
        <f t="shared" si="0"/>
        <v>39</v>
      </c>
      <c r="J40" s="63" t="s">
        <v>62</v>
      </c>
      <c r="K40" s="70">
        <f>'Diesel Rate Comparison'!C35</f>
        <v>0.23025000000000001</v>
      </c>
      <c r="L40" s="69">
        <f t="shared" si="2"/>
        <v>40</v>
      </c>
      <c r="M40" s="68"/>
      <c r="N40" s="62"/>
    </row>
    <row r="41" spans="2:14" ht="13.8" x14ac:dyDescent="0.25">
      <c r="B41" s="63" t="s">
        <v>63</v>
      </c>
      <c r="C41" s="60">
        <f>'Motor Carrier Registration Fees'!D39</f>
        <v>1469</v>
      </c>
      <c r="D41" s="69">
        <f t="shared" si="0"/>
        <v>28</v>
      </c>
      <c r="J41" s="63" t="s">
        <v>63</v>
      </c>
      <c r="K41" s="70">
        <f>'Diesel Rate Comparison'!C36</f>
        <v>0.47</v>
      </c>
      <c r="L41" s="69">
        <f t="shared" si="2"/>
        <v>10</v>
      </c>
      <c r="M41" s="68"/>
      <c r="N41" s="62"/>
    </row>
    <row r="42" spans="2:14" ht="13.8" x14ac:dyDescent="0.25">
      <c r="B42" s="63" t="s">
        <v>64</v>
      </c>
      <c r="C42" s="60">
        <f>'Motor Carrier Registration Fees'!D40</f>
        <v>1058.8</v>
      </c>
      <c r="D42" s="69">
        <f t="shared" si="0"/>
        <v>41</v>
      </c>
      <c r="J42" s="63" t="s">
        <v>64</v>
      </c>
      <c r="K42" s="70">
        <f>'Diesel Rate Comparison'!C37</f>
        <v>0.2</v>
      </c>
      <c r="L42" s="69">
        <f t="shared" si="2"/>
        <v>44</v>
      </c>
      <c r="M42" s="68"/>
      <c r="N42" s="62"/>
    </row>
    <row r="43" spans="2:14" ht="13.8" x14ac:dyDescent="0.25">
      <c r="B43" s="71" t="s">
        <v>65</v>
      </c>
      <c r="C43" s="80">
        <f>'Motor Carrier Registration Fees'!D41</f>
        <v>999</v>
      </c>
      <c r="D43" s="81">
        <f t="shared" si="0"/>
        <v>43</v>
      </c>
      <c r="J43" s="71" t="s">
        <v>65</v>
      </c>
      <c r="K43" s="70">
        <f>'Diesel Rate Comparison'!C38</f>
        <v>0.38</v>
      </c>
      <c r="L43" s="81">
        <f t="shared" si="2"/>
        <v>15</v>
      </c>
      <c r="M43" s="68"/>
      <c r="N43" s="62"/>
    </row>
    <row r="44" spans="2:14" ht="13.8" x14ac:dyDescent="0.25">
      <c r="B44" s="63" t="s">
        <v>66</v>
      </c>
      <c r="C44" s="60">
        <f>'Motor Carrier Registration Fees'!D42</f>
        <v>2799</v>
      </c>
      <c r="D44" s="69">
        <f t="shared" si="0"/>
        <v>10</v>
      </c>
      <c r="J44" s="63" t="s">
        <v>66</v>
      </c>
      <c r="K44" s="70">
        <f>'Diesel Rate Comparison'!C39</f>
        <v>0.78500000000000003</v>
      </c>
      <c r="L44" s="69">
        <f t="shared" si="2"/>
        <v>2</v>
      </c>
      <c r="M44" s="68"/>
      <c r="N44" s="62"/>
    </row>
    <row r="45" spans="2:14" ht="13.8" x14ac:dyDescent="0.25">
      <c r="B45" s="63" t="s">
        <v>67</v>
      </c>
      <c r="C45" s="60">
        <f>'Motor Carrier Registration Fees'!D43</f>
        <v>1060.5</v>
      </c>
      <c r="D45" s="69">
        <f t="shared" si="0"/>
        <v>40</v>
      </c>
      <c r="J45" s="63" t="s">
        <v>67</v>
      </c>
      <c r="K45" s="70">
        <f>'Diesel Rate Comparison'!C40</f>
        <v>0.38119999999999998</v>
      </c>
      <c r="L45" s="69">
        <f t="shared" si="2"/>
        <v>14</v>
      </c>
      <c r="M45" s="68"/>
      <c r="N45" s="62"/>
    </row>
    <row r="46" spans="2:14" ht="13.8" x14ac:dyDescent="0.25">
      <c r="B46" s="63" t="s">
        <v>68</v>
      </c>
      <c r="C46" s="60">
        <f>'Motor Carrier Registration Fees'!D44</f>
        <v>3873.3714</v>
      </c>
      <c r="D46" s="69">
        <f t="shared" si="0"/>
        <v>2</v>
      </c>
      <c r="J46" s="63" t="s">
        <v>68</v>
      </c>
      <c r="K46" s="70">
        <f>'Diesel Rate Comparison'!C41</f>
        <v>0.28750000000000003</v>
      </c>
      <c r="L46" s="69">
        <f t="shared" si="2"/>
        <v>30</v>
      </c>
      <c r="M46" s="68"/>
      <c r="N46" s="62"/>
    </row>
    <row r="47" spans="2:14" ht="13.8" x14ac:dyDescent="0.25">
      <c r="B47" s="63" t="s">
        <v>69</v>
      </c>
      <c r="C47" s="60">
        <f>'Motor Carrier Registration Fees'!D45</f>
        <v>1458</v>
      </c>
      <c r="D47" s="69">
        <f t="shared" si="0"/>
        <v>29</v>
      </c>
      <c r="J47" s="63" t="s">
        <v>69</v>
      </c>
      <c r="K47" s="70">
        <f>'Diesel Rate Comparison'!C42</f>
        <v>0.30000000000000004</v>
      </c>
      <c r="L47" s="69">
        <f t="shared" si="2"/>
        <v>27</v>
      </c>
      <c r="M47" s="68"/>
      <c r="N47" s="62"/>
    </row>
    <row r="48" spans="2:14" ht="13.8" x14ac:dyDescent="0.25">
      <c r="B48" s="63" t="s">
        <v>70</v>
      </c>
      <c r="C48" s="60">
        <f>'Motor Carrier Registration Fees'!D46</f>
        <v>1391</v>
      </c>
      <c r="D48" s="69">
        <f t="shared" si="0"/>
        <v>32</v>
      </c>
      <c r="J48" s="63" t="s">
        <v>70</v>
      </c>
      <c r="K48" s="70">
        <f>'Diesel Rate Comparison'!C43</f>
        <v>0.28400000000000003</v>
      </c>
      <c r="L48" s="69">
        <f t="shared" si="2"/>
        <v>31</v>
      </c>
      <c r="M48" s="68"/>
      <c r="N48" s="62"/>
    </row>
    <row r="49" spans="2:16" ht="13.8" x14ac:dyDescent="0.25">
      <c r="B49" s="63" t="s">
        <v>71</v>
      </c>
      <c r="C49" s="60">
        <f>'Motor Carrier Registration Fees'!D47</f>
        <v>896</v>
      </c>
      <c r="D49" s="69">
        <f t="shared" si="0"/>
        <v>45</v>
      </c>
      <c r="J49" s="63" t="s">
        <v>71</v>
      </c>
      <c r="K49" s="70">
        <f>'Diesel Rate Comparison'!C44</f>
        <v>0.2</v>
      </c>
      <c r="L49" s="69">
        <f t="shared" si="2"/>
        <v>44</v>
      </c>
      <c r="M49" s="68"/>
      <c r="N49" s="62"/>
    </row>
    <row r="50" spans="2:16" ht="13.8" x14ac:dyDescent="0.25">
      <c r="B50" s="63" t="s">
        <v>72</v>
      </c>
      <c r="C50" s="60">
        <f>'Motor Carrier Registration Fees'!D48</f>
        <v>1327.25</v>
      </c>
      <c r="D50" s="69">
        <f t="shared" si="0"/>
        <v>36</v>
      </c>
      <c r="J50" s="63" t="s">
        <v>72</v>
      </c>
      <c r="K50" s="70">
        <f>'Diesel Rate Comparison'!C45</f>
        <v>0.35149999999999998</v>
      </c>
      <c r="L50" s="69">
        <f t="shared" si="2"/>
        <v>18</v>
      </c>
      <c r="M50" s="68"/>
      <c r="N50" s="62"/>
    </row>
    <row r="51" spans="2:16" ht="13.8" x14ac:dyDescent="0.25">
      <c r="B51" s="63" t="s">
        <v>73</v>
      </c>
      <c r="C51" s="60">
        <f>'Motor Carrier Registration Fees'!D49</f>
        <v>2387.5</v>
      </c>
      <c r="D51" s="69">
        <f t="shared" si="0"/>
        <v>13</v>
      </c>
      <c r="J51" s="63" t="s">
        <v>73</v>
      </c>
      <c r="K51" s="70">
        <f>'Diesel Rate Comparison'!C46</f>
        <v>0.32</v>
      </c>
      <c r="L51" s="69">
        <f t="shared" si="2"/>
        <v>22</v>
      </c>
      <c r="M51" s="68"/>
      <c r="N51" s="62"/>
    </row>
    <row r="52" spans="2:16" ht="13.8" x14ac:dyDescent="0.25">
      <c r="B52" s="63" t="s">
        <v>74</v>
      </c>
      <c r="C52" s="60">
        <f>'Motor Carrier Registration Fees'!D50</f>
        <v>2458</v>
      </c>
      <c r="D52" s="69">
        <f t="shared" si="0"/>
        <v>12</v>
      </c>
      <c r="J52" s="63" t="s">
        <v>74</v>
      </c>
      <c r="K52" s="70">
        <f>'Diesel Rate Comparison'!C47</f>
        <v>0.40200000000000002</v>
      </c>
      <c r="L52" s="69">
        <f t="shared" si="2"/>
        <v>12</v>
      </c>
      <c r="M52" s="68"/>
      <c r="N52" s="62"/>
    </row>
    <row r="53" spans="2:16" ht="13.8" x14ac:dyDescent="0.25">
      <c r="B53" s="63" t="s">
        <v>75</v>
      </c>
      <c r="C53" s="60">
        <f>'Motor Carrier Registration Fees'!D51</f>
        <v>2124.6</v>
      </c>
      <c r="D53" s="69">
        <f t="shared" si="0"/>
        <v>16</v>
      </c>
      <c r="J53" s="63" t="s">
        <v>75</v>
      </c>
      <c r="K53" s="70">
        <f>'Diesel Rate Comparison'!C48</f>
        <v>0.5281903</v>
      </c>
      <c r="L53" s="69">
        <f t="shared" si="2"/>
        <v>5</v>
      </c>
      <c r="M53" s="68"/>
      <c r="N53" s="62"/>
    </row>
    <row r="54" spans="2:16" ht="13.8" x14ac:dyDescent="0.25">
      <c r="B54" s="63" t="s">
        <v>76</v>
      </c>
      <c r="C54" s="60">
        <f>'Motor Carrier Registration Fees'!D52</f>
        <v>2914.3219600000002</v>
      </c>
      <c r="D54" s="69">
        <f t="shared" si="0"/>
        <v>7</v>
      </c>
      <c r="J54" s="63" t="s">
        <v>76</v>
      </c>
      <c r="K54" s="70">
        <f>'Diesel Rate Comparison'!C49</f>
        <v>0.372</v>
      </c>
      <c r="L54" s="69">
        <f t="shared" si="2"/>
        <v>16</v>
      </c>
      <c r="M54" s="68"/>
      <c r="N54" s="62"/>
    </row>
    <row r="55" spans="2:16" ht="13.8" x14ac:dyDescent="0.25">
      <c r="B55" s="63" t="s">
        <v>77</v>
      </c>
      <c r="C55" s="60">
        <f>'Motor Carrier Registration Fees'!D53</f>
        <v>2583</v>
      </c>
      <c r="D55" s="69">
        <f t="shared" si="0"/>
        <v>11</v>
      </c>
      <c r="J55" s="63" t="s">
        <v>77</v>
      </c>
      <c r="K55" s="70">
        <f>'Diesel Rate Comparison'!C50</f>
        <v>0.32900000000000001</v>
      </c>
      <c r="L55" s="69">
        <f t="shared" si="2"/>
        <v>20</v>
      </c>
      <c r="M55" s="68"/>
      <c r="N55" s="62"/>
    </row>
    <row r="56" spans="2:16" ht="14.4" thickBot="1" x14ac:dyDescent="0.3">
      <c r="B56" s="82" t="s">
        <v>78</v>
      </c>
      <c r="C56" s="83">
        <f>'Motor Carrier Registration Fees'!D54</f>
        <v>1590.1020286799999</v>
      </c>
      <c r="D56" s="84">
        <f t="shared" si="0"/>
        <v>26</v>
      </c>
      <c r="J56" s="82" t="s">
        <v>78</v>
      </c>
      <c r="K56" s="85">
        <f>'Diesel Rate Comparison'!C51</f>
        <v>0.24000000000000002</v>
      </c>
      <c r="L56" s="84">
        <f t="shared" si="2"/>
        <v>38</v>
      </c>
      <c r="M56" s="68"/>
      <c r="N56" s="62"/>
    </row>
    <row r="57" spans="2:16" x14ac:dyDescent="0.25">
      <c r="K57" s="43"/>
      <c r="L57" s="43"/>
      <c r="M57" s="43"/>
      <c r="N57" s="43"/>
      <c r="O57" s="1"/>
      <c r="P57" s="43"/>
    </row>
    <row r="58" spans="2:16" x14ac:dyDescent="0.25">
      <c r="B58" s="79" t="s">
        <v>227</v>
      </c>
      <c r="C58" s="86"/>
      <c r="J58" s="87"/>
      <c r="K58" s="86"/>
    </row>
    <row r="59" spans="2:16" x14ac:dyDescent="0.25">
      <c r="B59" s="79" t="s">
        <v>228</v>
      </c>
      <c r="C59" s="86"/>
      <c r="J59" s="87"/>
      <c r="K59" s="86"/>
    </row>
    <row r="60" spans="2:16" x14ac:dyDescent="0.25">
      <c r="B60" s="88" t="s">
        <v>249</v>
      </c>
      <c r="J60" s="89"/>
      <c r="K60" s="86"/>
    </row>
    <row r="61" spans="2:16" x14ac:dyDescent="0.25">
      <c r="B61" s="79" t="s">
        <v>79</v>
      </c>
      <c r="J61" s="79"/>
    </row>
    <row r="63" spans="2:16" x14ac:dyDescent="0.25">
      <c r="B63" s="79"/>
    </row>
    <row r="64" spans="2:16" x14ac:dyDescent="0.25">
      <c r="B64" s="79"/>
    </row>
    <row r="65" spans="2:2" x14ac:dyDescent="0.25">
      <c r="B65" s="79"/>
    </row>
  </sheetData>
  <mergeCells count="7">
    <mergeCell ref="B1:D1"/>
    <mergeCell ref="B2:D2"/>
    <mergeCell ref="J2:L2"/>
    <mergeCell ref="B3:D3"/>
    <mergeCell ref="J3:L3"/>
    <mergeCell ref="G1:I1"/>
    <mergeCell ref="K1:M1"/>
  </mergeCells>
  <phoneticPr fontId="4" type="noConversion"/>
  <pageMargins left="0.49" right="0.3" top="0.36" bottom="0.37" header="0.37" footer="0.36"/>
  <pageSetup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AC0F30A96CEE438B37714D194AF21D" ma:contentTypeVersion="0" ma:contentTypeDescription="Create a new document." ma:contentTypeScope="" ma:versionID="ca1e1bd4249cfddbc25e416e6ebbe799">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DC20FC-5383-49F9-A7F4-86097D81463A}"/>
</file>

<file path=customXml/itemProps2.xml><?xml version="1.0" encoding="utf-8"?>
<ds:datastoreItem xmlns:ds="http://schemas.openxmlformats.org/officeDocument/2006/customXml" ds:itemID="{CF18D8DC-920C-4925-ADAE-33EBC78C785D}"/>
</file>

<file path=customXml/itemProps3.xml><?xml version="1.0" encoding="utf-8"?>
<ds:datastoreItem xmlns:ds="http://schemas.openxmlformats.org/officeDocument/2006/customXml" ds:itemID="{AB7BA0A0-1F3A-4722-9B3A-609BCE56DA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Assumptions</vt:lpstr>
      <vt:lpstr>Diesel tax rates - API w notes</vt:lpstr>
      <vt:lpstr>Diesel Fuel Tax Rates - API</vt:lpstr>
      <vt:lpstr>Diesel Rate Comparison</vt:lpstr>
      <vt:lpstr>EIA - Rates wNotes 0723 </vt:lpstr>
      <vt:lpstr>EIA - Rates wNotes 0722 </vt:lpstr>
      <vt:lpstr>Motor Carrier Registration Fees</vt:lpstr>
      <vt:lpstr>Weight-Mile Tax Rates</vt:lpstr>
      <vt:lpstr>Summary</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odot26i</dc:creator>
  <cp:keywords/>
  <cp:lastModifiedBy>MOLINA Allen</cp:lastModifiedBy>
  <cp:lastPrinted>2021-10-11T21:19:55Z</cp:lastPrinted>
  <dcterms:created xsi:type="dcterms:W3CDTF">2010-12-24T23:03:39Z</dcterms:created>
  <dcterms:modified xsi:type="dcterms:W3CDTF">2024-01-20T01:24:58Z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cf6fe3-5bce-446b-ad70-bd306593eea0_Enabled">
    <vt:lpwstr>true</vt:lpwstr>
  </property>
  <property fmtid="{D5CDD505-2E9C-101B-9397-08002B2CF9AE}" pid="3" name="MSIP_Label_c9cf6fe3-5bce-446b-ad70-bd306593eea0_SetDate">
    <vt:lpwstr>2024-01-04T00:52:30Z</vt:lpwstr>
  </property>
  <property fmtid="{D5CDD505-2E9C-101B-9397-08002B2CF9AE}" pid="4" name="MSIP_Label_c9cf6fe3-5bce-446b-ad70-bd306593eea0_Method">
    <vt:lpwstr>Privileged</vt:lpwstr>
  </property>
  <property fmtid="{D5CDD505-2E9C-101B-9397-08002B2CF9AE}" pid="5" name="MSIP_Label_c9cf6fe3-5bce-446b-ad70-bd306593eea0_Name">
    <vt:lpwstr>Level 1 - Published (Items)</vt:lpwstr>
  </property>
  <property fmtid="{D5CDD505-2E9C-101B-9397-08002B2CF9AE}" pid="6" name="MSIP_Label_c9cf6fe3-5bce-446b-ad70-bd306593eea0_SiteId">
    <vt:lpwstr>28b0d013-46bc-4a64-8d86-1c8a31cf590d</vt:lpwstr>
  </property>
  <property fmtid="{D5CDD505-2E9C-101B-9397-08002B2CF9AE}" pid="7" name="MSIP_Label_c9cf6fe3-5bce-446b-ad70-bd306593eea0_ActionId">
    <vt:lpwstr>1937d0df-1e35-4774-aebb-f73d56a980ea</vt:lpwstr>
  </property>
  <property fmtid="{D5CDD505-2E9C-101B-9397-08002B2CF9AE}" pid="8" name="MSIP_Label_c9cf6fe3-5bce-446b-ad70-bd306593eea0_ContentBits">
    <vt:lpwstr>0</vt:lpwstr>
  </property>
  <property fmtid="{D5CDD505-2E9C-101B-9397-08002B2CF9AE}" pid="9" name="ContentTypeId">
    <vt:lpwstr>0x0101003FAC0F30A96CEE438B37714D194AF21D</vt:lpwstr>
  </property>
  <property fmtid="{D5CDD505-2E9C-101B-9397-08002B2CF9AE}" pid="11" name="Reviewed for URLs">
    <vt:bool>false</vt:bool>
  </property>
</Properties>
</file>