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5.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6.xml" ContentType="application/vnd.openxmlformats-officedocument.drawing+xml"/>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updateLinks="never" codeName="ThisWorkbook"/>
  <mc:AlternateContent xmlns:mc="http://schemas.openxmlformats.org/markup-compatibility/2006">
    <mc:Choice Requires="x15">
      <x15ac:absPath xmlns:x15ac="http://schemas.microsoft.com/office/spreadsheetml/2010/11/ac" url="W:\HighwaySafetyEngineering\1_ARTS\2027_2030\WebUpdates\"/>
    </mc:Choice>
  </mc:AlternateContent>
  <xr:revisionPtr revIDLastSave="0" documentId="13_ncr:1_{D97DE97F-7D20-432A-B113-4711DB020FCC}" xr6:coauthVersionLast="47" xr6:coauthVersionMax="47" xr10:uidLastSave="{00000000-0000-0000-0000-000000000000}"/>
  <bookViews>
    <workbookView xWindow="2940" yWindow="525" windowWidth="23955" windowHeight="14685" tabRatio="768" activeTab="3" xr2:uid="{00000000-000D-0000-FFFF-FFFF00000000}"/>
  </bookViews>
  <sheets>
    <sheet name="Instructions" sheetId="5" r:id="rId1"/>
    <sheet name="Cover" sheetId="11" r:id="rId2"/>
    <sheet name="BC Form by Severity" sheetId="6" r:id="rId3"/>
    <sheet name="BC Form by Type" sheetId="1" r:id="rId4"/>
    <sheet name="Combination of BC's" sheetId="7" r:id="rId5"/>
    <sheet name="Corridor BC" sheetId="8" r:id="rId6"/>
    <sheet name="Fields" sheetId="2" state="hidden" r:id="rId7"/>
    <sheet name="Revision List" sheetId="9" state="veryHidden" r:id="rId8"/>
    <sheet name="Sheet1" sheetId="12" state="veryHidden" r:id="rId9"/>
    <sheet name="Sheet2" sheetId="13" state="veryHidden" r:id="rId10"/>
  </sheets>
  <definedNames>
    <definedName name="_xlnm._FilterDatabase" localSheetId="6" hidden="1">Fields!$N$3:$V$3</definedName>
    <definedName name="_xlnm.Print_Area" localSheetId="2">'BC Form by Severity'!$A$1:$T$80</definedName>
    <definedName name="_xlnm.Print_Area" localSheetId="3">'BC Form by Type'!$A$1:$T$87</definedName>
    <definedName name="_xlnm.Print_Area" localSheetId="4">'Combination of BC''s'!$A$1:$R$49</definedName>
    <definedName name="_xlnm.Print_Area" localSheetId="5">'Corridor BC'!$A$1:$P$49</definedName>
    <definedName name="_xlnm.Print_Area" localSheetId="1">Cover!$A$1:$T$27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2" l="1"/>
  <c r="W4" i="2"/>
  <c r="P4" i="2"/>
  <c r="U31" i="1" l="1"/>
  <c r="U32" i="6"/>
  <c r="W107" i="2" l="1"/>
  <c r="X107" i="2"/>
  <c r="W106" i="2"/>
  <c r="X106" i="2"/>
  <c r="P106" i="2"/>
  <c r="P107" i="2"/>
  <c r="W73" i="2"/>
  <c r="X73" i="2"/>
  <c r="W72" i="2"/>
  <c r="X72" i="2"/>
  <c r="P72" i="2"/>
  <c r="P73" i="2"/>
  <c r="W94" i="2"/>
  <c r="X94" i="2"/>
  <c r="W93" i="2"/>
  <c r="X93" i="2"/>
  <c r="P93" i="2"/>
  <c r="P94" i="2"/>
  <c r="P164" i="2" l="1"/>
  <c r="P165" i="2"/>
  <c r="W165" i="2" l="1"/>
  <c r="X165" i="2"/>
  <c r="W164" i="2"/>
  <c r="X164" i="2"/>
  <c r="W68" i="2" l="1"/>
  <c r="X68" i="2"/>
  <c r="P64" i="2"/>
  <c r="P65" i="2"/>
  <c r="P66" i="2"/>
  <c r="P67" i="2"/>
  <c r="P68" i="2"/>
  <c r="X120" i="2" l="1"/>
  <c r="W122" i="2"/>
  <c r="X122" i="2"/>
  <c r="P122" i="2"/>
  <c r="W120" i="2"/>
  <c r="P120" i="2"/>
  <c r="W118" i="2"/>
  <c r="X118" i="2"/>
  <c r="P118" i="2"/>
  <c r="W52" i="2" l="1"/>
  <c r="X52" i="2"/>
  <c r="P52" i="2"/>
  <c r="W123" i="2"/>
  <c r="X123" i="2"/>
  <c r="W121" i="2"/>
  <c r="X121" i="2"/>
  <c r="W119" i="2"/>
  <c r="X119" i="2"/>
  <c r="P119" i="2"/>
  <c r="P121" i="2"/>
  <c r="P123" i="2"/>
  <c r="P166" i="2" l="1"/>
  <c r="W159" i="2"/>
  <c r="X159" i="2"/>
  <c r="W160" i="2"/>
  <c r="X160" i="2"/>
  <c r="W161" i="2"/>
  <c r="X161" i="2"/>
  <c r="W162" i="2"/>
  <c r="X162" i="2"/>
  <c r="W163" i="2"/>
  <c r="X163" i="2"/>
  <c r="W166" i="2"/>
  <c r="X166" i="2"/>
  <c r="P161" i="2"/>
  <c r="P162" i="2"/>
  <c r="P163" i="2"/>
  <c r="P160" i="2"/>
  <c r="P159" i="2"/>
  <c r="W154" i="2"/>
  <c r="X154" i="2"/>
  <c r="P154" i="2"/>
  <c r="W138" i="2"/>
  <c r="X138" i="2"/>
  <c r="P138" i="2"/>
  <c r="W137" i="2"/>
  <c r="X137" i="2"/>
  <c r="W136" i="2"/>
  <c r="X136" i="2"/>
  <c r="W135" i="2"/>
  <c r="X135" i="2"/>
  <c r="P135" i="2"/>
  <c r="P136" i="2"/>
  <c r="P137" i="2"/>
  <c r="X110" i="2"/>
  <c r="X109" i="2"/>
  <c r="W110" i="2"/>
  <c r="W109" i="2"/>
  <c r="W108" i="2"/>
  <c r="X108" i="2"/>
  <c r="P110" i="2"/>
  <c r="P108" i="2"/>
  <c r="P109" i="2"/>
  <c r="W105" i="2"/>
  <c r="X105" i="2"/>
  <c r="P105" i="2"/>
  <c r="W104" i="2"/>
  <c r="X104" i="2"/>
  <c r="P104" i="2"/>
  <c r="W97" i="2"/>
  <c r="X97" i="2"/>
  <c r="P97" i="2"/>
  <c r="W84" i="2"/>
  <c r="X84" i="2"/>
  <c r="P84" i="2"/>
  <c r="W82" i="2"/>
  <c r="X82" i="2"/>
  <c r="P82" i="2"/>
  <c r="W79" i="2"/>
  <c r="X79" i="2"/>
  <c r="W78" i="2"/>
  <c r="X78" i="2"/>
  <c r="P78" i="2"/>
  <c r="P79" i="2"/>
  <c r="P76" i="2"/>
  <c r="P77" i="2"/>
  <c r="P75" i="2"/>
  <c r="X75" i="2"/>
  <c r="X76" i="2"/>
  <c r="X77" i="2"/>
  <c r="W77" i="2"/>
  <c r="W76" i="2"/>
  <c r="W75" i="2"/>
  <c r="W67" i="2"/>
  <c r="X67" i="2"/>
  <c r="W66" i="2"/>
  <c r="X66" i="2"/>
  <c r="W65" i="2"/>
  <c r="X65" i="2"/>
  <c r="X96" i="2" l="1"/>
  <c r="W96" i="2"/>
  <c r="P96" i="2"/>
  <c r="L36" i="8" l="1"/>
  <c r="M26" i="7" l="1"/>
  <c r="D26" i="7"/>
  <c r="D24" i="7"/>
  <c r="Q22" i="7"/>
  <c r="O22" i="7"/>
  <c r="H22" i="7"/>
  <c r="D22" i="7"/>
  <c r="H20" i="7"/>
  <c r="D20" i="7"/>
  <c r="Q17" i="7"/>
  <c r="O17" i="7"/>
  <c r="I17" i="7"/>
  <c r="G17" i="7"/>
  <c r="D17" i="7"/>
  <c r="O13" i="7"/>
  <c r="H13" i="7"/>
  <c r="D13" i="7"/>
  <c r="Q10" i="7"/>
  <c r="O10" i="7"/>
  <c r="D10" i="7"/>
  <c r="K26" i="1"/>
  <c r="D26" i="1"/>
  <c r="D24" i="1"/>
  <c r="S22" i="1"/>
  <c r="N22" i="1"/>
  <c r="F22" i="1"/>
  <c r="D22" i="1"/>
  <c r="F20" i="1"/>
  <c r="D20" i="1"/>
  <c r="S17" i="1"/>
  <c r="N17" i="1"/>
  <c r="H17" i="1"/>
  <c r="F17" i="1"/>
  <c r="D17" i="1"/>
  <c r="N13" i="1"/>
  <c r="D13" i="1"/>
  <c r="G13" i="1"/>
  <c r="S10" i="1"/>
  <c r="N10" i="1"/>
  <c r="K61" i="1" l="1"/>
  <c r="K49" i="1"/>
  <c r="K55" i="1"/>
  <c r="K43" i="1"/>
  <c r="K67" i="1"/>
  <c r="D10" i="1"/>
  <c r="K26" i="6"/>
  <c r="S22" i="6"/>
  <c r="N22" i="6"/>
  <c r="S17" i="6"/>
  <c r="N17" i="6"/>
  <c r="H17" i="6"/>
  <c r="F22" i="6"/>
  <c r="F20" i="6"/>
  <c r="F17" i="6"/>
  <c r="G13" i="6"/>
  <c r="D26" i="6"/>
  <c r="D24" i="6"/>
  <c r="D22" i="6"/>
  <c r="D20" i="6"/>
  <c r="D17" i="6"/>
  <c r="D13" i="6"/>
  <c r="S10" i="6"/>
  <c r="N10" i="6"/>
  <c r="D10" i="6"/>
  <c r="K49" i="6" l="1"/>
  <c r="N13" i="6"/>
  <c r="AD4" i="11"/>
  <c r="AC4" i="11"/>
  <c r="AB4" i="11"/>
  <c r="P92" i="2" l="1"/>
  <c r="W92" i="2"/>
  <c r="X92" i="2"/>
  <c r="P95" i="2"/>
  <c r="W95" i="2"/>
  <c r="X95" i="2"/>
  <c r="P71" i="2"/>
  <c r="W71" i="2"/>
  <c r="X71" i="2"/>
  <c r="P74" i="2"/>
  <c r="W74" i="2"/>
  <c r="X74" i="2"/>
  <c r="S37" i="1" l="1"/>
  <c r="Q37" i="1"/>
  <c r="I61" i="1" s="1"/>
  <c r="M61" i="1" s="1"/>
  <c r="O37" i="1"/>
  <c r="I60" i="1" s="1"/>
  <c r="M37" i="1"/>
  <c r="I59" i="1" s="1"/>
  <c r="K37" i="1"/>
  <c r="I37" i="1"/>
  <c r="F58" i="1" s="1"/>
  <c r="S35" i="1"/>
  <c r="Q35" i="1"/>
  <c r="I55" i="1" s="1"/>
  <c r="O35" i="1"/>
  <c r="I54" i="1" s="1"/>
  <c r="M35" i="1"/>
  <c r="I53" i="1" s="1"/>
  <c r="K35" i="1"/>
  <c r="I35" i="1"/>
  <c r="F52" i="1" s="1"/>
  <c r="M55" i="1" l="1"/>
  <c r="AD4" i="7"/>
  <c r="AC4" i="1"/>
  <c r="AB4" i="6"/>
  <c r="S36" i="6" l="1"/>
  <c r="S38" i="6"/>
  <c r="Q36" i="6"/>
  <c r="Q38" i="6"/>
  <c r="O36" i="6"/>
  <c r="O38" i="6"/>
  <c r="M36" i="6"/>
  <c r="M38" i="6"/>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3" i="2"/>
  <c r="X54" i="2"/>
  <c r="X55" i="2"/>
  <c r="X56" i="2"/>
  <c r="X57" i="2"/>
  <c r="X58" i="2"/>
  <c r="X59" i="2"/>
  <c r="X60" i="2"/>
  <c r="X61" i="2"/>
  <c r="X62" i="2"/>
  <c r="X63" i="2"/>
  <c r="X64" i="2"/>
  <c r="X69" i="2"/>
  <c r="X70" i="2"/>
  <c r="X80" i="2"/>
  <c r="X81" i="2"/>
  <c r="X83" i="2"/>
  <c r="X85" i="2"/>
  <c r="X86" i="2"/>
  <c r="X87" i="2"/>
  <c r="X88" i="2"/>
  <c r="X89" i="2"/>
  <c r="X90" i="2"/>
  <c r="X91" i="2"/>
  <c r="X98" i="2"/>
  <c r="X99" i="2"/>
  <c r="X100" i="2"/>
  <c r="X101" i="2"/>
  <c r="X102" i="2"/>
  <c r="X103" i="2"/>
  <c r="X111" i="2"/>
  <c r="X112" i="2"/>
  <c r="X113" i="2"/>
  <c r="X114" i="2"/>
  <c r="X115" i="2"/>
  <c r="X116" i="2"/>
  <c r="X117" i="2"/>
  <c r="X124" i="2"/>
  <c r="X125" i="2"/>
  <c r="X126" i="2"/>
  <c r="X127" i="2"/>
  <c r="X128" i="2"/>
  <c r="X129" i="2"/>
  <c r="X130" i="2"/>
  <c r="X131" i="2"/>
  <c r="X132" i="2"/>
  <c r="X133" i="2"/>
  <c r="X134" i="2"/>
  <c r="X139" i="2"/>
  <c r="X140" i="2"/>
  <c r="X141" i="2"/>
  <c r="X142" i="2"/>
  <c r="X143" i="2"/>
  <c r="X144" i="2"/>
  <c r="X145" i="2"/>
  <c r="X146" i="2"/>
  <c r="X147" i="2"/>
  <c r="X148" i="2"/>
  <c r="X149" i="2"/>
  <c r="X150" i="2"/>
  <c r="X151" i="2"/>
  <c r="X152" i="2"/>
  <c r="X153" i="2"/>
  <c r="X155" i="2"/>
  <c r="X156" i="2"/>
  <c r="X157" i="2"/>
  <c r="X158" i="2"/>
  <c r="X167" i="2"/>
  <c r="X3"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3" i="2"/>
  <c r="W54" i="2"/>
  <c r="W55" i="2"/>
  <c r="W56" i="2"/>
  <c r="W57" i="2"/>
  <c r="W58" i="2"/>
  <c r="W59" i="2"/>
  <c r="W60" i="2"/>
  <c r="W61" i="2"/>
  <c r="W62" i="2"/>
  <c r="W63" i="2"/>
  <c r="W64" i="2"/>
  <c r="W69" i="2"/>
  <c r="W70" i="2"/>
  <c r="W80" i="2"/>
  <c r="W81" i="2"/>
  <c r="W83" i="2"/>
  <c r="W85" i="2"/>
  <c r="W86" i="2"/>
  <c r="W87" i="2"/>
  <c r="W88" i="2"/>
  <c r="W89" i="2"/>
  <c r="W90" i="2"/>
  <c r="W91" i="2"/>
  <c r="W98" i="2"/>
  <c r="W99" i="2"/>
  <c r="W100" i="2"/>
  <c r="W102" i="2"/>
  <c r="W103" i="2"/>
  <c r="W111" i="2"/>
  <c r="W112" i="2"/>
  <c r="W113" i="2"/>
  <c r="W114" i="2"/>
  <c r="W115" i="2"/>
  <c r="W116" i="2"/>
  <c r="W117" i="2"/>
  <c r="W124" i="2"/>
  <c r="W125" i="2"/>
  <c r="W126" i="2"/>
  <c r="W127" i="2"/>
  <c r="W128" i="2"/>
  <c r="W129" i="2"/>
  <c r="W130" i="2"/>
  <c r="W131" i="2"/>
  <c r="W132" i="2"/>
  <c r="W133" i="2"/>
  <c r="W134" i="2"/>
  <c r="W139" i="2"/>
  <c r="W140" i="2"/>
  <c r="W141" i="2"/>
  <c r="W142" i="2"/>
  <c r="W143" i="2"/>
  <c r="W144" i="2"/>
  <c r="W145" i="2"/>
  <c r="W146" i="2"/>
  <c r="W147" i="2"/>
  <c r="W148" i="2"/>
  <c r="W149" i="2"/>
  <c r="W150" i="2"/>
  <c r="W151" i="2"/>
  <c r="W152" i="2"/>
  <c r="W153" i="2"/>
  <c r="W155" i="2"/>
  <c r="W156" i="2"/>
  <c r="W157" i="2"/>
  <c r="W158" i="2"/>
  <c r="W167" i="2"/>
  <c r="W3" i="2"/>
  <c r="AD4" i="1"/>
  <c r="AC4" i="6"/>
  <c r="K45" i="6" s="1"/>
  <c r="K38" i="6"/>
  <c r="I38" i="6"/>
  <c r="P5" i="2"/>
  <c r="P6" i="2"/>
  <c r="I32" i="6" s="1"/>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3" i="2"/>
  <c r="P54" i="2"/>
  <c r="P55" i="2"/>
  <c r="P56" i="2"/>
  <c r="P57" i="2"/>
  <c r="P58" i="2"/>
  <c r="P59" i="2"/>
  <c r="P60" i="2"/>
  <c r="P61" i="2"/>
  <c r="P62" i="2"/>
  <c r="P63" i="2"/>
  <c r="P69" i="2"/>
  <c r="P70" i="2"/>
  <c r="P80" i="2"/>
  <c r="P81" i="2"/>
  <c r="P83" i="2"/>
  <c r="P85" i="2"/>
  <c r="P86" i="2"/>
  <c r="P87" i="2"/>
  <c r="P88" i="2"/>
  <c r="P89" i="2"/>
  <c r="P90" i="2"/>
  <c r="P91" i="2"/>
  <c r="P98" i="2"/>
  <c r="P99" i="2"/>
  <c r="P100" i="2"/>
  <c r="P101" i="2"/>
  <c r="P102" i="2"/>
  <c r="P103" i="2"/>
  <c r="P111" i="2"/>
  <c r="P112" i="2"/>
  <c r="P113" i="2"/>
  <c r="P114" i="2"/>
  <c r="P115" i="2"/>
  <c r="P116" i="2"/>
  <c r="P117" i="2"/>
  <c r="P124" i="2"/>
  <c r="P125" i="2"/>
  <c r="P126" i="2"/>
  <c r="P127" i="2"/>
  <c r="P128" i="2"/>
  <c r="P129" i="2"/>
  <c r="P130" i="2"/>
  <c r="P131" i="2"/>
  <c r="P132" i="2"/>
  <c r="P133" i="2"/>
  <c r="P139" i="2"/>
  <c r="P140" i="2"/>
  <c r="P141" i="2"/>
  <c r="P142" i="2"/>
  <c r="P143" i="2"/>
  <c r="P144" i="2"/>
  <c r="P145" i="2"/>
  <c r="P146" i="2"/>
  <c r="P147" i="2"/>
  <c r="P148" i="2"/>
  <c r="P149" i="2"/>
  <c r="P150" i="2"/>
  <c r="P151" i="2"/>
  <c r="P152" i="2"/>
  <c r="P153" i="2"/>
  <c r="P155" i="2"/>
  <c r="P156" i="2"/>
  <c r="P157" i="2"/>
  <c r="P158" i="2"/>
  <c r="P167" i="2"/>
  <c r="P134" i="2"/>
  <c r="P3" i="2"/>
  <c r="M32" i="6"/>
  <c r="I36" i="6"/>
  <c r="K36" i="6"/>
  <c r="S32" i="6" l="1"/>
  <c r="S33" i="1"/>
  <c r="M33" i="1"/>
  <c r="I47" i="1" s="1"/>
  <c r="M31" i="1"/>
  <c r="I41" i="1" s="1"/>
  <c r="K33" i="1"/>
  <c r="O31" i="1"/>
  <c r="I42" i="1" s="1"/>
  <c r="I33" i="1"/>
  <c r="F46" i="1" s="1"/>
  <c r="S31" i="1"/>
  <c r="AE4" i="1" s="1"/>
  <c r="O79" i="1" s="1"/>
  <c r="Q31" i="1"/>
  <c r="I43" i="1" s="1"/>
  <c r="M43" i="1" s="1"/>
  <c r="K31" i="1"/>
  <c r="Q33" i="1"/>
  <c r="I49" i="1" s="1"/>
  <c r="M49" i="1" s="1"/>
  <c r="O33" i="1"/>
  <c r="I48" i="1" s="1"/>
  <c r="I31" i="1"/>
  <c r="F40" i="1" s="1"/>
  <c r="K32" i="6"/>
  <c r="O32" i="6"/>
  <c r="Q32" i="6"/>
  <c r="S34" i="6"/>
  <c r="I34" i="6"/>
  <c r="Q34" i="6"/>
  <c r="M34" i="6"/>
  <c r="M40" i="6" s="1"/>
  <c r="K34" i="6"/>
  <c r="O34" i="6"/>
  <c r="K41" i="1"/>
  <c r="K60" i="1"/>
  <c r="M60" i="1" s="1"/>
  <c r="K59" i="1"/>
  <c r="M59" i="1" s="1"/>
  <c r="K53" i="1"/>
  <c r="M53" i="1" s="1"/>
  <c r="K42" i="1"/>
  <c r="K48" i="1"/>
  <c r="K47" i="1"/>
  <c r="K54" i="1"/>
  <c r="M54" i="1" s="1"/>
  <c r="K48" i="6"/>
  <c r="K46" i="6"/>
  <c r="K47" i="6"/>
  <c r="AD4" i="6" l="1"/>
  <c r="O64" i="6" s="1"/>
  <c r="O67" i="6" s="1"/>
  <c r="M47" i="1"/>
  <c r="M41" i="1"/>
  <c r="M48" i="1"/>
  <c r="M42" i="1"/>
  <c r="O40" i="6"/>
  <c r="I48" i="6" s="1"/>
  <c r="M48" i="6" s="1"/>
  <c r="Q40" i="6"/>
  <c r="I49" i="6" s="1"/>
  <c r="M49" i="6" s="1"/>
  <c r="I46" i="6"/>
  <c r="M46" i="6" s="1"/>
  <c r="I45" i="6"/>
  <c r="M45" i="6" s="1"/>
  <c r="AC4" i="7"/>
  <c r="AC5" i="7" s="1"/>
  <c r="O67" i="1" l="1"/>
  <c r="O70" i="1" s="1"/>
  <c r="AB4" i="7"/>
  <c r="AB5" i="7" s="1"/>
  <c r="I47" i="6"/>
  <c r="M47" i="6" s="1"/>
  <c r="O52" i="6" s="1"/>
  <c r="O55" i="6" s="1"/>
  <c r="K35" i="7"/>
  <c r="K34" i="7"/>
  <c r="O82" i="1"/>
  <c r="H35" i="7" l="1"/>
  <c r="H34" i="7"/>
  <c r="H40" i="7" l="1"/>
</calcChain>
</file>

<file path=xl/sharedStrings.xml><?xml version="1.0" encoding="utf-8"?>
<sst xmlns="http://schemas.openxmlformats.org/spreadsheetml/2006/main" count="1807" uniqueCount="917">
  <si>
    <t>OREGON DEPARTMENT OF TRANSPORTATION</t>
  </si>
  <si>
    <t>Date:</t>
  </si>
  <si>
    <t>to</t>
  </si>
  <si>
    <t>Crash Data From:</t>
  </si>
  <si>
    <t>Prepared By:</t>
  </si>
  <si>
    <t>Title:</t>
  </si>
  <si>
    <t>Rural</t>
  </si>
  <si>
    <t>Other State Highway</t>
  </si>
  <si>
    <t>Annual Benefits =</t>
  </si>
  <si>
    <t xml:space="preserve">B/C Ratio = </t>
  </si>
  <si>
    <t>COUNTY_NAM</t>
  </si>
  <si>
    <t>Project Description:</t>
  </si>
  <si>
    <t>Project Name:</t>
  </si>
  <si>
    <t>Street Name:</t>
  </si>
  <si>
    <t>Route Number:</t>
  </si>
  <si>
    <t>Region:</t>
  </si>
  <si>
    <t>Project on State Highway</t>
  </si>
  <si>
    <t>Hwy Name:</t>
  </si>
  <si>
    <t>Number of Preventable Crashes</t>
  </si>
  <si>
    <t>City:</t>
  </si>
  <si>
    <t>County:</t>
  </si>
  <si>
    <t>MP From:</t>
  </si>
  <si>
    <t>BENEFIT/COST ANALYSIS WORKSHEET</t>
  </si>
  <si>
    <t>Project on Local Agency Facility</t>
  </si>
  <si>
    <t>PDO Crashes</t>
  </si>
  <si>
    <t xml:space="preserve"> Urban</t>
  </si>
  <si>
    <t>10 years</t>
  </si>
  <si>
    <t>20 years</t>
  </si>
  <si>
    <t>Facility</t>
  </si>
  <si>
    <t>CHARACTER</t>
  </si>
  <si>
    <t>FACILITY</t>
  </si>
  <si>
    <t>URBAN</t>
  </si>
  <si>
    <t>RURAL</t>
  </si>
  <si>
    <t>County</t>
  </si>
  <si>
    <t>Hwy</t>
  </si>
  <si>
    <t>U/R</t>
  </si>
  <si>
    <t>DO NOT ERASE</t>
  </si>
  <si>
    <t>Road Character:</t>
  </si>
  <si>
    <t>Notes</t>
  </si>
  <si>
    <t>Economic Value per Crash</t>
  </si>
  <si>
    <t>Total Economic Value</t>
  </si>
  <si>
    <t>Total Crash Value for</t>
  </si>
  <si>
    <t>All facilities</t>
  </si>
  <si>
    <t>Instructions</t>
  </si>
  <si>
    <t xml:space="preserve"> </t>
  </si>
  <si>
    <t>Facility Type:</t>
  </si>
  <si>
    <t>HIGHWAY SAFETY PROJECTS</t>
  </si>
  <si>
    <t xml:space="preserve">Highway Safety Projects </t>
  </si>
  <si>
    <t>Interstate</t>
  </si>
  <si>
    <t>I.O.N.</t>
  </si>
  <si>
    <t>Highway Type</t>
  </si>
  <si>
    <t>Fatal Crashes</t>
  </si>
  <si>
    <t>Severe (Injury A) Injury Crashes</t>
  </si>
  <si>
    <t>Moderate (Injury B) Injury Crashes</t>
  </si>
  <si>
    <t>Minor (Injury C) Injury Crashes</t>
  </si>
  <si>
    <t>Annual Benefits</t>
  </si>
  <si>
    <t>Off System</t>
  </si>
  <si>
    <t>When to Use</t>
  </si>
  <si>
    <t>BC Form by Severity</t>
  </si>
  <si>
    <t>BC Form by Type</t>
  </si>
  <si>
    <t>Current worksheet displaying overview and instructions on how to use this spreadsheet.</t>
  </si>
  <si>
    <t>Combination of BC's</t>
  </si>
  <si>
    <t>Use this worksheet when both of the above are used for a particular project.</t>
  </si>
  <si>
    <t>Worksheet Name</t>
  </si>
  <si>
    <t>Worksheets</t>
  </si>
  <si>
    <t xml:space="preserve">1. Complete project header information, as necessary. FHWA defines urban area as an area with population greater than 5,000. </t>
  </si>
  <si>
    <t>5 years</t>
  </si>
  <si>
    <t>Use this workbook ONLY if you use both 'BC Form by Severity' and 'BC Form by Type' workbooks for your project.</t>
  </si>
  <si>
    <t>Example 1</t>
  </si>
  <si>
    <t>Countermeasure</t>
  </si>
  <si>
    <t>Target Crash</t>
  </si>
  <si>
    <t>Target Severity</t>
  </si>
  <si>
    <t>CRF</t>
  </si>
  <si>
    <t>I2</t>
  </si>
  <si>
    <t>I6</t>
  </si>
  <si>
    <t>BP1</t>
  </si>
  <si>
    <t>All</t>
  </si>
  <si>
    <t>Pedestrian</t>
  </si>
  <si>
    <t>Countermeasures listed above target different crash types; therefore, all three BC Worksheets must be utilized.</t>
  </si>
  <si>
    <t>Countermeasure BP1 targets only Pedestrian crashes. So, ‘BC Form by Type’ and pedestrian crashes will be used for analysis. Since these Pedestrian crashes were also included in the calculation shown above, the reduced pedestrian crashes from the analysis above need to be subtracted from the subsequent calculation. The following pedestrian crashes shall be used in the 'BC Form by Type' Worksheet:</t>
  </si>
  <si>
    <t>CORRIDOR BENEFIT/COST ANALYSIS WORKSHEET</t>
  </si>
  <si>
    <t>Inersection/Segment</t>
  </si>
  <si>
    <t>Uniform Series Present Worth Factor</t>
  </si>
  <si>
    <t>Corridor BC</t>
  </si>
  <si>
    <t>Use this workbook if different countermeasures are used on different intersections/segments/curves within the same corridor.</t>
  </si>
  <si>
    <t>Note: Every intersection/segment/curve may or may not have the same PWF.</t>
  </si>
  <si>
    <t>Before completing this worksheet, complete analysis for individual intersection/segment/curve using the appropriate worksheets mentioned above.</t>
  </si>
  <si>
    <t>2. Enter annual benefits, estimated cost, and the Present Worth Factor for each individual intersection/segment/curve in the Table. If multiple countermeasures with different service lives are used for an individual intersection/segment/curve, use the highest PWF for that intersection/segment/curve .</t>
  </si>
  <si>
    <t>Revision Number</t>
  </si>
  <si>
    <t>Date</t>
  </si>
  <si>
    <t>Revision</t>
  </si>
  <si>
    <t xml:space="preserve">Added tab and corresponding instructions for 'Corridor BC' </t>
  </si>
  <si>
    <t>H1</t>
  </si>
  <si>
    <t xml:space="preserve">Median U-Turn Intersection Treatment </t>
  </si>
  <si>
    <t>Either</t>
  </si>
  <si>
    <t>H2</t>
  </si>
  <si>
    <t>Right Turn Lane on Single Major Road Approach: Unsignalized Intersection (3- or 4-leg)</t>
  </si>
  <si>
    <t>H3</t>
  </si>
  <si>
    <t>Right Turn Lane on Both Major Road Approaches: Unsignalized Intersection (3- or 4-leg)</t>
  </si>
  <si>
    <t>H4</t>
  </si>
  <si>
    <t>Right Turn Lane on Single Major Road Approaches: Signalized Intersection (3- or 4-leg)</t>
  </si>
  <si>
    <t>H5</t>
  </si>
  <si>
    <t>Right Turn Lane on Both Major Road Approaches: Signalized Intersection (3- or 4-leg)</t>
  </si>
  <si>
    <t>H6</t>
  </si>
  <si>
    <t>Channelized Right Turn Lane with Raised Median</t>
  </si>
  <si>
    <t>H7</t>
  </si>
  <si>
    <t>Left Turn Lane on Single Major Road Approach: Urban, Unsignalized Intersection (3-leg)</t>
  </si>
  <si>
    <t>Urban</t>
  </si>
  <si>
    <t>H8</t>
  </si>
  <si>
    <t>Left Turn Lane on Both Major Road Approaches: Urban, Unsignalized Intersection (4-leg)</t>
  </si>
  <si>
    <t>H9</t>
  </si>
  <si>
    <t>Left Turn Lane on Single Major Road Approach: Rural, Unsignalized Intersection (3-leg)</t>
  </si>
  <si>
    <t>H10</t>
  </si>
  <si>
    <t>Left Turn Lane on Both Major Road Approaches: Rural, Unsignalized Intersection (4-leg)</t>
  </si>
  <si>
    <t>H11</t>
  </si>
  <si>
    <t xml:space="preserve">Left Turn Lane on Single Major Road Approach: Urban, Signalized Intersection (3-leg) </t>
  </si>
  <si>
    <t>Left Turn Lane on Single Major Road Approach, Urban, Signalized Intersection (4-leg)</t>
  </si>
  <si>
    <t xml:space="preserve">Urban  </t>
  </si>
  <si>
    <t>H12</t>
  </si>
  <si>
    <t>Left Turn Lane on Both Major Road Approaches: Urban, Signalized Intersection (4-leg)</t>
  </si>
  <si>
    <t>H13</t>
  </si>
  <si>
    <t xml:space="preserve">Left Turn Lane on Single Major Road Approach: Rural, Signalized Intersection (3-leg) </t>
  </si>
  <si>
    <t>Left Turn Lane on Single Major Road Approach, Rural, Signalized Intersection (4-leg)</t>
  </si>
  <si>
    <t>H14</t>
  </si>
  <si>
    <t>Left Turn Lane on Both Major Road Approaches: Rural, Signalized Intersection (4-leg)</t>
  </si>
  <si>
    <t>H15</t>
  </si>
  <si>
    <t>Channelized Left Turn Lane with Raised Median on All Approaches (3- or 4-leg)</t>
  </si>
  <si>
    <t>H16</t>
  </si>
  <si>
    <t>Install Roundabout from Minor Road Stop Control</t>
  </si>
  <si>
    <t>H17</t>
  </si>
  <si>
    <t>Install Roundabout from Signalized Intersection</t>
  </si>
  <si>
    <t>H18</t>
  </si>
  <si>
    <t>Convert to All-Way Stop Control (From Urban 2-Way or Yield Control)</t>
  </si>
  <si>
    <t>Angle</t>
  </si>
  <si>
    <t>H19</t>
  </si>
  <si>
    <t>Convert to All-Way Stop Control (From Rural 2-Way or Yield Control)</t>
  </si>
  <si>
    <t>H20</t>
  </si>
  <si>
    <t>Rear End</t>
  </si>
  <si>
    <t>H21</t>
  </si>
  <si>
    <t>H22</t>
  </si>
  <si>
    <t>Convert 4-Leg Intersection to Two 3-Leg Intersections (Minor St ADT is 15-30% of Total Entering Traffic)</t>
  </si>
  <si>
    <t>H23</t>
  </si>
  <si>
    <t>Convert 4-Leg Intersection to Two 3-Leg Intersections (Minor St ADT is 30% + of Total Entering Traffic)</t>
  </si>
  <si>
    <t>H24</t>
  </si>
  <si>
    <t>Install Rural Median Acceleration Lane</t>
  </si>
  <si>
    <t>H25</t>
  </si>
  <si>
    <t>Install Lighting at Intersection</t>
  </si>
  <si>
    <t>Night</t>
  </si>
  <si>
    <t>H26</t>
  </si>
  <si>
    <t>Install Lighting on a Roadway Segment</t>
  </si>
  <si>
    <t>None - Roadway</t>
  </si>
  <si>
    <t>H27</t>
  </si>
  <si>
    <t>Install Any Type of Median Barrier</t>
  </si>
  <si>
    <t>H28</t>
  </si>
  <si>
    <t>Install New Guardrail (Not Median Barrier Application)</t>
  </si>
  <si>
    <t>Run off the Road</t>
  </si>
  <si>
    <t>H29</t>
  </si>
  <si>
    <t>Install Two Way Left Turn Lane on 2-Lane Road</t>
  </si>
  <si>
    <t>H30</t>
  </si>
  <si>
    <t>Reduce Urban Driveways from 48 to 26 - 48 per mile</t>
  </si>
  <si>
    <t>H31</t>
  </si>
  <si>
    <t>Reduce Urban Driveways from 26 - 48 to 10 - 24 per mile</t>
  </si>
  <si>
    <t>H32</t>
  </si>
  <si>
    <t>Reduce Urban Driveways from 10 - 24 to less than 10 per mile</t>
  </si>
  <si>
    <t>H33</t>
  </si>
  <si>
    <t>Provide a Raised Median, Urban 2-Lane Road</t>
  </si>
  <si>
    <t>H34</t>
  </si>
  <si>
    <t>Provide a Raised Median, Urban Multi-Lane Road</t>
  </si>
  <si>
    <t>H35</t>
  </si>
  <si>
    <t>Provide a Raised Median, Rural Multi-Lane Road</t>
  </si>
  <si>
    <t>H36</t>
  </si>
  <si>
    <t>Install Traversable Median (4 ft. or more)</t>
  </si>
  <si>
    <t>H37</t>
  </si>
  <si>
    <t>H38</t>
  </si>
  <si>
    <t>Widen Rural Paved Lane Width by 1 foot</t>
  </si>
  <si>
    <t>H39</t>
  </si>
  <si>
    <t>Flatten Horizontal Curve (Increase Radius)</t>
  </si>
  <si>
    <t>H40</t>
  </si>
  <si>
    <t>Flatten Crest Vertical Curve</t>
  </si>
  <si>
    <t>H41</t>
  </si>
  <si>
    <t>Improve Superelevation Variance (SV) on Rural Curves (Between 0.01 and 0.02)</t>
  </si>
  <si>
    <t>H42</t>
  </si>
  <si>
    <t>Improve Superelevation Variance (SV) on Rural Curves (More than 0.02)</t>
  </si>
  <si>
    <t>H43</t>
  </si>
  <si>
    <t>Convert from Urban Two-Way to One-Way Traffic</t>
  </si>
  <si>
    <t>H44</t>
  </si>
  <si>
    <t>Increase Pavement Friction by Installing High Friction Surface Treatment - Intersection or Segment Application</t>
  </si>
  <si>
    <t>Wet Road</t>
  </si>
  <si>
    <t>H45</t>
  </si>
  <si>
    <t>Install Urban Variable Speed Limit Signs</t>
  </si>
  <si>
    <t>Install Urban Variable Speed Limit Signs with Queue/Weather Warning System</t>
  </si>
  <si>
    <t>H46</t>
  </si>
  <si>
    <t>Install Rural Variable Speed Limit Signs</t>
  </si>
  <si>
    <t>H47</t>
  </si>
  <si>
    <t>H48</t>
  </si>
  <si>
    <t>Convert 4-Lane Roadway to 3-Lane Roadway with Center Turn Lane (Road Diet)</t>
  </si>
  <si>
    <t>H49</t>
  </si>
  <si>
    <t>Install Truck Escape Ramp</t>
  </si>
  <si>
    <t>Truck</t>
  </si>
  <si>
    <t>H50</t>
  </si>
  <si>
    <t>Install Guide Signs</t>
  </si>
  <si>
    <t>H51</t>
  </si>
  <si>
    <t>Provide an Auxiliary Lane Between an Entrance Ramp and Exit Ramp (Freeway Interchange)</t>
  </si>
  <si>
    <t>H52</t>
  </si>
  <si>
    <t>Extend Deceleration Lane by Approximately 100 ft (Freeway Interchange)</t>
  </si>
  <si>
    <t>H53</t>
  </si>
  <si>
    <t>Extend Acceleration Lane by Approximately 100 ft (Freeway Interchange)</t>
  </si>
  <si>
    <t>Add Acceleration Lane (Interchange)</t>
  </si>
  <si>
    <t>H54</t>
  </si>
  <si>
    <t>H55</t>
  </si>
  <si>
    <t>Truck Priority System (Detection)</t>
  </si>
  <si>
    <t>Angle and Rear-End</t>
  </si>
  <si>
    <t>I1</t>
  </si>
  <si>
    <t>I3</t>
  </si>
  <si>
    <t>Replace Doghouse with Flashing Yellow Arrow Signal Heads</t>
  </si>
  <si>
    <t>Left Turning</t>
  </si>
  <si>
    <t>I4</t>
  </si>
  <si>
    <t>Replace Urban Permissive or Protected/Permissive Left Turns to Protected Only</t>
  </si>
  <si>
    <t>I5</t>
  </si>
  <si>
    <t>Replace Urban Permissive Left Turns to Protected/Permissive</t>
  </si>
  <si>
    <t>I7</t>
  </si>
  <si>
    <t>Install Actuated Advance Warning Dilemma Zone Protection System at High Speed Signals (Microwave Detection)</t>
  </si>
  <si>
    <t>I8</t>
  </si>
  <si>
    <t>Install Flashing Beacons as Advance Warning at Intersections (Not Coordinated with Signal Timing)</t>
  </si>
  <si>
    <t>I9</t>
  </si>
  <si>
    <t>Install Actuated/Coordinated Flashing Beacons as Advance Warning for Signalized Intersections</t>
  </si>
  <si>
    <t>I10</t>
  </si>
  <si>
    <t>Increase Triangle Sight Distance</t>
  </si>
  <si>
    <t>I11</t>
  </si>
  <si>
    <t>I12</t>
  </si>
  <si>
    <t>I13</t>
  </si>
  <si>
    <t>Provide Flashing Beacons at All-Way Stop Controlled Intersections</t>
  </si>
  <si>
    <t>I14</t>
  </si>
  <si>
    <t>Provide Flashing Beacons at Minor Road Stop Controlled Intersections</t>
  </si>
  <si>
    <t>I15</t>
  </si>
  <si>
    <t>Provide Actuated Flashing Beacons Triggered by Approaching Vehicles at Unsignalized Intersections</t>
  </si>
  <si>
    <t>I16</t>
  </si>
  <si>
    <t>I17</t>
  </si>
  <si>
    <t>Install 6 ft. or greater Raised Divider on Stop Approach (Splitter Island)</t>
  </si>
  <si>
    <t>I18</t>
  </si>
  <si>
    <t>Prohibit Right-Turn-On-Red</t>
  </si>
  <si>
    <t>Install Pedestrian Countdown Timer(s)</t>
  </si>
  <si>
    <t>BP2</t>
  </si>
  <si>
    <t>P &amp; B Night</t>
  </si>
  <si>
    <t>BP3</t>
  </si>
  <si>
    <t>Install Urban Leading Pedestrian or Bicycle Interval at Signalized Intersection</t>
  </si>
  <si>
    <t>P &amp; B</t>
  </si>
  <si>
    <t>BP4</t>
  </si>
  <si>
    <t>Install No Pedestrian Phase Feature with Flashing Yellow Arrow</t>
  </si>
  <si>
    <t>BP5</t>
  </si>
  <si>
    <t>Install Urban Green Bike Lanes at Conflict Points</t>
  </si>
  <si>
    <t>Bicycle</t>
  </si>
  <si>
    <t>BP6</t>
  </si>
  <si>
    <t>Install Bike Box at Conflict Points</t>
  </si>
  <si>
    <t>BP7</t>
  </si>
  <si>
    <t>BP11</t>
  </si>
  <si>
    <t>Install Continental Crosswalk Markings and Advance Pedestrian Warning Signs at Uncontrolled Locations</t>
  </si>
  <si>
    <t>BP12</t>
  </si>
  <si>
    <t xml:space="preserve">Install Curb Ramps and Extensions with a Marked Crosswalk and Pedestrian Warning Signs </t>
  </si>
  <si>
    <t>BP13</t>
  </si>
  <si>
    <t>Install Advance Pedestrian or Bicycle Warning Signs</t>
  </si>
  <si>
    <t>BP14</t>
  </si>
  <si>
    <t>Install Pedestrian Signal</t>
  </si>
  <si>
    <t>BP15</t>
  </si>
  <si>
    <t>Install Pedestrian Hybrid Beacon</t>
  </si>
  <si>
    <t>BP16</t>
  </si>
  <si>
    <t>BP17</t>
  </si>
  <si>
    <t>Install Bike Signal</t>
  </si>
  <si>
    <t>BP18</t>
  </si>
  <si>
    <t>Install Bike Lanes</t>
  </si>
  <si>
    <t>BP19</t>
  </si>
  <si>
    <t>Install Cycle Tracks</t>
  </si>
  <si>
    <t>BP20</t>
  </si>
  <si>
    <t>Install Buffered Bike Lanes</t>
  </si>
  <si>
    <t>RD1</t>
  </si>
  <si>
    <t>Increase Distance to Rural Roadside Obstacle from 3 ft. (1 m) to 16 ft. (5 m)</t>
  </si>
  <si>
    <t>RD2</t>
  </si>
  <si>
    <t>Increase Distance to Rural Roadside Obstacle from 16 ft. (5 m) to 30 ft. (9 m)</t>
  </si>
  <si>
    <t>RD3</t>
  </si>
  <si>
    <t>Flatten Rural Side Slopes</t>
  </si>
  <si>
    <t>RD4</t>
  </si>
  <si>
    <t>RD5</t>
  </si>
  <si>
    <t>Provide Safety Edge for Rural Pavement Edge Drop-Off</t>
  </si>
  <si>
    <t>RD6</t>
  </si>
  <si>
    <t>Install RECOMMENDED Chevron Signs on Rural Horizontal Curves</t>
  </si>
  <si>
    <t>Run Off The Road</t>
  </si>
  <si>
    <t>RD7</t>
  </si>
  <si>
    <t>Install REQUIRED Chevron Signs on Rural Horizontal Curves (Ballbanking and Revised Speed Riders Included)</t>
  </si>
  <si>
    <t>RD8</t>
  </si>
  <si>
    <t>Install Oversized, Doubled Up and/or Fluorescent Yellow Sheeting for Advance Curve Warning Signs</t>
  </si>
  <si>
    <t>RD9</t>
  </si>
  <si>
    <t>Provide Static Combination Horizontal Alignment/Advisory Curve Warning Sign</t>
  </si>
  <si>
    <t>RD10</t>
  </si>
  <si>
    <t>Install Advance Curve Warning Flashers (Curve Warning Signs Exist)</t>
  </si>
  <si>
    <t>Curve Crashes</t>
  </si>
  <si>
    <t>RD11</t>
  </si>
  <si>
    <t>RD12</t>
  </si>
  <si>
    <t>Install Raised or Recessed Pavement Markers</t>
  </si>
  <si>
    <t>RD13</t>
  </si>
  <si>
    <t>Install Post-Mounted Delineators (Curve Application)</t>
  </si>
  <si>
    <t>Curve crashes at Night</t>
  </si>
  <si>
    <t>RD14</t>
  </si>
  <si>
    <t>Install Edgeline Striping (Tangent and/or Curve Application)</t>
  </si>
  <si>
    <t>RD15</t>
  </si>
  <si>
    <t>Install Centerline Rumble Strips</t>
  </si>
  <si>
    <t>RD16</t>
  </si>
  <si>
    <t>Install Shoulder Rumble Strips</t>
  </si>
  <si>
    <t>RD17</t>
  </si>
  <si>
    <t>Install Profiled Line Pavement Markings</t>
  </si>
  <si>
    <t>RD18</t>
  </si>
  <si>
    <t>Install Widen Paved Shoulder by 1 ft.</t>
  </si>
  <si>
    <t>RD19</t>
  </si>
  <si>
    <t>Install Widen Paved Shoulder by 2 ft.</t>
  </si>
  <si>
    <t>RD20</t>
  </si>
  <si>
    <t>Install Widen Paved Shoulder by 3 ft.</t>
  </si>
  <si>
    <t>BP21</t>
  </si>
  <si>
    <t>CM No</t>
  </si>
  <si>
    <t>Name</t>
  </si>
  <si>
    <t>Service Life</t>
  </si>
  <si>
    <t xml:space="preserve">Area </t>
  </si>
  <si>
    <t>Target Crash Type</t>
  </si>
  <si>
    <t>Target Crash Severity</t>
  </si>
  <si>
    <t>Crash Reduction Factor (CRF)</t>
  </si>
  <si>
    <t>Service Life     (Years)</t>
  </si>
  <si>
    <t>ODOT Region:</t>
  </si>
  <si>
    <t>To:</t>
  </si>
  <si>
    <t>ODOT Region</t>
  </si>
  <si>
    <t>F &amp; A</t>
  </si>
  <si>
    <t>B &amp; C</t>
  </si>
  <si>
    <t>PDO</t>
  </si>
  <si>
    <t>*</t>
  </si>
  <si>
    <t>Moderate (Injury B) and Minor (Injury C) Injury</t>
  </si>
  <si>
    <r>
      <t xml:space="preserve">Comprehensive Economic Value per Crash </t>
    </r>
    <r>
      <rPr>
        <vertAlign val="superscript"/>
        <sz val="10"/>
        <rFont val="Arial"/>
        <family val="2"/>
      </rPr>
      <t>2,3</t>
    </r>
  </si>
  <si>
    <t>IR</t>
  </si>
  <si>
    <t>Annual Benefits=</t>
  </si>
  <si>
    <t>Total Cost (Present Value)=</t>
  </si>
  <si>
    <t>B/C Ratio=</t>
  </si>
  <si>
    <t>Baker</t>
  </si>
  <si>
    <t>Benton</t>
  </si>
  <si>
    <t>Clackamas</t>
  </si>
  <si>
    <t>Clatsop</t>
  </si>
  <si>
    <t>Columbia</t>
  </si>
  <si>
    <t>Coos</t>
  </si>
  <si>
    <t>Crook</t>
  </si>
  <si>
    <t>Curry</t>
  </si>
  <si>
    <t>Deschutes</t>
  </si>
  <si>
    <t>Douglas</t>
  </si>
  <si>
    <t>Gilliam</t>
  </si>
  <si>
    <t>Grant</t>
  </si>
  <si>
    <t>Harney</t>
  </si>
  <si>
    <t>Hood</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</si>
  <si>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</si>
  <si>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</si>
  <si>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</si>
  <si>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</si>
  <si>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</si>
  <si>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</si>
  <si>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</si>
  <si>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</si>
  <si>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</si>
  <si>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</si>
  <si>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</si>
  <si>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</si>
  <si>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</si>
  <si>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</si>
  <si>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</si>
  <si>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</si>
  <si>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</si>
  <si>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</si>
  <si>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</si>
  <si>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</si>
  <si>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</si>
  <si>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</si>
  <si>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Adrian-Arena Valley</t>
  </si>
  <si>
    <t>Adrian-Caldwell</t>
  </si>
  <si>
    <t>Albany-Corvallis</t>
  </si>
  <si>
    <t>Albany-Junction City</t>
  </si>
  <si>
    <t>Albany-Lyons</t>
  </si>
  <si>
    <t>Alsea</t>
  </si>
  <si>
    <t>Alsea-Deadwood</t>
  </si>
  <si>
    <t>Amity-Dayton</t>
  </si>
  <si>
    <t>Antelope</t>
  </si>
  <si>
    <t>Athena-Holdman</t>
  </si>
  <si>
    <t>Baker-Copperfield</t>
  </si>
  <si>
    <t>Beaverton-Hillsdale</t>
  </si>
  <si>
    <t>Beaverton-Tigard</t>
  </si>
  <si>
    <t>Beaverton-Tualatin</t>
  </si>
  <si>
    <t>Bellevue-Hopewell</t>
  </si>
  <si>
    <t>Beltline</t>
  </si>
  <si>
    <t>Cape Arago</t>
  </si>
  <si>
    <t>Cape Blanco</t>
  </si>
  <si>
    <t>Carpenterville</t>
  </si>
  <si>
    <t>Cascade Hwy North</t>
  </si>
  <si>
    <t>Cascade Hwy South</t>
  </si>
  <si>
    <t>Celilo-Wasco</t>
  </si>
  <si>
    <t>Central Oregon</t>
  </si>
  <si>
    <t>Chiloquin</t>
  </si>
  <si>
    <t>Clackamas-Boring</t>
  </si>
  <si>
    <t>Clear Lake-Belknap Springs</t>
  </si>
  <si>
    <t>Columbia River</t>
  </si>
  <si>
    <t>Coos Bay-Roseburg</t>
  </si>
  <si>
    <t>Coos River</t>
  </si>
  <si>
    <t>Coquille-Bandon</t>
  </si>
  <si>
    <t>Corvallis-Lebanon</t>
  </si>
  <si>
    <t>Corvallis-Newport</t>
  </si>
  <si>
    <t>Cove</t>
  </si>
  <si>
    <t>Crater Lake</t>
  </si>
  <si>
    <t>Crescent Lake</t>
  </si>
  <si>
    <t>Crooked River</t>
  </si>
  <si>
    <t>Culver</t>
  </si>
  <si>
    <t>Dairy-Bonanza</t>
  </si>
  <si>
    <t>Dallas-Rickreall</t>
  </si>
  <si>
    <t>Dooley Mountain</t>
  </si>
  <si>
    <t>Eagle Creek-Sandy</t>
  </si>
  <si>
    <t>East Portland Freeway</t>
  </si>
  <si>
    <t>Eddyville-Blodgett</t>
  </si>
  <si>
    <t>Elkton-Sutherlin</t>
  </si>
  <si>
    <t>Enterprise-Lewiston</t>
  </si>
  <si>
    <t>Eugene-Springfield</t>
  </si>
  <si>
    <t>Farmington</t>
  </si>
  <si>
    <t>Fishhawk Falls</t>
  </si>
  <si>
    <t>Florence-Eugene</t>
  </si>
  <si>
    <t>Fort Stevens</t>
  </si>
  <si>
    <t>Freewater</t>
  </si>
  <si>
    <t>Fremont</t>
  </si>
  <si>
    <t>Frenchglen</t>
  </si>
  <si>
    <t>Goshen-Divide</t>
  </si>
  <si>
    <t>Green Springs</t>
  </si>
  <si>
    <t>Halfway-Cornucopia</t>
  </si>
  <si>
    <t>Halsey-Sweet Home</t>
  </si>
  <si>
    <t>Hatfield</t>
  </si>
  <si>
    <t>Havana-Helix</t>
  </si>
  <si>
    <t>Heppner</t>
  </si>
  <si>
    <t>Heppner-Spray</t>
  </si>
  <si>
    <t>Hermiston</t>
  </si>
  <si>
    <t>Hillsboro-Silverton</t>
  </si>
  <si>
    <t>Historic Columbia River</t>
  </si>
  <si>
    <t>Hood River</t>
  </si>
  <si>
    <t>Huntington</t>
  </si>
  <si>
    <t>Independence</t>
  </si>
  <si>
    <t>Jacksonville</t>
  </si>
  <si>
    <t>John Day</t>
  </si>
  <si>
    <t>John Day-Burns</t>
  </si>
  <si>
    <t>Joseph-Wallowa Lake</t>
  </si>
  <si>
    <t>Kimberly-Long Creek</t>
  </si>
  <si>
    <t>Kings Valley</t>
  </si>
  <si>
    <t>Klamath Falls-Lakeview</t>
  </si>
  <si>
    <t>Klamath Falls-Malin</t>
  </si>
  <si>
    <t>La Grande-Baker</t>
  </si>
  <si>
    <t>Lafayette</t>
  </si>
  <si>
    <t>Lake Of The Woods</t>
  </si>
  <si>
    <t>Lakeview-Burns</t>
  </si>
  <si>
    <t>Lexington-Echo</t>
  </si>
  <si>
    <t>Little Nestucca</t>
  </si>
  <si>
    <t>Little Sheep Creek</t>
  </si>
  <si>
    <t>Madras-Prineville</t>
  </si>
  <si>
    <t>Mapleton-Junction City</t>
  </si>
  <si>
    <t>Mckenzie</t>
  </si>
  <si>
    <t>Mckenzie-Bend</t>
  </si>
  <si>
    <t>Mcnary</t>
  </si>
  <si>
    <t>Mcvay</t>
  </si>
  <si>
    <t>Medical Springs</t>
  </si>
  <si>
    <t>Midland</t>
  </si>
  <si>
    <t>Mist-Clatskanie</t>
  </si>
  <si>
    <t>Monmouth</t>
  </si>
  <si>
    <t>Monmouth-Independence</t>
  </si>
  <si>
    <t>Mosier-The Dalles</t>
  </si>
  <si>
    <t>Mt. Hood</t>
  </si>
  <si>
    <t>Necanicum</t>
  </si>
  <si>
    <t>Nehalem</t>
  </si>
  <si>
    <t>Netarts</t>
  </si>
  <si>
    <t>North Santiam</t>
  </si>
  <si>
    <t>North Umpqua</t>
  </si>
  <si>
    <t>Northeast Portland</t>
  </si>
  <si>
    <t>Ochoco</t>
  </si>
  <si>
    <t>Odell</t>
  </si>
  <si>
    <t>Old Oregon Trail</t>
  </si>
  <si>
    <t>Olds Ferry-Ontario</t>
  </si>
  <si>
    <t>O'Neil</t>
  </si>
  <si>
    <t>Oregon Caves</t>
  </si>
  <si>
    <t>Oregon Coast</t>
  </si>
  <si>
    <t>Oregon-Washington</t>
  </si>
  <si>
    <t>Oswego</t>
  </si>
  <si>
    <t>Otter Rock</t>
  </si>
  <si>
    <t>Pacific</t>
  </si>
  <si>
    <t>Pacific Highway East</t>
  </si>
  <si>
    <t>Pacific Highway West</t>
  </si>
  <si>
    <t>Paulina</t>
  </si>
  <si>
    <t>Pendleton</t>
  </si>
  <si>
    <t>Pendleton-Cold Springs</t>
  </si>
  <si>
    <t>Pendleton-John Day</t>
  </si>
  <si>
    <t>Pine Creek</t>
  </si>
  <si>
    <t>Port Orford</t>
  </si>
  <si>
    <t>Powers</t>
  </si>
  <si>
    <t>Rogue River</t>
  </si>
  <si>
    <t>Rogue River Loop</t>
  </si>
  <si>
    <t>Rogue Valley</t>
  </si>
  <si>
    <t>Salem</t>
  </si>
  <si>
    <t>Salem-Dayton</t>
  </si>
  <si>
    <t>Salmon River</t>
  </si>
  <si>
    <t>Sams Valley</t>
  </si>
  <si>
    <t>Santiam</t>
  </si>
  <si>
    <t>Scholls</t>
  </si>
  <si>
    <t>Service Creek-Mitchell</t>
  </si>
  <si>
    <t>Shaniko-Fossil</t>
  </si>
  <si>
    <t>Sherars Bridge</t>
  </si>
  <si>
    <t>Siletz</t>
  </si>
  <si>
    <t>Silver Creek Falls</t>
  </si>
  <si>
    <t>Siskiyou</t>
  </si>
  <si>
    <t>South Klamath Falls</t>
  </si>
  <si>
    <t>Springfield</t>
  </si>
  <si>
    <t>Springfield-Creswell</t>
  </si>
  <si>
    <t>Stadium Freeway</t>
  </si>
  <si>
    <t>Steens</t>
  </si>
  <si>
    <t>Succor Creek</t>
  </si>
  <si>
    <t>Sumpter</t>
  </si>
  <si>
    <t>Sunnyside-Umapine</t>
  </si>
  <si>
    <t>Sunset</t>
  </si>
  <si>
    <t>Swift</t>
  </si>
  <si>
    <t>Territorial</t>
  </si>
  <si>
    <t>The Dalles-California</t>
  </si>
  <si>
    <t>Three Rivers</t>
  </si>
  <si>
    <t>Timberline</t>
  </si>
  <si>
    <t>Tualatin Valley</t>
  </si>
  <si>
    <t>Ukiah-Hilgard</t>
  </si>
  <si>
    <t>Umatilla Mission</t>
  </si>
  <si>
    <t>Umatilla-Stanfield</t>
  </si>
  <si>
    <t>Umpqua</t>
  </si>
  <si>
    <t>Vale-West</t>
  </si>
  <si>
    <t>Wallowa Lake</t>
  </si>
  <si>
    <t>Wapinitia</t>
  </si>
  <si>
    <t>Warm Springs</t>
  </si>
  <si>
    <t>Warner</t>
  </si>
  <si>
    <t>Warrenton-Astoria</t>
  </si>
  <si>
    <t>Wasco-Heppner</t>
  </si>
  <si>
    <t>West Diamond Lake</t>
  </si>
  <si>
    <t>Weston-Elgin</t>
  </si>
  <si>
    <t>Whitney</t>
  </si>
  <si>
    <t>Willamette</t>
  </si>
  <si>
    <t>Willamina-Salem</t>
  </si>
  <si>
    <t>Willamina-Sheridan</t>
  </si>
  <si>
    <t>Wilson River</t>
  </si>
  <si>
    <t>Wilsonville-Hubbard</t>
  </si>
  <si>
    <t>Woodburn-Estacada</t>
  </si>
  <si>
    <t>Yamhill-Newberg</t>
  </si>
  <si>
    <t/>
  </si>
  <si>
    <t>Economic Value Per Crash</t>
  </si>
  <si>
    <t>Service Year</t>
  </si>
  <si>
    <t>Int</t>
  </si>
  <si>
    <t>From Severity Worksheet:</t>
  </si>
  <si>
    <t>From Crash Type Worksheet:</t>
  </si>
  <si>
    <t>Estimated Cost (Present Value)</t>
  </si>
  <si>
    <r>
      <t xml:space="preserve">Annual Maintenance and Operation Cost </t>
    </r>
    <r>
      <rPr>
        <b/>
        <vertAlign val="superscript"/>
        <sz val="11"/>
        <rFont val="Arial"/>
        <family val="2"/>
      </rPr>
      <t>5</t>
    </r>
    <r>
      <rPr>
        <b/>
        <sz val="11"/>
        <rFont val="Arial"/>
        <family val="2"/>
      </rPr>
      <t>=</t>
    </r>
  </si>
  <si>
    <r>
      <t xml:space="preserve">Total Project Cost </t>
    </r>
    <r>
      <rPr>
        <b/>
        <vertAlign val="superscript"/>
        <sz val="11"/>
        <rFont val="Arial"/>
        <family val="2"/>
      </rPr>
      <t>4</t>
    </r>
    <r>
      <rPr>
        <b/>
        <sz val="11"/>
        <rFont val="Arial"/>
        <family val="2"/>
      </rPr>
      <t>=</t>
    </r>
  </si>
  <si>
    <t>Composite CRF</t>
  </si>
  <si>
    <t>Use this worksheet to calculate project benefit cost ratio when the project includes more than one segment/intersection.</t>
  </si>
  <si>
    <t>2. Enter Road Character (Cell D20) and Facility Type (Cell F20) data from the drop-down menu. These data are required.</t>
  </si>
  <si>
    <t>3. Enter Crash Data From and To (Cells N22 and S22) in the date  (MM/DD/YYYY) format. These data are required.</t>
  </si>
  <si>
    <t>All information in this worksheet will be auto populated from the previous two worksheets.</t>
  </si>
  <si>
    <t>Oregon Department of Transportation</t>
  </si>
  <si>
    <t>(503) 986-3573</t>
  </si>
  <si>
    <t>Proposed Improvements</t>
  </si>
  <si>
    <r>
      <t>Crash Reduction Factor (CRF)</t>
    </r>
    <r>
      <rPr>
        <b/>
        <vertAlign val="superscript"/>
        <sz val="11"/>
        <rFont val="Arial"/>
        <family val="2"/>
      </rPr>
      <t>1</t>
    </r>
  </si>
  <si>
    <r>
      <t xml:space="preserve">Uniform Series Present Worth Factor </t>
    </r>
    <r>
      <rPr>
        <vertAlign val="superscript"/>
        <sz val="10"/>
        <rFont val="Arial"/>
        <family val="2"/>
      </rPr>
      <t>*</t>
    </r>
  </si>
  <si>
    <t>* At 5% interest rate</t>
  </si>
  <si>
    <t xml:space="preserve">Based on last five year’s data, following are observed crashes of an urban intersection (state highway and local road): </t>
  </si>
  <si>
    <r>
      <t xml:space="preserve">· </t>
    </r>
    <r>
      <rPr>
        <sz val="10"/>
        <rFont val="Arial"/>
        <family val="2"/>
      </rPr>
      <t xml:space="preserve">Fatal: 1 </t>
    </r>
  </si>
  <si>
    <r>
      <t xml:space="preserve">· </t>
    </r>
    <r>
      <rPr>
        <sz val="10"/>
        <rFont val="Arial"/>
        <family val="2"/>
      </rPr>
      <t>Injury A: 4 (1 ped crash)</t>
    </r>
  </si>
  <si>
    <r>
      <t xml:space="preserve">· </t>
    </r>
    <r>
      <rPr>
        <sz val="10"/>
        <rFont val="Arial"/>
        <family val="2"/>
      </rPr>
      <t>Injury B: 10 (2 ped crashes)</t>
    </r>
  </si>
  <si>
    <r>
      <t xml:space="preserve">· </t>
    </r>
    <r>
      <rPr>
        <sz val="10"/>
        <rFont val="Arial"/>
        <family val="2"/>
      </rPr>
      <t>Injury C: 15</t>
    </r>
  </si>
  <si>
    <r>
      <t xml:space="preserve">· </t>
    </r>
    <r>
      <rPr>
        <sz val="10"/>
        <rFont val="Arial"/>
        <family val="2"/>
      </rPr>
      <t>PDO: 28</t>
    </r>
  </si>
  <si>
    <t>As part of a safety project, following three countermeasures will be implemented at this intersection.</t>
  </si>
  <si>
    <t>Contact</t>
  </si>
  <si>
    <t>F&amp; I</t>
  </si>
  <si>
    <t>If you have any questions on this workbook, please contact:</t>
  </si>
  <si>
    <t>Cross Street:</t>
  </si>
  <si>
    <t>MP Range:</t>
  </si>
  <si>
    <t>Hwy Number:</t>
  </si>
  <si>
    <t>Lower Columbia River [92]</t>
  </si>
  <si>
    <t>I-5</t>
  </si>
  <si>
    <t>I-82</t>
  </si>
  <si>
    <t>I-84</t>
  </si>
  <si>
    <t>I-105</t>
  </si>
  <si>
    <t>I-405</t>
  </si>
  <si>
    <t>ROUTE_NO</t>
  </si>
  <si>
    <t>HWY_NO</t>
  </si>
  <si>
    <t>HWY_NAME</t>
  </si>
  <si>
    <t>001E</t>
  </si>
  <si>
    <t>001W</t>
  </si>
  <si>
    <t>002W</t>
  </si>
  <si>
    <t>Parma Spur</t>
  </si>
  <si>
    <t>Weiser Spur</t>
  </si>
  <si>
    <t>Redmond Spur</t>
  </si>
  <si>
    <t>Baker-Copperfield Spur</t>
  </si>
  <si>
    <t>Mcminnville Spur</t>
  </si>
  <si>
    <t>Esplanade Spur</t>
  </si>
  <si>
    <t>Fort Stevens Spur</t>
  </si>
  <si>
    <t>Gold Hill Spur</t>
  </si>
  <si>
    <t>Chiloquin Spur</t>
  </si>
  <si>
    <t>Homedale Spur</t>
  </si>
  <si>
    <t>Payette Spur</t>
  </si>
  <si>
    <t>Ontario Spur</t>
  </si>
  <si>
    <t>County*:</t>
  </si>
  <si>
    <t>Road Character*:</t>
  </si>
  <si>
    <t>Hwy Number*:</t>
  </si>
  <si>
    <t>Hwy Name*:</t>
  </si>
  <si>
    <t>Facility Type*:</t>
  </si>
  <si>
    <t>Route Number*:</t>
  </si>
  <si>
    <t>=</t>
  </si>
  <si>
    <t>Months</t>
  </si>
  <si>
    <t xml:space="preserve"> Months</t>
  </si>
  <si>
    <t>Project Costs=</t>
  </si>
  <si>
    <t>Number of Observed Crashes</t>
  </si>
  <si>
    <t>Fatal &amp; Injury A Crashes</t>
  </si>
  <si>
    <t>Injury B &amp; C Crashes</t>
  </si>
  <si>
    <t xml:space="preserve"> Auto calculated/generated fields</t>
  </si>
  <si>
    <t xml:space="preserve"> Required information</t>
  </si>
  <si>
    <t xml:space="preserve"> Supporting information</t>
  </si>
  <si>
    <t xml:space="preserve"> Information from drop-down menu</t>
  </si>
  <si>
    <t>You must also enter required information in "Cover" worksheet</t>
  </si>
  <si>
    <t>Countermeasure 1*</t>
  </si>
  <si>
    <t>Countermeasure 2*</t>
  </si>
  <si>
    <t>Countermeasure 3*</t>
  </si>
  <si>
    <t>Countermeasure 4*</t>
  </si>
  <si>
    <t>#</t>
  </si>
  <si>
    <t>This spreadsheet contains following worksheets:</t>
  </si>
  <si>
    <t>Cover</t>
  </si>
  <si>
    <t xml:space="preserve">Required information in this worksheet must be filled in order to make auto calculation work on other worksheets. </t>
  </si>
  <si>
    <t>1. Most of the information on this page will be auto generated/calculated.</t>
  </si>
  <si>
    <t>2. In Cell D32, pick a countermeasure from the drop-down list. Target crash type, target severity type, CRFs, and service life will be automatically populated in the respective cells.
Pick countermeasures in Cells D34, D36, and D38, if more than one countermeasure is used.</t>
  </si>
  <si>
    <t>3. Using ODOT-Reported Crashes ONLY, enter the number of crashes for each crash severity in Cells G45 thru G49 for the specified time period.</t>
  </si>
  <si>
    <t>4. In Cell O58, enter estimated cost to implement the countermeasures shown in Cells D32 thru D38.</t>
  </si>
  <si>
    <t>5. In Cell O61, enter annual maintenance and operation cost, if any, for the countermeasures shown in Cells D32 thru D38.</t>
  </si>
  <si>
    <t>2. In Cell D31, pick a countermeasure from the drop-down list. Target crash type, target severity type, CRFs, and service life will be automatically populated in the respective cells.
Pick countermeasures in Cells D33, D35, and D37, if more than one countermeasure is used.</t>
  </si>
  <si>
    <t xml:space="preserve">3. For each countermeasure entered in Cells D31 thru D37, in Cells G41 thru G61 enter the number of crashes of target crash types for different severities (ODOT-Reported Crashes ONLY) for the specified time period. If you also used 'BC Form by Severity' for your project and the countermeasure(s) being used in the 'BC Form by Type'  Worksheet apply to some of the same crashes used in the 'BC Form by Severity' Worksheet, the number of crashes that are expected to be reduced from the countermeasure(s) on the 'BC Form by Severity' Worksheet MUST be subtracted from the total number of crashes being used in the 'BC Form by Type'  Worksheet. Input this reduced number of crashes in Rows G41 thru G61.  See Example 1 below. </t>
  </si>
  <si>
    <t>4. In Cell O73, enter estimated cost to implement the countermeasure(s) shown in Cells D31 thru D37.</t>
  </si>
  <si>
    <t xml:space="preserve">5. In Cell O76, enter annual maintenance and operation costs for the countermeasures, if any, shown in Cell D31 thru D37. </t>
  </si>
  <si>
    <t>christina.a.mcdaniel-wilson@odot.state.or.us</t>
  </si>
  <si>
    <t>H56</t>
  </si>
  <si>
    <t>H57</t>
  </si>
  <si>
    <t>H58</t>
  </si>
  <si>
    <t>Dual/Double Left Turn Lanes</t>
  </si>
  <si>
    <t>Convert Two-Way Left-Turn Lane to Raised Median</t>
  </si>
  <si>
    <t>Install offset (buffered) right turn lane</t>
  </si>
  <si>
    <t>Angle and Turning</t>
  </si>
  <si>
    <t>Add 3-inch yellow retroreflective sheeting to signal backplates</t>
  </si>
  <si>
    <t>Replace 8-inch red signal heads with 12-inch</t>
  </si>
  <si>
    <t>Increase Signal Head Quantity - Additional Primary Head</t>
  </si>
  <si>
    <t>Replace Incandescent Traffic Signal Bulbs with Light Emitting Diodes (LEDs)</t>
  </si>
  <si>
    <t>Replace night time flash with stead operation</t>
  </si>
  <si>
    <t>Change from permissive only to FYA - permissive only</t>
  </si>
  <si>
    <t>Increase retroreflectivity of Stop Signs (reflective strips on sign post optional)</t>
  </si>
  <si>
    <t>Install Transverse Rumble Strips on Stop Controlled Approach(es)</t>
  </si>
  <si>
    <t>I19</t>
  </si>
  <si>
    <t>Provide "Stop Ahead" pavement markings</t>
  </si>
  <si>
    <t>I20</t>
  </si>
  <si>
    <t>Provide overhead lane-use signs</t>
  </si>
  <si>
    <t>I21</t>
  </si>
  <si>
    <t>Install Pedestrian Refuge Island</t>
  </si>
  <si>
    <t>BP22</t>
  </si>
  <si>
    <t>BP23</t>
  </si>
  <si>
    <t>BP24</t>
  </si>
  <si>
    <t>Advanced Yield and Stop Markings &amp; Signs</t>
  </si>
  <si>
    <t>Install Bicycle Boulevard</t>
  </si>
  <si>
    <t>Install Raised Crosswalk</t>
  </si>
  <si>
    <t>BP25</t>
  </si>
  <si>
    <t>Install Speed Humps/Table (not on state highways)</t>
  </si>
  <si>
    <t>Install Dynamic Speed Feedback Sign for Curves</t>
  </si>
  <si>
    <t>Night &amp; Wet Road</t>
  </si>
  <si>
    <t>Head On &amp; Sideswipe Meeting</t>
  </si>
  <si>
    <t>RD21</t>
  </si>
  <si>
    <t>Upgrade existing markings to wet-reflective pavement markings</t>
  </si>
  <si>
    <t>RD22</t>
  </si>
  <si>
    <t>RD23</t>
  </si>
  <si>
    <t>RD24</t>
  </si>
  <si>
    <t>RD25</t>
  </si>
  <si>
    <t>Install wider edgelines (4 in. to 6 in.)</t>
  </si>
  <si>
    <t>RD26</t>
  </si>
  <si>
    <t>Install Wildlife Detection System</t>
  </si>
  <si>
    <t>Install Seasonal Wildlife Warning Signs</t>
  </si>
  <si>
    <t>High Risk Rural Roads and/or Older Driver</t>
  </si>
  <si>
    <t>Install Pedestrian Activated Beacon at Intersection</t>
  </si>
  <si>
    <t>Install Pedestrian Activated Beacon Midblock</t>
  </si>
  <si>
    <t>Install Pedestrian Activated Beacon (flashing Beacon in conjuction with median and stop bar)</t>
  </si>
  <si>
    <t>Increase Pavement Friction by Installing High Friction Surface Treatment - Ramps Application</t>
  </si>
  <si>
    <t>Increase Pavement Friction by Installing High Friction Surface Treatment - Curves Application</t>
  </si>
  <si>
    <t>Install Adaptive Signal Timing of Urban Traffic Signals</t>
  </si>
  <si>
    <t>Provide Intersection Lighting (Bike &amp; Ped)</t>
  </si>
  <si>
    <t>Install Rectangular Rapid Flashing Beacon (2-Lane Road)</t>
  </si>
  <si>
    <t>Install Rectangular Rapid Flashing Beacon without Median (3-Lane or More Roadway)</t>
  </si>
  <si>
    <t>Install Rectangular Rapid Flashing Beacon with Median (3-Lane or More Roadway)</t>
  </si>
  <si>
    <t>H59</t>
  </si>
  <si>
    <r>
      <rPr>
        <b/>
        <sz val="10"/>
        <rFont val="Arial"/>
        <family val="2"/>
      </rPr>
      <t>1.</t>
    </r>
    <r>
      <rPr>
        <sz val="10"/>
        <rFont val="Arial"/>
        <family val="2"/>
      </rPr>
      <t xml:space="preserve"> If a CRF Value is shown as #, check the ODOT CRF List and enter the CRF value manually in Column V of the appropriate countermeasure in "Fields" Worksheet.</t>
    </r>
  </si>
  <si>
    <r>
      <rPr>
        <b/>
        <sz val="10"/>
        <rFont val="Arial"/>
        <family val="2"/>
      </rPr>
      <t>3.</t>
    </r>
    <r>
      <rPr>
        <sz val="10"/>
        <rFont val="Arial"/>
        <family val="2"/>
      </rPr>
      <t xml:space="preserve"> PDO value is adjusted with an under reporting factor of 2.0.</t>
    </r>
  </si>
  <si>
    <r>
      <rPr>
        <b/>
        <sz val="10"/>
        <rFont val="Arial"/>
        <family val="2"/>
      </rPr>
      <t>4.</t>
    </r>
    <r>
      <rPr>
        <sz val="10"/>
        <rFont val="Arial"/>
        <family val="2"/>
      </rPr>
      <t xml:space="preserve"> Use Cost Estimation Worksheet. Includes contingency.</t>
    </r>
  </si>
  <si>
    <r>
      <rPr>
        <b/>
        <sz val="10"/>
        <rFont val="Arial"/>
        <family val="2"/>
      </rPr>
      <t>5</t>
    </r>
    <r>
      <rPr>
        <sz val="10"/>
        <rFont val="Arial"/>
        <family val="2"/>
      </rPr>
      <t>. Includes utility cost, if applicable.</t>
    </r>
  </si>
  <si>
    <t>State Traffic Safety Engineer</t>
  </si>
  <si>
    <t>Important: an interest rate of 5% has been used to calculate Present Worth Factor (PWF).</t>
  </si>
  <si>
    <t>I-205</t>
  </si>
  <si>
    <t>OR-10</t>
  </si>
  <si>
    <t>OR-103</t>
  </si>
  <si>
    <t>OR-104</t>
  </si>
  <si>
    <t>OR-104S</t>
  </si>
  <si>
    <t>OR-11</t>
  </si>
  <si>
    <t>OR-120</t>
  </si>
  <si>
    <t>OR-126</t>
  </si>
  <si>
    <t>OR-126B</t>
  </si>
  <si>
    <t>OR-130</t>
  </si>
  <si>
    <t>OR-131</t>
  </si>
  <si>
    <t>OR-132</t>
  </si>
  <si>
    <t>OR-138</t>
  </si>
  <si>
    <t>OR-140</t>
  </si>
  <si>
    <t>OR-141</t>
  </si>
  <si>
    <t>OR-153</t>
  </si>
  <si>
    <t>OR-154</t>
  </si>
  <si>
    <t>OR-164</t>
  </si>
  <si>
    <t>OR-173</t>
  </si>
  <si>
    <t>OR-18</t>
  </si>
  <si>
    <t>OR-180</t>
  </si>
  <si>
    <t>OR-18B</t>
  </si>
  <si>
    <t>OR-19</t>
  </si>
  <si>
    <t>OR-194</t>
  </si>
  <si>
    <t>OR-200</t>
  </si>
  <si>
    <t>OR-201</t>
  </si>
  <si>
    <t>OR-202</t>
  </si>
  <si>
    <t>OR-203</t>
  </si>
  <si>
    <t>OR-204</t>
  </si>
  <si>
    <t>OR-205</t>
  </si>
  <si>
    <t>OR-206</t>
  </si>
  <si>
    <t>OR-207</t>
  </si>
  <si>
    <t>OR-210</t>
  </si>
  <si>
    <t>OR-211</t>
  </si>
  <si>
    <t>OR-212</t>
  </si>
  <si>
    <t>OR-213</t>
  </si>
  <si>
    <t>OR-214</t>
  </si>
  <si>
    <t>OR-216</t>
  </si>
  <si>
    <t>OR-217</t>
  </si>
  <si>
    <t>OR-218</t>
  </si>
  <si>
    <t>OR-219</t>
  </si>
  <si>
    <t>OR-22</t>
  </si>
  <si>
    <t>OR-221</t>
  </si>
  <si>
    <t>OR-223</t>
  </si>
  <si>
    <t>OR-224</t>
  </si>
  <si>
    <t>OR-225</t>
  </si>
  <si>
    <t>OR-226</t>
  </si>
  <si>
    <t>OR-228</t>
  </si>
  <si>
    <t>OR-229</t>
  </si>
  <si>
    <t>OR-230</t>
  </si>
  <si>
    <t>OR-233</t>
  </si>
  <si>
    <t>OR-234</t>
  </si>
  <si>
    <t>OR-237</t>
  </si>
  <si>
    <t>OR-238</t>
  </si>
  <si>
    <t>OR-240</t>
  </si>
  <si>
    <t>OR-241</t>
  </si>
  <si>
    <t>OR-242</t>
  </si>
  <si>
    <t>OR-244</t>
  </si>
  <si>
    <t>OR-245</t>
  </si>
  <si>
    <t>OR-250</t>
  </si>
  <si>
    <t>OR-251</t>
  </si>
  <si>
    <t>OR-255</t>
  </si>
  <si>
    <t>OR-260</t>
  </si>
  <si>
    <t>OR-27</t>
  </si>
  <si>
    <t>OR-273</t>
  </si>
  <si>
    <t>OR-281</t>
  </si>
  <si>
    <t>OR-282</t>
  </si>
  <si>
    <t>OR-293</t>
  </si>
  <si>
    <t>OR-3</t>
  </si>
  <si>
    <t>OR-31</t>
  </si>
  <si>
    <t>OR-331</t>
  </si>
  <si>
    <t>OR-332</t>
  </si>
  <si>
    <t>OR-334</t>
  </si>
  <si>
    <t>OR-335</t>
  </si>
  <si>
    <t>OR-339</t>
  </si>
  <si>
    <t>OR-34</t>
  </si>
  <si>
    <t>OR-35</t>
  </si>
  <si>
    <t>OR-350</t>
  </si>
  <si>
    <t>OR-351</t>
  </si>
  <si>
    <t>OR-36</t>
  </si>
  <si>
    <t>OR-361</t>
  </si>
  <si>
    <t>OR-37</t>
  </si>
  <si>
    <t>OR-370</t>
  </si>
  <si>
    <t>OR-38</t>
  </si>
  <si>
    <t>OR-380</t>
  </si>
  <si>
    <t>OR-39</t>
  </si>
  <si>
    <t>OR-402</t>
  </si>
  <si>
    <t>OR-410</t>
  </si>
  <si>
    <t>OR-413</t>
  </si>
  <si>
    <t>OR-414</t>
  </si>
  <si>
    <t>OR-42</t>
  </si>
  <si>
    <t>OR-422</t>
  </si>
  <si>
    <t>OR-422S</t>
  </si>
  <si>
    <t>OR-429</t>
  </si>
  <si>
    <t>OR-42S</t>
  </si>
  <si>
    <t>OR-43</t>
  </si>
  <si>
    <t>OR-451</t>
  </si>
  <si>
    <t>OR-452</t>
  </si>
  <si>
    <t>OR-453</t>
  </si>
  <si>
    <t>OR-454</t>
  </si>
  <si>
    <t>OR-46</t>
  </si>
  <si>
    <t>OR-47</t>
  </si>
  <si>
    <t>OR-501</t>
  </si>
  <si>
    <t>OR-51</t>
  </si>
  <si>
    <t>OR-52</t>
  </si>
  <si>
    <t>OR-528</t>
  </si>
  <si>
    <t>OR-53</t>
  </si>
  <si>
    <t>OR-540</t>
  </si>
  <si>
    <t>OR-542</t>
  </si>
  <si>
    <t>OR-551</t>
  </si>
  <si>
    <t>OR-569</t>
  </si>
  <si>
    <t>OR-58</t>
  </si>
  <si>
    <t>OR-6</t>
  </si>
  <si>
    <t>OR-62</t>
  </si>
  <si>
    <t>OR-66</t>
  </si>
  <si>
    <t>OR-7</t>
  </si>
  <si>
    <t>OR-70</t>
  </si>
  <si>
    <t>OR-74</t>
  </si>
  <si>
    <t>OR-78</t>
  </si>
  <si>
    <t>OR-8</t>
  </si>
  <si>
    <t>OR-82</t>
  </si>
  <si>
    <t>OR-86</t>
  </si>
  <si>
    <t>OR-86S</t>
  </si>
  <si>
    <t>OR-99</t>
  </si>
  <si>
    <t>OR-99E</t>
  </si>
  <si>
    <t>OR-99EB</t>
  </si>
  <si>
    <t>OR-99W</t>
  </si>
  <si>
    <t>US-101</t>
  </si>
  <si>
    <t>US-101B</t>
  </si>
  <si>
    <t>US-197</t>
  </si>
  <si>
    <t>US-199</t>
  </si>
  <si>
    <t>US-20</t>
  </si>
  <si>
    <t>US-26</t>
  </si>
  <si>
    <t>US-30</t>
  </si>
  <si>
    <t>US-30B</t>
  </si>
  <si>
    <t>US-30BY</t>
  </si>
  <si>
    <t>US-395</t>
  </si>
  <si>
    <t>US-730</t>
  </si>
  <si>
    <t>US-95</t>
  </si>
  <si>
    <t>US-95S</t>
  </si>
  <si>
    <t>US-97</t>
  </si>
  <si>
    <t>US-97B</t>
  </si>
  <si>
    <t xml:space="preserve">Redmond </t>
  </si>
  <si>
    <t>Install Urban Traffic Signal</t>
  </si>
  <si>
    <t>Install Rural Traffic Signal</t>
  </si>
  <si>
    <t>Install Passing Lane  or Climbing Lane on Rural, 2-Lane Roadway</t>
  </si>
  <si>
    <t>H60</t>
  </si>
  <si>
    <t>Reduce Intersection Skew Angle (Minor Street Stop-Controlled Intersections Only) on 3-Leg intersection</t>
  </si>
  <si>
    <t>H61</t>
  </si>
  <si>
    <t>Reduce Intersection Skew Angle (Minor Street Stop-Controlled Intersections Only) on 4-Leg intersection</t>
  </si>
  <si>
    <t>H62</t>
  </si>
  <si>
    <t>H63</t>
  </si>
  <si>
    <t>H64</t>
  </si>
  <si>
    <t>H65</t>
  </si>
  <si>
    <t>H66</t>
  </si>
  <si>
    <t>Protected Left Turn - Split Side Street Signal Phasing</t>
  </si>
  <si>
    <t>Left Turning Traffic Calming Treatments (Left Turn Wedge), Posted Speeds &lt; 35 MPH</t>
  </si>
  <si>
    <t>Left Turning Traffic Calming Treatments (Hardened Centerline), posted speeds &lt;35 MPH</t>
  </si>
  <si>
    <t>I22</t>
  </si>
  <si>
    <t>Install Advance Warning Signs (Signal Ahead)</t>
  </si>
  <si>
    <t>I23</t>
  </si>
  <si>
    <t>I24</t>
  </si>
  <si>
    <t>I25</t>
  </si>
  <si>
    <t>I26</t>
  </si>
  <si>
    <t>I27</t>
  </si>
  <si>
    <t>I28</t>
  </si>
  <si>
    <t>I29</t>
  </si>
  <si>
    <t>I30</t>
  </si>
  <si>
    <t>I31</t>
  </si>
  <si>
    <t>I32</t>
  </si>
  <si>
    <t>I33</t>
  </si>
  <si>
    <t>Curb Extensions</t>
  </si>
  <si>
    <t>Reduce Right Turn Permissive Conflicts (right turn arrow)</t>
  </si>
  <si>
    <t>BP8</t>
  </si>
  <si>
    <t>BP9</t>
  </si>
  <si>
    <t>BP10</t>
  </si>
  <si>
    <t>BP26</t>
  </si>
  <si>
    <t>BP27</t>
  </si>
  <si>
    <t>BP28</t>
  </si>
  <si>
    <t>BP29</t>
  </si>
  <si>
    <t>Sidewalk</t>
  </si>
  <si>
    <t>BP30</t>
  </si>
  <si>
    <t>BP31</t>
  </si>
  <si>
    <t>Street Tree's (supports blueprint for Urban Design)</t>
  </si>
  <si>
    <t>Install Speed Feedback Sign</t>
  </si>
  <si>
    <t>RD27</t>
  </si>
  <si>
    <t>RD28</t>
  </si>
  <si>
    <t>All Injury (Excludes PDO's)</t>
  </si>
  <si>
    <t>Signalized or Unsignalized</t>
  </si>
  <si>
    <t>Unsignalized</t>
  </si>
  <si>
    <t xml:space="preserve">Signalized   </t>
  </si>
  <si>
    <t>Rear end</t>
  </si>
  <si>
    <t>Fatal/Serious Injury (A)</t>
  </si>
  <si>
    <t>Pedestrian - walking along</t>
  </si>
  <si>
    <t>Wildilfe only</t>
  </si>
  <si>
    <t>type</t>
  </si>
  <si>
    <r>
      <t>Christina McDaniel-Wilson, PE, RSP</t>
    </r>
    <r>
      <rPr>
        <vertAlign val="subscript"/>
        <sz val="10"/>
        <rFont val="Arial"/>
        <family val="2"/>
      </rPr>
      <t>1</t>
    </r>
  </si>
  <si>
    <t xml:space="preserve">(2 CMs): Install Wrong Way Driving Countermeasures: Signing, Pavement markings, Geometric Modifications, and ITS Technologies (seeTable 3.1 in Wrong-Way Driving Analysis and Recommendations Final Report)
</t>
  </si>
  <si>
    <t>(1 - 2 CMs): Improve Intersection Warning: Stop Ahead Pavement Markings, Stop Ahead Signs, Larger Signs, Additional Stop Signs and/or Other Intersection Warning or Regulatory Signs</t>
  </si>
  <si>
    <t>(3 - 4 CMs)- Improve Intersection Warning: Stop Ahead Pavement Markings, Stop Ahead Signs, Larger Signs, Additional Stop Signs and/or Other Intersection Warning or Regulatory Signs</t>
  </si>
  <si>
    <t>(5 - 7 CMs): Improve Intersection Warning: Stop Ahead Pavement Markings, Stop Ahead Signs, Larger Signs, Additional Stop Signs and/or Other Intersection Warning or Regulatory Signs</t>
  </si>
  <si>
    <t>(2 CMs):  Improve Signal Hardware: Lenses, Reflectorized Back plates, Size, and Number</t>
  </si>
  <si>
    <t>(3 - 4 CMs): Improve Signal Hardware: Lenses, Reflectorized Back plates, Size, and Number</t>
  </si>
  <si>
    <t>(5 - 6 CMs): Improve Signal Hardware: Lenses, Reflectorized Back plates, Size, and Number</t>
  </si>
  <si>
    <t xml:space="preserve">(4 or more CMs): Install Wrong Way Driving Countermeasures: Signing, Pavement markings, Geometric Modifications, and ITS Technologies (seeTable 3.1 in Wrong-Way Driving Analysis and Recommendations Final Report)
</t>
  </si>
  <si>
    <t xml:space="preserve">(3 CMs): Install Wrong Way Driving Countermeasures: Signing, Pavement markings, Geometric Modifications, and ITS Technologies (seeTable 3.1 in Wrong-Way Driving Analysis and Recommendations Final Report)
</t>
  </si>
  <si>
    <t>Fatal &amp; Inj A Crashes = 1-(1*0.34) = 0.66</t>
  </si>
  <si>
    <t>Injury B &amp; C Crashes: 2-(2*0.34) = 1.32</t>
  </si>
  <si>
    <t>Recall from example:</t>
  </si>
  <si>
    <t>Since countermeasures I2 and I13 target all crash types and all severities, ‘BC Form by Severity’ worksheet will be used for these two countermeasures.</t>
  </si>
  <si>
    <t>Install Urban Traffic Signal (Rear End)</t>
  </si>
  <si>
    <t>Install Rural Traffic Signal (Rear End)</t>
  </si>
  <si>
    <t>Fatal and Serious (Injury A) Injury</t>
  </si>
  <si>
    <t>Redwood</t>
  </si>
  <si>
    <t>August 2023</t>
  </si>
  <si>
    <r>
      <t xml:space="preserve">Use this worksheet if countermeasures targets </t>
    </r>
    <r>
      <rPr>
        <b/>
        <u/>
        <sz val="10"/>
        <rFont val="Arial"/>
        <family val="2"/>
      </rPr>
      <t>all</t>
    </r>
    <r>
      <rPr>
        <sz val="10"/>
        <rFont val="Arial"/>
        <family val="2"/>
      </rPr>
      <t xml:space="preserve"> crash types. For example,  Improve Signal Hardware ( Lenses, Reflectorized Back plates, Size, and Number) and Improve Intersection Warning (Stop Ahead Pavement Markings, Stop Ahead Signs, Larger Signs, Additional Stop Signs and/or Other Intersection Warning or Regulatory Signs)</t>
    </r>
  </si>
  <si>
    <t>Use this worksheet if countermeasures target a particular crash type(s) or severity(s). For example, installing lighting at an intersection will likely reduce the number of night time crashes.</t>
  </si>
  <si>
    <r>
      <rPr>
        <b/>
        <sz val="10"/>
        <rFont val="Arial"/>
        <family val="2"/>
      </rPr>
      <t xml:space="preserve">2. </t>
    </r>
    <r>
      <rPr>
        <sz val="10"/>
        <rFont val="Arial"/>
        <family val="2"/>
      </rPr>
      <t>Economic costs per crash are calculated using cost source and procedures shown "Crash Costs for Highway Safety Analysis" (FHWA, 2018) updated to 2023 dollars.</t>
    </r>
  </si>
  <si>
    <t xml:space="preserve">H1: Median U-Turn Intersection Treatment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</si>
</sst>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 \ ##,###"/>
    <numFmt numFmtId="166" formatCode="m/d/yy"/>
    <numFmt numFmtId="167" formatCode="&quot;$&quot;#,##0"/>
    <numFmt numFmtId="168" formatCode="0.0"/>
    <numFmt numFmtId="169" formatCode="0.00_);\(0.00\)"/>
    <numFmt numFmtId="170" formatCode="m/d/yyyy;@"/>
    <numFmt numFmtId="171" formatCode="000"/>
  </numFmts>
  <fonts count="68" x14ac:knownFonts="1">
    <font>
      <sz val="10"/>
      <name val="Arial"/>
    </font>
    <font>
      <sz val="11"/>
      <color theme="1"/>
      <name val="Calibri"/>
      <family val="2"/>
      <scheme val="minor"/>
    </font>
    <font>
      <sz val="11"/>
      <color theme="1"/>
      <name val="Calibri"/>
      <family val="2"/>
      <scheme val="minor"/>
    </font>
    <font>
      <sz val="10"/>
      <name val="Arial"/>
      <family val="2"/>
    </font>
    <font>
      <b/>
      <sz val="16"/>
      <name val="Arial"/>
      <family val="2"/>
    </font>
    <font>
      <b/>
      <sz val="12"/>
      <name val="Arial"/>
      <family val="2"/>
    </font>
    <font>
      <sz val="10"/>
      <name val="Arial"/>
      <family val="2"/>
    </font>
    <font>
      <sz val="11"/>
      <name val="Arial"/>
      <family val="2"/>
    </font>
    <font>
      <vertAlign val="superscript"/>
      <sz val="11"/>
      <name val="Arial"/>
      <family val="2"/>
    </font>
    <font>
      <sz val="10"/>
      <color indexed="8"/>
      <name val="MS Sans Serif"/>
      <family val="2"/>
    </font>
    <font>
      <b/>
      <sz val="11"/>
      <color indexed="12"/>
      <name val="Arial"/>
      <family val="2"/>
    </font>
    <font>
      <b/>
      <sz val="11"/>
      <name val="Arial"/>
      <family val="2"/>
    </font>
    <font>
      <i/>
      <sz val="11"/>
      <name val="Arial"/>
      <family val="2"/>
    </font>
    <font>
      <b/>
      <sz val="14"/>
      <name val="Arial"/>
      <family val="2"/>
    </font>
    <font>
      <sz val="14"/>
      <name val="Arial"/>
      <family val="2"/>
    </font>
    <font>
      <sz val="10"/>
      <color indexed="55"/>
      <name val="Arial"/>
      <family val="2"/>
    </font>
    <font>
      <sz val="11"/>
      <color indexed="12"/>
      <name val="Arial"/>
      <family val="2"/>
    </font>
    <font>
      <sz val="10"/>
      <color indexed="8"/>
      <name val="Arial"/>
      <family val="2"/>
    </font>
    <font>
      <b/>
      <vertAlign val="superscript"/>
      <sz val="11"/>
      <name val="Arial"/>
      <family val="2"/>
    </font>
    <font>
      <b/>
      <u/>
      <sz val="11"/>
      <name val="Arial"/>
      <family val="2"/>
    </font>
    <font>
      <vertAlign val="superscript"/>
      <sz val="10"/>
      <name val="Arial"/>
      <family val="2"/>
    </font>
    <font>
      <sz val="8"/>
      <name val="Arial"/>
      <family val="2"/>
    </font>
    <font>
      <u/>
      <sz val="10"/>
      <name val="Arial"/>
      <family val="2"/>
    </font>
    <font>
      <b/>
      <u/>
      <sz val="14"/>
      <name val="Arial"/>
      <family val="2"/>
    </font>
    <font>
      <sz val="10"/>
      <name val="Symbol"/>
      <family val="1"/>
      <charset val="2"/>
    </font>
    <font>
      <b/>
      <i/>
      <sz val="10"/>
      <name val="Arial"/>
      <family val="2"/>
    </font>
    <font>
      <b/>
      <sz val="10"/>
      <name val="Arial"/>
      <family val="2"/>
    </font>
    <font>
      <b/>
      <sz val="12"/>
      <color indexed="8"/>
      <name val="Arial"/>
      <family val="2"/>
    </font>
    <font>
      <i/>
      <sz val="11"/>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Times New Roman"/>
      <family val="1"/>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0000"/>
      <name val="Arial"/>
      <family val="2"/>
    </font>
    <font>
      <sz val="10"/>
      <color rgb="FFFF0000"/>
      <name val="Arial"/>
      <family val="2"/>
    </font>
    <font>
      <b/>
      <sz val="12"/>
      <color theme="1"/>
      <name val="Arial"/>
      <family val="2"/>
    </font>
    <font>
      <b/>
      <sz val="10"/>
      <color theme="1"/>
      <name val="Arial"/>
      <family val="2"/>
    </font>
    <font>
      <sz val="11"/>
      <color rgb="FF0000FF"/>
      <name val="Arial"/>
      <family val="2"/>
    </font>
    <font>
      <i/>
      <sz val="14"/>
      <color rgb="FFFF0000"/>
      <name val="Arial"/>
      <family val="2"/>
    </font>
    <font>
      <sz val="14"/>
      <color rgb="FFFF0000"/>
      <name val="Arial"/>
      <family val="2"/>
    </font>
    <font>
      <b/>
      <i/>
      <sz val="10"/>
      <color rgb="FFFF0000"/>
      <name val="Arial"/>
      <family val="2"/>
    </font>
    <font>
      <u/>
      <sz val="10"/>
      <color theme="10"/>
      <name val="Arial"/>
      <family val="2"/>
    </font>
    <font>
      <b/>
      <i/>
      <sz val="11"/>
      <name val="Arial"/>
      <family val="2"/>
    </font>
    <font>
      <sz val="10"/>
      <name val="Verdana"/>
      <family val="2"/>
    </font>
    <font>
      <sz val="36"/>
      <color rgb="FFFF0000"/>
      <name val="Arial"/>
      <family val="2"/>
    </font>
    <font>
      <i/>
      <sz val="10"/>
      <name val="Arial"/>
      <family val="2"/>
    </font>
    <font>
      <sz val="11"/>
      <color theme="1"/>
      <name val="Arial"/>
      <family val="2"/>
    </font>
    <font>
      <u/>
      <sz val="10"/>
      <color indexed="12"/>
      <name val="Arial"/>
      <family val="2"/>
    </font>
    <font>
      <sz val="10"/>
      <color indexed="12"/>
      <name val="Arial"/>
      <family val="2"/>
    </font>
    <font>
      <b/>
      <i/>
      <sz val="10"/>
      <color theme="1"/>
      <name val="Arial"/>
      <family val="2"/>
    </font>
    <font>
      <b/>
      <u/>
      <sz val="10"/>
      <name val="Arial"/>
      <family val="2"/>
    </font>
    <font>
      <b/>
      <sz val="11"/>
      <color theme="1"/>
      <name val="Arial"/>
      <family val="2"/>
    </font>
    <font>
      <vertAlign val="subscript"/>
      <sz val="10"/>
      <name val="Arial"/>
      <family val="2"/>
    </font>
  </fonts>
  <fills count="45">
    <fill>
      <patternFill patternType="none"/>
    </fill>
    <fill>
      <patternFill patternType="gray125"/>
    </fill>
    <fill>
      <patternFill patternType="solid">
        <fgColor indexed="55"/>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39997558519241921"/>
        <bgColor indexed="64"/>
      </patternFill>
    </fill>
    <fill>
      <patternFill patternType="solid">
        <fgColor theme="6" tint="0.39994506668294322"/>
        <bgColor indexed="64"/>
      </patternFill>
    </fill>
    <fill>
      <patternFill patternType="solid">
        <fgColor rgb="FFCCFFFF"/>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double">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auto="1"/>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s>
  <cellStyleXfs count="512">
    <xf numFmtId="0" fontId="0" fillId="0" borderId="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32" fillId="32" borderId="52" applyNumberFormat="0" applyAlignment="0" applyProtection="0"/>
    <xf numFmtId="0" fontId="33" fillId="33" borderId="53"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34" fillId="0" borderId="0" applyNumberFormat="0" applyFill="0" applyBorder="0" applyAlignment="0" applyProtection="0"/>
    <xf numFmtId="0" fontId="35" fillId="34" borderId="0" applyNumberFormat="0" applyBorder="0" applyAlignment="0" applyProtection="0"/>
    <xf numFmtId="0" fontId="36" fillId="0" borderId="54" applyNumberFormat="0" applyFill="0" applyAlignment="0" applyProtection="0"/>
    <xf numFmtId="0" fontId="37" fillId="0" borderId="55" applyNumberFormat="0" applyFill="0" applyAlignment="0" applyProtection="0"/>
    <xf numFmtId="0" fontId="38" fillId="0" borderId="56" applyNumberFormat="0" applyFill="0" applyAlignment="0" applyProtection="0"/>
    <xf numFmtId="0" fontId="38" fillId="0" borderId="0" applyNumberFormat="0" applyFill="0" applyBorder="0" applyAlignment="0" applyProtection="0"/>
    <xf numFmtId="0" fontId="39" fillId="35" borderId="52" applyNumberFormat="0" applyAlignment="0" applyProtection="0"/>
    <xf numFmtId="0" fontId="40" fillId="0" borderId="57" applyNumberFormat="0" applyFill="0" applyAlignment="0" applyProtection="0"/>
    <xf numFmtId="0" fontId="41" fillId="36" borderId="0" applyNumberFormat="0" applyBorder="0" applyAlignment="0" applyProtection="0"/>
    <xf numFmtId="0" fontId="6" fillId="0" borderId="0"/>
    <xf numFmtId="0" fontId="6" fillId="0" borderId="0"/>
    <xf numFmtId="0" fontId="6" fillId="0" borderId="0"/>
    <xf numFmtId="0" fontId="6" fillId="0" borderId="0"/>
    <xf numFmtId="0" fontId="42" fillId="0" borderId="0"/>
    <xf numFmtId="0" fontId="29" fillId="0" borderId="0"/>
    <xf numFmtId="0" fontId="43" fillId="0" borderId="0"/>
    <xf numFmtId="0" fontId="29" fillId="0" borderId="0"/>
    <xf numFmtId="0" fontId="3" fillId="0" borderId="0"/>
    <xf numFmtId="0" fontId="9" fillId="0" borderId="0"/>
    <xf numFmtId="0" fontId="29" fillId="37" borderId="58" applyNumberFormat="0" applyFont="0" applyAlignment="0" applyProtection="0"/>
    <xf numFmtId="0" fontId="44" fillId="32" borderId="59" applyNumberFormat="0" applyAlignment="0" applyProtection="0"/>
    <xf numFmtId="9" fontId="3" fillId="0" borderId="0" applyFont="0" applyFill="0" applyBorder="0" applyAlignment="0" applyProtection="0"/>
    <xf numFmtId="0" fontId="45" fillId="0" borderId="0" applyNumberFormat="0" applyFill="0" applyBorder="0" applyAlignment="0" applyProtection="0"/>
    <xf numFmtId="0" fontId="46" fillId="0" borderId="60" applyNumberFormat="0" applyFill="0" applyAlignment="0" applyProtection="0"/>
    <xf numFmtId="0" fontId="47" fillId="0" borderId="0" applyNumberFormat="0" applyFill="0" applyBorder="0" applyAlignment="0" applyProtection="0"/>
    <xf numFmtId="0" fontId="3"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37" borderId="58" applyNumberFormat="0" applyFont="0" applyAlignment="0" applyProtection="0"/>
    <xf numFmtId="0" fontId="56" fillId="0" borderId="0" applyNumberFormat="0" applyFill="0" applyBorder="0" applyAlignment="0" applyProtection="0"/>
    <xf numFmtId="0" fontId="36" fillId="0" borderId="54" applyNumberFormat="0" applyFill="0" applyAlignment="0" applyProtection="0"/>
    <xf numFmtId="0" fontId="37" fillId="0" borderId="55" applyNumberFormat="0" applyFill="0" applyAlignment="0" applyProtection="0"/>
    <xf numFmtId="0" fontId="38" fillId="0" borderId="56" applyNumberFormat="0" applyFill="0" applyAlignment="0" applyProtection="0"/>
    <xf numFmtId="0" fontId="38" fillId="0" borderId="0" applyNumberFormat="0" applyFill="0" applyBorder="0" applyAlignment="0" applyProtection="0"/>
    <xf numFmtId="0" fontId="35" fillId="34" borderId="0" applyNumberFormat="0" applyBorder="0" applyAlignment="0" applyProtection="0"/>
    <xf numFmtId="0" fontId="31" fillId="31" borderId="0" applyNumberFormat="0" applyBorder="0" applyAlignment="0" applyProtection="0"/>
    <xf numFmtId="0" fontId="41" fillId="36" borderId="0" applyNumberFormat="0" applyBorder="0" applyAlignment="0" applyProtection="0"/>
    <xf numFmtId="0" fontId="39" fillId="35" borderId="52" applyNumberFormat="0" applyAlignment="0" applyProtection="0"/>
    <xf numFmtId="0" fontId="44" fillId="32" borderId="59" applyNumberFormat="0" applyAlignment="0" applyProtection="0"/>
    <xf numFmtId="0" fontId="32" fillId="32" borderId="52" applyNumberFormat="0" applyAlignment="0" applyProtection="0"/>
    <xf numFmtId="0" fontId="40" fillId="0" borderId="57" applyNumberFormat="0" applyFill="0" applyAlignment="0" applyProtection="0"/>
    <xf numFmtId="0" fontId="33" fillId="33" borderId="53" applyNumberFormat="0" applyAlignment="0" applyProtection="0"/>
    <xf numFmtId="0" fontId="47" fillId="0" borderId="0" applyNumberFormat="0" applyFill="0" applyBorder="0" applyAlignment="0" applyProtection="0"/>
    <xf numFmtId="0" fontId="34" fillId="0" borderId="0" applyNumberFormat="0" applyFill="0" applyBorder="0" applyAlignment="0" applyProtection="0"/>
    <xf numFmtId="0" fontId="46" fillId="0" borderId="60" applyNumberFormat="0" applyFill="0" applyAlignment="0" applyProtection="0"/>
    <xf numFmtId="0" fontId="30" fillId="2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30" fillId="19" borderId="0" applyNumberFormat="0" applyBorder="0" applyAlignment="0" applyProtection="0"/>
    <xf numFmtId="0" fontId="30" fillId="2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30" fillId="20" borderId="0" applyNumberFormat="0" applyBorder="0" applyAlignment="0" applyProtection="0"/>
    <xf numFmtId="0" fontId="30" fillId="27"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30" fillId="21" borderId="0" applyNumberFormat="0" applyBorder="0" applyAlignment="0" applyProtection="0"/>
    <xf numFmtId="0" fontId="30" fillId="28"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30" fillId="22" borderId="0" applyNumberFormat="0" applyBorder="0" applyAlignment="0" applyProtection="0"/>
    <xf numFmtId="0" fontId="30" fillId="29"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30" fillId="23" borderId="0" applyNumberFormat="0" applyBorder="0" applyAlignment="0" applyProtection="0"/>
    <xf numFmtId="0" fontId="30" fillId="30"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30" fillId="2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5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37" borderId="5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37" borderId="58"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3" fillId="0" borderId="0">
      <alignment wrapText="1"/>
    </xf>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3" fillId="0" borderId="0"/>
    <xf numFmtId="0" fontId="1" fillId="0" borderId="0"/>
    <xf numFmtId="0" fontId="1" fillId="0" borderId="0"/>
    <xf numFmtId="0" fontId="3" fillId="0" borderId="0">
      <alignment wrapText="1"/>
    </xf>
    <xf numFmtId="0" fontId="1" fillId="37" borderId="58" applyNumberFormat="0" applyFont="0" applyAlignment="0" applyProtection="0"/>
    <xf numFmtId="0" fontId="1" fillId="0" borderId="0"/>
    <xf numFmtId="0" fontId="1" fillId="37" borderId="58" applyNumberFormat="0" applyFont="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3" fillId="0" borderId="0"/>
    <xf numFmtId="0" fontId="3" fillId="0" borderId="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37" borderId="58"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1" fillId="0" borderId="0"/>
    <xf numFmtId="0" fontId="1" fillId="0" borderId="0"/>
    <xf numFmtId="0" fontId="1" fillId="37" borderId="58" applyNumberFormat="0" applyFont="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44" fontId="3" fillId="0" borderId="0" applyFont="0" applyFill="0" applyBorder="0" applyAlignment="0" applyProtection="0"/>
    <xf numFmtId="0" fontId="1" fillId="0" borderId="0"/>
    <xf numFmtId="0" fontId="1" fillId="37" borderId="58" applyNumberFormat="0" applyFont="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0" borderId="0"/>
    <xf numFmtId="0" fontId="1" fillId="0" borderId="0"/>
    <xf numFmtId="0" fontId="1" fillId="37" borderId="58" applyNumberFormat="0" applyFont="0" applyAlignment="0" applyProtection="0"/>
    <xf numFmtId="0" fontId="1" fillId="37" borderId="58"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0" borderId="0"/>
    <xf numFmtId="0" fontId="1" fillId="37" borderId="58" applyNumberFormat="0" applyFont="0" applyAlignment="0" applyProtection="0"/>
    <xf numFmtId="0" fontId="1" fillId="0" borderId="0"/>
    <xf numFmtId="0" fontId="1" fillId="0" borderId="0"/>
    <xf numFmtId="0" fontId="1" fillId="37" borderId="58"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cellStyleXfs>
  <cellXfs count="471">
    <xf numFmtId="0" fontId="0" fillId="0" borderId="0" xfId="0"/>
    <xf numFmtId="0" fontId="0" fillId="0" borderId="0" xfId="0" applyAlignment="1">
      <alignment horizontal="center"/>
    </xf>
    <xf numFmtId="1" fontId="3" fillId="0" borderId="0" xfId="47" applyNumberFormat="1"/>
    <xf numFmtId="0" fontId="5"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4" xfId="0" applyFont="1" applyBorder="1"/>
    <xf numFmtId="0" fontId="15" fillId="2" borderId="0" xfId="0" applyFont="1" applyFill="1" applyAlignment="1">
      <alignment horizontal="center"/>
    </xf>
    <xf numFmtId="0" fontId="15" fillId="0" borderId="0" xfId="0" applyFont="1" applyAlignment="1">
      <alignment horizontal="center"/>
    </xf>
    <xf numFmtId="0" fontId="7" fillId="0" borderId="4" xfId="0" applyFont="1" applyBorder="1" applyAlignment="1">
      <alignment horizontal="left" vertical="center"/>
    </xf>
    <xf numFmtId="0" fontId="7" fillId="0" borderId="0" xfId="0" applyFont="1" applyAlignment="1">
      <alignment wrapText="1"/>
    </xf>
    <xf numFmtId="0" fontId="10" fillId="0" borderId="0" xfId="0" applyFont="1" applyAlignment="1" applyProtection="1">
      <alignment horizontal="left" vertical="center"/>
      <protection locked="0"/>
    </xf>
    <xf numFmtId="166" fontId="10" fillId="0" borderId="0" xfId="0" applyNumberFormat="1" applyFont="1" applyAlignment="1" applyProtection="1">
      <alignment horizontal="center" vertical="center"/>
      <protection locked="0"/>
    </xf>
    <xf numFmtId="0" fontId="7" fillId="0" borderId="5" xfId="0" applyFont="1" applyBorder="1" applyAlignment="1">
      <alignment horizontal="right" vertical="center"/>
    </xf>
    <xf numFmtId="0" fontId="7" fillId="0" borderId="6" xfId="0" applyFont="1" applyBorder="1" applyAlignment="1">
      <alignment vertical="center"/>
    </xf>
    <xf numFmtId="0" fontId="7" fillId="0" borderId="4" xfId="0" applyFont="1" applyBorder="1" applyAlignment="1">
      <alignment horizontal="right" vertical="center"/>
    </xf>
    <xf numFmtId="2" fontId="10" fillId="0" borderId="7" xfId="0" applyNumberFormat="1"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7" fillId="0" borderId="9" xfId="0" applyFont="1" applyBorder="1" applyAlignment="1">
      <alignment vertical="center"/>
    </xf>
    <xf numFmtId="2" fontId="10" fillId="0" borderId="0" xfId="0" applyNumberFormat="1" applyFont="1" applyAlignment="1" applyProtection="1">
      <alignment horizontal="center" vertical="center"/>
      <protection locked="0"/>
    </xf>
    <xf numFmtId="0" fontId="12" fillId="0" borderId="10" xfId="0" applyFont="1" applyBorder="1" applyAlignment="1">
      <alignment horizontal="left" vertical="center"/>
    </xf>
    <xf numFmtId="0" fontId="12" fillId="0" borderId="4" xfId="0" applyFont="1" applyBorder="1" applyAlignment="1">
      <alignment horizontal="center"/>
    </xf>
    <xf numFmtId="166" fontId="10" fillId="0" borderId="0" xfId="0" quotePrefix="1" applyNumberFormat="1" applyFont="1" applyAlignment="1" applyProtection="1">
      <alignment horizontal="center" vertical="center"/>
      <protection locked="0"/>
    </xf>
    <xf numFmtId="0" fontId="7" fillId="0" borderId="0" xfId="0" applyFont="1" applyAlignment="1" applyProtection="1">
      <alignment vertical="center"/>
      <protection locked="0"/>
    </xf>
    <xf numFmtId="0" fontId="12" fillId="0" borderId="0" xfId="0" applyFont="1" applyAlignment="1">
      <alignment horizontal="center"/>
    </xf>
    <xf numFmtId="2" fontId="10" fillId="0" borderId="12" xfId="0" applyNumberFormat="1" applyFont="1" applyBorder="1" applyAlignment="1" applyProtection="1">
      <alignment horizontal="center" vertical="center"/>
      <protection locked="0"/>
    </xf>
    <xf numFmtId="169" fontId="6" fillId="0" borderId="13" xfId="28" applyNumberFormat="1" applyFont="1" applyFill="1" applyBorder="1" applyAlignment="1">
      <alignment horizontal="center" vertical="center"/>
    </xf>
    <xf numFmtId="0" fontId="6" fillId="5" borderId="15" xfId="0" applyFont="1" applyFill="1" applyBorder="1" applyAlignment="1">
      <alignment horizontal="center" vertical="center" wrapText="1"/>
    </xf>
    <xf numFmtId="0" fontId="5" fillId="0" borderId="0" xfId="0" applyFont="1" applyAlignment="1">
      <alignment vertical="center"/>
    </xf>
    <xf numFmtId="0" fontId="17" fillId="5" borderId="17" xfId="48" applyFont="1" applyFill="1" applyBorder="1" applyAlignment="1">
      <alignment horizontal="center"/>
    </xf>
    <xf numFmtId="0" fontId="17" fillId="0" borderId="1" xfId="48" applyFont="1" applyBorder="1" applyAlignment="1">
      <alignment horizontal="left" wrapText="1"/>
    </xf>
    <xf numFmtId="0" fontId="6" fillId="0" borderId="0" xfId="0" applyFont="1"/>
    <xf numFmtId="0" fontId="6" fillId="0" borderId="0" xfId="0" applyFont="1" applyAlignment="1">
      <alignment vertical="center"/>
    </xf>
    <xf numFmtId="0" fontId="7" fillId="0" borderId="0" xfId="0" applyFont="1" applyProtection="1">
      <protection locked="0"/>
    </xf>
    <xf numFmtId="168" fontId="13" fillId="0" borderId="0" xfId="0" applyNumberFormat="1" applyFont="1" applyAlignment="1">
      <alignment horizontal="center" vertical="center"/>
    </xf>
    <xf numFmtId="0" fontId="17" fillId="5" borderId="0" xfId="48" applyFont="1" applyFill="1" applyAlignment="1">
      <alignment horizontal="center" wrapText="1"/>
    </xf>
    <xf numFmtId="0" fontId="6" fillId="0" borderId="0" xfId="0" applyFont="1" applyAlignment="1">
      <alignment horizontal="left" wrapText="1"/>
    </xf>
    <xf numFmtId="0" fontId="22" fillId="0" borderId="0" xfId="0" applyFont="1"/>
    <xf numFmtId="0" fontId="19" fillId="0" borderId="0" xfId="0" applyFont="1" applyAlignment="1">
      <alignment vertical="center"/>
    </xf>
    <xf numFmtId="0" fontId="48" fillId="0" borderId="0" xfId="0" applyFont="1" applyAlignment="1">
      <alignment horizontal="left" vertical="center" readingOrder="1"/>
    </xf>
    <xf numFmtId="0" fontId="49" fillId="0" borderId="0" xfId="0" applyFont="1"/>
    <xf numFmtId="0" fontId="48" fillId="0" borderId="0" xfId="0" applyFont="1" applyAlignment="1">
      <alignment vertical="center" wrapText="1" readingOrder="1"/>
    </xf>
    <xf numFmtId="0" fontId="48" fillId="0" borderId="0" xfId="0" applyFont="1" applyAlignment="1">
      <alignment vertical="top" wrapText="1" readingOrder="1"/>
    </xf>
    <xf numFmtId="0" fontId="48" fillId="0" borderId="0" xfId="0" applyFont="1" applyAlignment="1">
      <alignment vertical="center" readingOrder="1"/>
    </xf>
    <xf numFmtId="0" fontId="19" fillId="0" borderId="0" xfId="0" applyFont="1" applyAlignment="1">
      <alignment horizontal="left" vertical="center"/>
    </xf>
    <xf numFmtId="0" fontId="10" fillId="0" borderId="0" xfId="0" applyFont="1" applyAlignment="1">
      <alignment horizontal="left" vertical="center"/>
    </xf>
    <xf numFmtId="166" fontId="10" fillId="0" borderId="0" xfId="0" applyNumberFormat="1" applyFont="1" applyAlignment="1">
      <alignment horizontal="center" vertical="center"/>
    </xf>
    <xf numFmtId="0" fontId="10" fillId="0" borderId="0" xfId="0" applyFont="1" applyAlignment="1">
      <alignment horizontal="center" vertical="center"/>
    </xf>
    <xf numFmtId="0" fontId="12" fillId="0" borderId="5"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2" fontId="10" fillId="0" borderId="12" xfId="0" applyNumberFormat="1" applyFont="1" applyBorder="1" applyAlignment="1">
      <alignment horizontal="center" vertical="center"/>
    </xf>
    <xf numFmtId="0" fontId="7" fillId="0" borderId="4" xfId="0" applyFont="1" applyBorder="1" applyAlignment="1">
      <alignment vertical="center"/>
    </xf>
    <xf numFmtId="0" fontId="10" fillId="0" borderId="4" xfId="0" applyFont="1" applyBorder="1" applyAlignment="1">
      <alignment horizontal="left" vertical="center"/>
    </xf>
    <xf numFmtId="2" fontId="10" fillId="0" borderId="4" xfId="0" applyNumberFormat="1" applyFont="1" applyBorder="1" applyAlignment="1">
      <alignment horizontal="center" vertical="center"/>
    </xf>
    <xf numFmtId="2" fontId="10" fillId="0" borderId="11" xfId="0" applyNumberFormat="1" applyFont="1" applyBorder="1" applyAlignment="1">
      <alignment horizontal="center" vertical="center"/>
    </xf>
    <xf numFmtId="2" fontId="10" fillId="0" borderId="7" xfId="0" applyNumberFormat="1" applyFont="1" applyBorder="1" applyAlignment="1">
      <alignment horizontal="center" vertical="center"/>
    </xf>
    <xf numFmtId="2" fontId="10" fillId="0" borderId="0" xfId="0" applyNumberFormat="1" applyFont="1" applyAlignment="1">
      <alignment horizontal="center" vertical="center"/>
    </xf>
    <xf numFmtId="166" fontId="10" fillId="0" borderId="0" xfId="0" quotePrefix="1" applyNumberFormat="1" applyFont="1" applyAlignment="1">
      <alignment horizontal="center" vertical="center"/>
    </xf>
    <xf numFmtId="0" fontId="7" fillId="0" borderId="0" xfId="0" applyFont="1" applyAlignment="1">
      <alignment horizontal="center"/>
    </xf>
    <xf numFmtId="0" fontId="12" fillId="0" borderId="0" xfId="0" applyFont="1" applyAlignment="1">
      <alignment horizontal="right"/>
    </xf>
    <xf numFmtId="0" fontId="16" fillId="0" borderId="0" xfId="0" applyFont="1" applyAlignment="1">
      <alignment horizontal="center"/>
    </xf>
    <xf numFmtId="0" fontId="8" fillId="0" borderId="0" xfId="0" applyFont="1" applyAlignment="1">
      <alignment horizontal="left"/>
    </xf>
    <xf numFmtId="0" fontId="16" fillId="0" borderId="0" xfId="0" applyFont="1" applyAlignment="1">
      <alignment vertical="center"/>
    </xf>
    <xf numFmtId="168" fontId="7" fillId="0" borderId="0" xfId="0" applyNumberFormat="1" applyFont="1"/>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xf>
    <xf numFmtId="0" fontId="6" fillId="0" borderId="16" xfId="0" applyFont="1" applyBorder="1" applyAlignment="1">
      <alignment horizontal="center" vertical="center"/>
    </xf>
    <xf numFmtId="0" fontId="11" fillId="0" borderId="0" xfId="0" applyFont="1" applyAlignment="1">
      <alignment horizontal="right" vertical="center"/>
    </xf>
    <xf numFmtId="0" fontId="6" fillId="0" borderId="21" xfId="0" applyFont="1" applyBorder="1" applyAlignment="1">
      <alignment vertical="center" wrapText="1"/>
    </xf>
    <xf numFmtId="0" fontId="6" fillId="0" borderId="0" xfId="0" applyFont="1" applyAlignment="1">
      <alignment vertical="center" wrapText="1"/>
    </xf>
    <xf numFmtId="6" fontId="6" fillId="0" borderId="2" xfId="0" applyNumberFormat="1" applyFont="1" applyBorder="1" applyAlignment="1">
      <alignment horizontal="center" vertical="center"/>
    </xf>
    <xf numFmtId="6" fontId="6" fillId="0" borderId="3" xfId="0" applyNumberFormat="1" applyFont="1" applyBorder="1" applyAlignment="1">
      <alignment horizontal="center" vertical="center"/>
    </xf>
    <xf numFmtId="0" fontId="11" fillId="0" borderId="0" xfId="0" applyFont="1" applyAlignment="1">
      <alignment horizontal="right"/>
    </xf>
    <xf numFmtId="0" fontId="6" fillId="0" borderId="21" xfId="0" applyFont="1" applyBorder="1" applyAlignment="1">
      <alignment vertical="center"/>
    </xf>
    <xf numFmtId="0" fontId="6" fillId="0" borderId="13" xfId="0" applyFont="1" applyBorder="1" applyAlignment="1">
      <alignment vertical="center"/>
    </xf>
    <xf numFmtId="0" fontId="6" fillId="0" borderId="19" xfId="0" applyFont="1" applyBorder="1" applyAlignment="1">
      <alignment vertical="center"/>
    </xf>
    <xf numFmtId="6" fontId="6" fillId="0" borderId="22" xfId="0" applyNumberFormat="1" applyFont="1" applyBorder="1" applyAlignment="1">
      <alignment horizontal="center" vertical="center"/>
    </xf>
    <xf numFmtId="6" fontId="6" fillId="0" borderId="14" xfId="0" applyNumberFormat="1" applyFont="1" applyBorder="1" applyAlignment="1">
      <alignment horizontal="center" vertical="center"/>
    </xf>
    <xf numFmtId="6" fontId="6" fillId="0" borderId="0" xfId="0" applyNumberFormat="1" applyFont="1" applyAlignment="1">
      <alignment horizontal="center" vertical="center"/>
    </xf>
    <xf numFmtId="0" fontId="6" fillId="0" borderId="0" xfId="0" applyFont="1" applyAlignment="1">
      <alignment horizontal="center" vertical="center"/>
    </xf>
    <xf numFmtId="0" fontId="19" fillId="0" borderId="0" xfId="0" applyFont="1"/>
    <xf numFmtId="0" fontId="6" fillId="0" borderId="0" xfId="0" applyFont="1" applyAlignment="1">
      <alignment horizontal="center"/>
    </xf>
    <xf numFmtId="0" fontId="6" fillId="0" borderId="0" xfId="0" applyFont="1" applyAlignment="1">
      <alignment horizontal="center" vertical="top"/>
    </xf>
    <xf numFmtId="49" fontId="12" fillId="0" borderId="0" xfId="0" applyNumberFormat="1" applyFont="1" applyAlignment="1">
      <alignment horizontal="right"/>
    </xf>
    <xf numFmtId="0" fontId="24" fillId="0" borderId="0" xfId="0" applyFont="1" applyAlignment="1">
      <alignment horizontal="left" vertical="center" indent="8"/>
    </xf>
    <xf numFmtId="0" fontId="22" fillId="0" borderId="0" xfId="0" applyFont="1" applyAlignment="1">
      <alignment horizontal="center"/>
    </xf>
    <xf numFmtId="9" fontId="0" fillId="0" borderId="0" xfId="0" applyNumberFormat="1" applyAlignment="1">
      <alignment horizontal="center"/>
    </xf>
    <xf numFmtId="0" fontId="6" fillId="0" borderId="0" xfId="0" applyFont="1" applyAlignment="1">
      <alignment vertical="top" wrapText="1"/>
    </xf>
    <xf numFmtId="49" fontId="7" fillId="0" borderId="0" xfId="0" applyNumberFormat="1" applyFont="1"/>
    <xf numFmtId="169" fontId="6" fillId="0" borderId="0" xfId="28" applyNumberFormat="1" applyFont="1" applyFill="1" applyBorder="1" applyAlignment="1">
      <alignment horizontal="center" vertical="center"/>
    </xf>
    <xf numFmtId="165" fontId="7" fillId="0" borderId="0" xfId="29" applyNumberFormat="1" applyFont="1" applyFill="1" applyBorder="1" applyAlignment="1">
      <alignment horizontal="center" vertical="center"/>
    </xf>
    <xf numFmtId="2" fontId="11" fillId="0" borderId="0" xfId="0" applyNumberFormat="1" applyFont="1" applyAlignment="1" applyProtection="1">
      <alignment horizontal="center" vertical="center"/>
      <protection locked="0"/>
    </xf>
    <xf numFmtId="4" fontId="13" fillId="0" borderId="0" xfId="0" applyNumberFormat="1" applyFont="1" applyAlignment="1">
      <alignment horizontal="center" vertical="center"/>
    </xf>
    <xf numFmtId="164" fontId="7" fillId="0" borderId="0" xfId="0" applyNumberFormat="1" applyFont="1"/>
    <xf numFmtId="0" fontId="7" fillId="0" borderId="24" xfId="0" applyFont="1" applyBorder="1" applyAlignment="1">
      <alignment horizontal="center" vertical="center" wrapText="1"/>
    </xf>
    <xf numFmtId="164" fontId="7" fillId="3" borderId="28" xfId="0" applyNumberFormat="1" applyFont="1" applyFill="1" applyBorder="1" applyAlignment="1" applyProtection="1">
      <alignment horizontal="center" vertical="center"/>
      <protection locked="0"/>
    </xf>
    <xf numFmtId="164" fontId="7" fillId="3" borderId="29" xfId="0" applyNumberFormat="1" applyFont="1" applyFill="1" applyBorder="1" applyAlignment="1" applyProtection="1">
      <alignment horizontal="center" vertical="center"/>
      <protection locked="0"/>
    </xf>
    <xf numFmtId="164" fontId="7" fillId="3" borderId="30" xfId="0" applyNumberFormat="1" applyFont="1" applyFill="1" applyBorder="1" applyAlignment="1" applyProtection="1">
      <alignment horizontal="center" vertical="center"/>
      <protection locked="0"/>
    </xf>
    <xf numFmtId="0" fontId="6" fillId="5" borderId="31" xfId="0" applyFont="1" applyFill="1" applyBorder="1" applyAlignment="1">
      <alignment horizontal="center" vertical="center"/>
    </xf>
    <xf numFmtId="169" fontId="6" fillId="0" borderId="32" xfId="28" applyNumberFormat="1" applyFont="1" applyFill="1" applyBorder="1" applyAlignment="1">
      <alignment horizontal="center" vertical="center"/>
    </xf>
    <xf numFmtId="0" fontId="6" fillId="5" borderId="20" xfId="0" applyFont="1" applyFill="1" applyBorder="1" applyAlignment="1">
      <alignment horizontal="center" vertical="center"/>
    </xf>
    <xf numFmtId="169" fontId="6" fillId="0" borderId="22" xfId="28" applyNumberFormat="1" applyFont="1" applyFill="1" applyBorder="1" applyAlignment="1">
      <alignment horizontal="center" vertical="center"/>
    </xf>
    <xf numFmtId="0" fontId="26" fillId="0" borderId="33" xfId="0" applyFont="1" applyBorder="1" applyAlignment="1">
      <alignment horizontal="center" vertical="center" wrapText="1"/>
    </xf>
    <xf numFmtId="0" fontId="26" fillId="0" borderId="28" xfId="0" applyFont="1" applyBorder="1" applyAlignment="1">
      <alignment horizontal="center" vertical="center"/>
    </xf>
    <xf numFmtId="0" fontId="0" fillId="0" borderId="34" xfId="0" applyBorder="1" applyAlignment="1">
      <alignment horizontal="center" vertical="center"/>
    </xf>
    <xf numFmtId="14" fontId="0" fillId="0" borderId="29" xfId="0" applyNumberFormat="1" applyBorder="1" applyAlignment="1">
      <alignment horizontal="center" vertical="center"/>
    </xf>
    <xf numFmtId="0" fontId="6" fillId="0" borderId="29" xfId="0" applyFont="1" applyBorder="1" applyAlignment="1">
      <alignment horizontal="left" vertical="center"/>
    </xf>
    <xf numFmtId="0" fontId="0" fillId="0" borderId="29" xfId="0" applyBorder="1"/>
    <xf numFmtId="0" fontId="0" fillId="0" borderId="35" xfId="0" applyBorder="1"/>
    <xf numFmtId="0" fontId="0" fillId="0" borderId="34" xfId="0" applyBorder="1"/>
    <xf numFmtId="0" fontId="0" fillId="0" borderId="36" xfId="0" applyBorder="1"/>
    <xf numFmtId="0" fontId="0" fillId="0" borderId="30" xfId="0" applyBorder="1"/>
    <xf numFmtId="0" fontId="29" fillId="0" borderId="29" xfId="46" applyBorder="1" applyAlignment="1">
      <alignment vertical="center" wrapText="1"/>
    </xf>
    <xf numFmtId="0" fontId="0" fillId="0" borderId="0" xfId="0" applyProtection="1">
      <protection locked="0"/>
    </xf>
    <xf numFmtId="0" fontId="5" fillId="0" borderId="0" xfId="0" applyFont="1" applyAlignment="1" applyProtection="1">
      <alignment horizontal="center"/>
      <protection locked="0"/>
    </xf>
    <xf numFmtId="0" fontId="15" fillId="2" borderId="0" xfId="0" applyFont="1" applyFill="1" applyAlignment="1" applyProtection="1">
      <alignment horizontal="center"/>
      <protection locked="0"/>
    </xf>
    <xf numFmtId="0" fontId="15"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12" fillId="0" borderId="5" xfId="0" applyFont="1" applyBorder="1" applyAlignment="1" applyProtection="1">
      <alignment horizontal="left" vertical="center"/>
      <protection locked="0"/>
    </xf>
    <xf numFmtId="0" fontId="7" fillId="0" borderId="5" xfId="0" applyFont="1" applyBorder="1" applyAlignment="1" applyProtection="1">
      <alignment horizontal="right" vertical="center"/>
      <protection locked="0"/>
    </xf>
    <xf numFmtId="0" fontId="7" fillId="0" borderId="4" xfId="0" applyFont="1" applyBorder="1" applyAlignment="1" applyProtection="1">
      <alignment vertical="center"/>
      <protection locked="0"/>
    </xf>
    <xf numFmtId="0" fontId="7" fillId="0" borderId="4" xfId="0" applyFont="1" applyBorder="1" applyAlignment="1" applyProtection="1">
      <alignment horizontal="left" vertical="center"/>
      <protection locked="0"/>
    </xf>
    <xf numFmtId="0" fontId="7" fillId="0" borderId="4" xfId="0" applyFont="1" applyBorder="1" applyProtection="1">
      <protection locked="0"/>
    </xf>
    <xf numFmtId="0" fontId="7" fillId="0" borderId="4" xfId="0" applyFont="1" applyBorder="1" applyAlignment="1" applyProtection="1">
      <alignment horizontal="right" vertical="center"/>
      <protection locked="0"/>
    </xf>
    <xf numFmtId="0" fontId="7" fillId="0" borderId="4" xfId="0" applyFont="1" applyBorder="1" applyAlignment="1" applyProtection="1">
      <alignment horizontal="center" vertical="center"/>
      <protection locked="0"/>
    </xf>
    <xf numFmtId="0" fontId="12" fillId="0" borderId="4" xfId="0" applyFont="1" applyBorder="1" applyAlignment="1" applyProtection="1">
      <alignment horizont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6" fillId="0" borderId="13" xfId="0" applyFont="1" applyBorder="1" applyAlignment="1" applyProtection="1">
      <alignment vertical="center"/>
      <protection locked="0"/>
    </xf>
    <xf numFmtId="0" fontId="6" fillId="0" borderId="19" xfId="0" applyFont="1" applyBorder="1" applyAlignment="1" applyProtection="1">
      <alignment vertical="center"/>
      <protection locked="0"/>
    </xf>
    <xf numFmtId="6" fontId="6" fillId="0" borderId="22" xfId="0" applyNumberFormat="1" applyFont="1" applyBorder="1" applyAlignment="1" applyProtection="1">
      <alignment horizontal="center" vertical="center"/>
      <protection locked="0"/>
    </xf>
    <xf numFmtId="6" fontId="6" fillId="0" borderId="14" xfId="0" applyNumberFormat="1" applyFont="1" applyBorder="1" applyAlignment="1" applyProtection="1">
      <alignment horizontal="center" vertical="center"/>
      <protection locked="0"/>
    </xf>
    <xf numFmtId="6" fontId="6" fillId="0" borderId="0" xfId="0" applyNumberFormat="1" applyFont="1" applyAlignment="1" applyProtection="1">
      <alignment horizontal="center" vertical="center"/>
      <protection locked="0"/>
    </xf>
    <xf numFmtId="168" fontId="13" fillId="0" borderId="0" xfId="0" applyNumberFormat="1" applyFont="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1" fontId="0" fillId="0" borderId="0" xfId="0" applyNumberFormat="1" applyProtection="1">
      <protection locked="0"/>
    </xf>
    <xf numFmtId="9" fontId="0" fillId="0" borderId="0" xfId="0" applyNumberFormat="1"/>
    <xf numFmtId="9" fontId="7" fillId="0" borderId="0" xfId="0" applyNumberFormat="1" applyFont="1" applyProtection="1">
      <protection locked="0"/>
    </xf>
    <xf numFmtId="0" fontId="17" fillId="5" borderId="51" xfId="48" applyFont="1" applyFill="1" applyBorder="1" applyAlignment="1">
      <alignment horizontal="center"/>
    </xf>
    <xf numFmtId="0" fontId="12" fillId="0" borderId="0" xfId="0" applyFont="1" applyAlignment="1">
      <alignment horizontal="right" vertical="center"/>
    </xf>
    <xf numFmtId="9" fontId="7" fillId="0" borderId="0" xfId="0" applyNumberFormat="1" applyFont="1"/>
    <xf numFmtId="9" fontId="50" fillId="0" borderId="29" xfId="46" applyNumberFormat="1" applyFont="1" applyBorder="1" applyAlignment="1">
      <alignment horizontal="center" vertical="center" wrapText="1"/>
    </xf>
    <xf numFmtId="9" fontId="50" fillId="0" borderId="29" xfId="45" applyNumberFormat="1" applyFont="1" applyBorder="1" applyAlignment="1">
      <alignment horizontal="center" vertical="center" wrapText="1"/>
    </xf>
    <xf numFmtId="9" fontId="51" fillId="0" borderId="29" xfId="45" applyNumberFormat="1" applyFont="1" applyBorder="1" applyAlignment="1">
      <alignment horizontal="center" vertical="center" wrapText="1"/>
    </xf>
    <xf numFmtId="9" fontId="27" fillId="0" borderId="29" xfId="45" applyNumberFormat="1" applyFont="1" applyBorder="1" applyAlignment="1">
      <alignment horizontal="center" vertical="center" wrapText="1"/>
    </xf>
    <xf numFmtId="0" fontId="16" fillId="3" borderId="4"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3" fillId="0" borderId="0" xfId="0" applyFont="1"/>
    <xf numFmtId="0" fontId="3" fillId="0" borderId="0" xfId="0" applyFont="1" applyAlignment="1" applyProtection="1">
      <alignment horizontal="center"/>
      <protection locked="0"/>
    </xf>
    <xf numFmtId="170" fontId="52" fillId="38" borderId="4"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166" fontId="16" fillId="0" borderId="0" xfId="0" applyNumberFormat="1" applyFont="1" applyAlignment="1" applyProtection="1">
      <alignment horizontal="center" vertical="center"/>
      <protection locked="0"/>
    </xf>
    <xf numFmtId="0" fontId="16" fillId="0" borderId="5"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2" fontId="16" fillId="0" borderId="4" xfId="0" applyNumberFormat="1" applyFont="1" applyBorder="1" applyAlignment="1" applyProtection="1">
      <alignment horizontal="center" vertical="center"/>
      <protection locked="0"/>
    </xf>
    <xf numFmtId="2" fontId="16" fillId="0" borderId="0" xfId="0" applyNumberFormat="1" applyFont="1" applyAlignment="1" applyProtection="1">
      <alignment horizontal="center" vertical="center"/>
      <protection locked="0"/>
    </xf>
    <xf numFmtId="2" fontId="16" fillId="3" borderId="4" xfId="0" applyNumberFormat="1" applyFont="1" applyFill="1" applyBorder="1" applyAlignment="1" applyProtection="1">
      <alignment horizontal="center" vertical="center"/>
      <protection locked="0"/>
    </xf>
    <xf numFmtId="14" fontId="52" fillId="3" borderId="4" xfId="0" applyNumberFormat="1" applyFont="1" applyFill="1" applyBorder="1" applyAlignment="1" applyProtection="1">
      <alignment horizontal="center" vertical="center"/>
      <protection locked="0"/>
    </xf>
    <xf numFmtId="0" fontId="53" fillId="0" borderId="0" xfId="0" applyFont="1" applyAlignment="1">
      <alignment horizontal="left"/>
    </xf>
    <xf numFmtId="1" fontId="0" fillId="0" borderId="0" xfId="0" applyNumberFormat="1"/>
    <xf numFmtId="44" fontId="7" fillId="0" borderId="0" xfId="0" applyNumberFormat="1" applyFont="1"/>
    <xf numFmtId="2" fontId="0" fillId="0" borderId="0" xfId="0" applyNumberFormat="1"/>
    <xf numFmtId="0" fontId="54" fillId="0" borderId="0" xfId="0" applyFont="1" applyAlignment="1">
      <alignment vertical="top" wrapText="1"/>
    </xf>
    <xf numFmtId="0" fontId="16" fillId="0" borderId="0" xfId="0" applyFont="1" applyAlignment="1">
      <alignment horizontal="left" vertical="center"/>
    </xf>
    <xf numFmtId="0" fontId="0" fillId="0" borderId="4" xfId="0" applyBorder="1" applyAlignment="1">
      <alignment horizontal="center"/>
    </xf>
    <xf numFmtId="1" fontId="7" fillId="4" borderId="4" xfId="0" applyNumberFormat="1" applyFont="1" applyFill="1" applyBorder="1" applyAlignment="1">
      <alignment horizontal="center" vertical="center"/>
    </xf>
    <xf numFmtId="49" fontId="16" fillId="3" borderId="4" xfId="0" applyNumberFormat="1" applyFont="1" applyFill="1" applyBorder="1" applyAlignment="1" applyProtection="1">
      <alignment horizontal="center" vertical="center"/>
      <protection locked="0"/>
    </xf>
    <xf numFmtId="0" fontId="3" fillId="0" borderId="0" xfId="0" applyFont="1" applyAlignment="1">
      <alignment horizontal="left" wrapText="1"/>
    </xf>
    <xf numFmtId="0" fontId="56" fillId="0" borderId="0" xfId="75"/>
    <xf numFmtId="0" fontId="11" fillId="0" borderId="0" xfId="0" applyFont="1"/>
    <xf numFmtId="0" fontId="57" fillId="0" borderId="0" xfId="0" applyFont="1" applyAlignment="1">
      <alignment horizontal="center"/>
    </xf>
    <xf numFmtId="0" fontId="0" fillId="0" borderId="5" xfId="0" applyBorder="1" applyAlignment="1">
      <alignment horizontal="center"/>
    </xf>
    <xf numFmtId="0" fontId="7" fillId="0" borderId="12" xfId="0" applyFont="1" applyBorder="1"/>
    <xf numFmtId="0" fontId="7" fillId="0" borderId="8" xfId="0" applyFont="1" applyBorder="1"/>
    <xf numFmtId="0" fontId="7" fillId="0" borderId="7" xfId="0" applyFont="1" applyBorder="1"/>
    <xf numFmtId="0" fontId="7" fillId="0" borderId="5" xfId="0" applyFont="1" applyBorder="1"/>
    <xf numFmtId="0" fontId="7" fillId="0" borderId="10" xfId="0" applyFont="1" applyBorder="1"/>
    <xf numFmtId="0" fontId="7" fillId="0" borderId="9" xfId="0" applyFont="1" applyBorder="1"/>
    <xf numFmtId="0" fontId="7" fillId="0" borderId="6" xfId="0" applyFont="1" applyBorder="1"/>
    <xf numFmtId="0" fontId="7" fillId="0" borderId="10" xfId="0" applyFont="1" applyBorder="1" applyProtection="1">
      <protection locked="0"/>
    </xf>
    <xf numFmtId="0" fontId="7" fillId="0" borderId="9" xfId="0" applyFont="1" applyBorder="1" applyProtection="1">
      <protection locked="0"/>
    </xf>
    <xf numFmtId="0" fontId="7" fillId="0" borderId="6" xfId="0" applyFont="1" applyBorder="1" applyProtection="1">
      <protection locked="0"/>
    </xf>
    <xf numFmtId="0" fontId="3" fillId="0" borderId="0" xfId="0" applyFont="1" applyAlignment="1">
      <alignment vertical="center"/>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wrapText="1"/>
      <protection locked="0"/>
    </xf>
    <xf numFmtId="0" fontId="54" fillId="0" borderId="0" xfId="0" applyFont="1" applyAlignment="1" applyProtection="1">
      <alignment horizontal="left" vertical="top" wrapText="1"/>
      <protection locked="0"/>
    </xf>
    <xf numFmtId="0" fontId="54" fillId="0" borderId="0" xfId="0" applyFont="1" applyAlignment="1">
      <alignment horizontal="left" vertical="top" wrapText="1"/>
    </xf>
    <xf numFmtId="0" fontId="16" fillId="0" borderId="0" xfId="0" applyFont="1" applyAlignment="1">
      <alignment horizontal="center" vertical="center"/>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2" fontId="52" fillId="3" borderId="4" xfId="0" applyNumberFormat="1" applyFont="1" applyFill="1" applyBorder="1" applyAlignment="1" applyProtection="1">
      <alignment horizontal="center" vertical="center"/>
      <protection locked="0"/>
    </xf>
    <xf numFmtId="0" fontId="7" fillId="0" borderId="0" xfId="0" applyFont="1" applyAlignment="1" applyProtection="1">
      <alignment horizontal="right" vertical="center" wrapText="1"/>
      <protection locked="0"/>
    </xf>
    <xf numFmtId="0" fontId="17" fillId="5" borderId="64" xfId="48" applyFont="1" applyFill="1" applyBorder="1" applyAlignment="1">
      <alignment horizontal="center"/>
    </xf>
    <xf numFmtId="0" fontId="17" fillId="5" borderId="65" xfId="48" applyFont="1" applyFill="1" applyBorder="1" applyAlignment="1">
      <alignment horizontal="center"/>
    </xf>
    <xf numFmtId="0" fontId="17" fillId="5" borderId="63" xfId="48" applyFont="1" applyFill="1" applyBorder="1" applyAlignment="1">
      <alignment horizontal="center"/>
    </xf>
    <xf numFmtId="0" fontId="58" fillId="0" borderId="0" xfId="70" applyFont="1" applyAlignment="1">
      <alignment vertical="top"/>
    </xf>
    <xf numFmtId="171" fontId="58" fillId="0" borderId="0" xfId="70" applyNumberFormat="1" applyFont="1" applyAlignment="1">
      <alignment horizontal="left" vertical="top"/>
    </xf>
    <xf numFmtId="0" fontId="17" fillId="0" borderId="66" xfId="48" applyFont="1" applyBorder="1" applyAlignment="1">
      <alignment horizontal="left" wrapText="1"/>
    </xf>
    <xf numFmtId="49" fontId="52" fillId="41" borderId="4" xfId="0" applyNumberFormat="1" applyFont="1" applyFill="1" applyBorder="1" applyAlignment="1" applyProtection="1">
      <alignment horizontal="center" vertical="center"/>
      <protection locked="0"/>
    </xf>
    <xf numFmtId="14" fontId="16" fillId="39" borderId="4" xfId="0" applyNumberFormat="1" applyFont="1" applyFill="1" applyBorder="1" applyAlignment="1" applyProtection="1">
      <alignment horizontal="center" vertical="center"/>
      <protection locked="0"/>
    </xf>
    <xf numFmtId="0" fontId="11" fillId="0" borderId="0" xfId="0" applyFont="1" applyAlignment="1">
      <alignment horizontal="left" vertical="top"/>
    </xf>
    <xf numFmtId="0" fontId="59" fillId="0" borderId="0" xfId="0" applyFont="1" applyAlignment="1">
      <alignment horizontal="center"/>
    </xf>
    <xf numFmtId="9" fontId="60" fillId="4" borderId="4" xfId="0" applyNumberFormat="1" applyFont="1" applyFill="1" applyBorder="1" applyAlignment="1">
      <alignment horizontal="right" vertical="center"/>
    </xf>
    <xf numFmtId="49" fontId="12" fillId="0" borderId="0" xfId="0" applyNumberFormat="1" applyFont="1" applyAlignment="1">
      <alignment horizontal="right" vertical="center"/>
    </xf>
    <xf numFmtId="0" fontId="8" fillId="0" borderId="0" xfId="0" applyFont="1" applyAlignment="1">
      <alignment horizontal="left" vertical="center"/>
    </xf>
    <xf numFmtId="167" fontId="7" fillId="4" borderId="4" xfId="0" applyNumberFormat="1" applyFont="1" applyFill="1" applyBorder="1" applyAlignment="1">
      <alignment horizontal="center" vertical="center"/>
    </xf>
    <xf numFmtId="167" fontId="7" fillId="0" borderId="0" xfId="0" applyNumberFormat="1" applyFont="1" applyAlignment="1">
      <alignment horizontal="center" vertical="center"/>
    </xf>
    <xf numFmtId="0" fontId="0" fillId="0" borderId="0" xfId="0" applyAlignment="1">
      <alignment horizontal="center" vertical="center"/>
    </xf>
    <xf numFmtId="0" fontId="16" fillId="39" borderId="4" xfId="0" applyFont="1" applyFill="1" applyBorder="1" applyAlignment="1" applyProtection="1">
      <alignment horizontal="center" vertical="center"/>
      <protection locked="0"/>
    </xf>
    <xf numFmtId="0" fontId="8" fillId="0" borderId="0" xfId="0" applyFont="1" applyAlignment="1">
      <alignment horizontal="center" vertical="center"/>
    </xf>
    <xf numFmtId="0" fontId="54" fillId="0" borderId="0" xfId="0" applyFont="1" applyAlignment="1" applyProtection="1">
      <alignment vertical="top" wrapText="1"/>
      <protection locked="0"/>
    </xf>
    <xf numFmtId="0" fontId="7" fillId="0" borderId="67" xfId="0" applyFont="1" applyBorder="1" applyAlignment="1" applyProtection="1">
      <alignment vertical="center"/>
      <protection locked="0"/>
    </xf>
    <xf numFmtId="171" fontId="58" fillId="0" borderId="0" xfId="70" quotePrefix="1" applyNumberFormat="1" applyFont="1" applyAlignment="1">
      <alignment horizontal="left" vertical="top"/>
    </xf>
    <xf numFmtId="0" fontId="3" fillId="0" borderId="0" xfId="0" quotePrefix="1" applyFont="1"/>
    <xf numFmtId="171" fontId="52" fillId="41" borderId="4" xfId="0" applyNumberFormat="1" applyFont="1" applyFill="1" applyBorder="1" applyAlignment="1" applyProtection="1">
      <alignment horizontal="center" vertical="center"/>
      <protection locked="0"/>
    </xf>
    <xf numFmtId="171" fontId="52" fillId="38" borderId="4" xfId="0" applyNumberFormat="1" applyFont="1" applyFill="1" applyBorder="1" applyAlignment="1" applyProtection="1">
      <alignment horizontal="center" vertical="center"/>
      <protection locked="0"/>
    </xf>
    <xf numFmtId="0" fontId="6" fillId="5" borderId="5" xfId="0" applyFont="1" applyFill="1" applyBorder="1" applyAlignment="1">
      <alignment horizontal="center"/>
    </xf>
    <xf numFmtId="0" fontId="6" fillId="5" borderId="43" xfId="0" applyFont="1" applyFill="1" applyBorder="1" applyAlignment="1">
      <alignment horizontal="center"/>
    </xf>
    <xf numFmtId="171" fontId="16" fillId="40" borderId="4" xfId="0" applyNumberFormat="1" applyFont="1" applyFill="1" applyBorder="1" applyAlignment="1">
      <alignment horizontal="center" vertical="center"/>
    </xf>
    <xf numFmtId="0" fontId="28" fillId="0" borderId="0" xfId="0" applyFont="1" applyAlignment="1">
      <alignment vertical="center"/>
    </xf>
    <xf numFmtId="0" fontId="61" fillId="0" borderId="0" xfId="0" applyFont="1" applyAlignment="1">
      <alignment horizontal="left" vertical="top"/>
    </xf>
    <xf numFmtId="14" fontId="16" fillId="40" borderId="4" xfId="0" applyNumberFormat="1" applyFont="1" applyFill="1" applyBorder="1" applyAlignment="1">
      <alignment horizontal="center" vertical="center"/>
    </xf>
    <xf numFmtId="2" fontId="52" fillId="40" borderId="4" xfId="0" applyNumberFormat="1" applyFont="1" applyFill="1" applyBorder="1" applyAlignment="1">
      <alignment horizontal="center" vertical="center"/>
    </xf>
    <xf numFmtId="171" fontId="52" fillId="40" borderId="4" xfId="0" applyNumberFormat="1" applyFont="1" applyFill="1" applyBorder="1" applyAlignment="1">
      <alignment horizontal="center" vertical="center"/>
    </xf>
    <xf numFmtId="0" fontId="52" fillId="40" borderId="4" xfId="0" applyFont="1" applyFill="1" applyBorder="1" applyAlignment="1">
      <alignment horizontal="center" vertical="center"/>
    </xf>
    <xf numFmtId="2" fontId="16" fillId="0" borderId="0" xfId="0" applyNumberFormat="1" applyFont="1" applyAlignment="1">
      <alignment horizontal="center" vertical="center"/>
    </xf>
    <xf numFmtId="0" fontId="16" fillId="0" borderId="4" xfId="0" applyFont="1" applyBorder="1" applyAlignment="1">
      <alignment horizontal="left" vertical="center"/>
    </xf>
    <xf numFmtId="0" fontId="7" fillId="0" borderId="0" xfId="0" applyFont="1" applyAlignment="1">
      <alignment horizontal="right" vertical="center" wrapText="1"/>
    </xf>
    <xf numFmtId="0" fontId="16" fillId="0" borderId="5" xfId="0" applyFont="1" applyBorder="1" applyAlignment="1">
      <alignment horizontal="left" vertical="center"/>
    </xf>
    <xf numFmtId="14" fontId="52" fillId="40" borderId="4" xfId="0" applyNumberFormat="1" applyFont="1" applyFill="1" applyBorder="1" applyAlignment="1">
      <alignment horizontal="center" vertical="center"/>
    </xf>
    <xf numFmtId="9" fontId="7" fillId="0" borderId="0" xfId="51" applyFont="1" applyFill="1" applyAlignment="1" applyProtection="1">
      <alignment horizontal="center"/>
    </xf>
    <xf numFmtId="0" fontId="26" fillId="0" borderId="0" xfId="0" applyFont="1"/>
    <xf numFmtId="0" fontId="3" fillId="0" borderId="0" xfId="0" applyFont="1" applyAlignment="1">
      <alignment horizontal="left" vertical="top"/>
    </xf>
    <xf numFmtId="0" fontId="6" fillId="0" borderId="0" xfId="0" applyFont="1" applyAlignment="1">
      <alignment horizontal="left" vertical="top" wrapText="1"/>
    </xf>
    <xf numFmtId="164" fontId="7" fillId="4" borderId="11" xfId="0" applyNumberFormat="1" applyFont="1" applyFill="1" applyBorder="1" applyAlignment="1">
      <alignment horizontal="center" vertical="center"/>
    </xf>
    <xf numFmtId="0" fontId="13" fillId="0" borderId="0" xfId="0" applyFont="1" applyAlignment="1">
      <alignment horizontal="right"/>
    </xf>
    <xf numFmtId="0" fontId="13" fillId="0" borderId="0" xfId="0" applyFont="1"/>
    <xf numFmtId="0" fontId="16" fillId="40" borderId="4" xfId="0" applyFont="1" applyFill="1" applyBorder="1" applyAlignment="1">
      <alignment horizontal="center" vertical="center"/>
    </xf>
    <xf numFmtId="0" fontId="11" fillId="0" borderId="0" xfId="70" applyFont="1" applyAlignment="1">
      <alignment horizontal="center" wrapText="1"/>
    </xf>
    <xf numFmtId="0" fontId="11" fillId="0" borderId="0" xfId="0" applyFont="1" applyAlignment="1">
      <alignment horizontal="center" wrapText="1"/>
    </xf>
    <xf numFmtId="0" fontId="11" fillId="0" borderId="0" xfId="70" applyFont="1" applyAlignment="1">
      <alignment horizontal="center"/>
    </xf>
    <xf numFmtId="164" fontId="7" fillId="4" borderId="4" xfId="0" applyNumberFormat="1" applyFont="1" applyFill="1" applyBorder="1" applyAlignment="1">
      <alignment horizontal="center" vertical="center"/>
    </xf>
    <xf numFmtId="0" fontId="11" fillId="0" borderId="0" xfId="0" applyFont="1" applyAlignment="1">
      <alignment horizontal="center"/>
    </xf>
    <xf numFmtId="0" fontId="12" fillId="0" borderId="0" xfId="0" applyFont="1" applyAlignment="1">
      <alignment horizontal="center" vertical="center"/>
    </xf>
    <xf numFmtId="167" fontId="7" fillId="4" borderId="4" xfId="0" applyNumberFormat="1" applyFont="1" applyFill="1" applyBorder="1" applyAlignment="1">
      <alignment horizontal="center"/>
    </xf>
    <xf numFmtId="9" fontId="7" fillId="0" borderId="0" xfId="29" applyNumberFormat="1" applyFont="1" applyFill="1" applyBorder="1" applyAlignment="1" applyProtection="1">
      <alignment horizontal="center" vertical="center"/>
    </xf>
    <xf numFmtId="1" fontId="8" fillId="0" borderId="0" xfId="51" applyNumberFormat="1" applyFont="1" applyFill="1" applyAlignment="1" applyProtection="1">
      <alignment horizontal="center"/>
    </xf>
    <xf numFmtId="0" fontId="18" fillId="0" borderId="0" xfId="0" applyFont="1" applyAlignment="1">
      <alignment horizontal="left"/>
    </xf>
    <xf numFmtId="0" fontId="14" fillId="0" borderId="0" xfId="0" applyFont="1"/>
    <xf numFmtId="2" fontId="16" fillId="40" borderId="4" xfId="0" applyNumberFormat="1" applyFont="1" applyFill="1" applyBorder="1" applyAlignment="1">
      <alignment horizontal="center" vertical="center"/>
    </xf>
    <xf numFmtId="0" fontId="7" fillId="0" borderId="0" xfId="70" applyFont="1" applyAlignment="1">
      <alignment horizontal="right"/>
    </xf>
    <xf numFmtId="0" fontId="6" fillId="5" borderId="42" xfId="0" applyFont="1" applyFill="1" applyBorder="1" applyAlignment="1">
      <alignment horizontal="center"/>
    </xf>
    <xf numFmtId="0" fontId="7" fillId="0" borderId="0" xfId="0" applyFont="1" applyAlignment="1">
      <alignment horizontal="center" wrapText="1"/>
    </xf>
    <xf numFmtId="2" fontId="16" fillId="0" borderId="4" xfId="0" applyNumberFormat="1" applyFont="1" applyBorder="1" applyAlignment="1">
      <alignment horizontal="center" vertical="center"/>
    </xf>
    <xf numFmtId="166" fontId="16" fillId="0" borderId="0" xfId="0" applyNumberFormat="1" applyFont="1" applyAlignment="1">
      <alignment horizontal="center" vertical="center"/>
    </xf>
    <xf numFmtId="0" fontId="3" fillId="0" borderId="13" xfId="55" applyBorder="1" applyAlignment="1">
      <alignment vertical="center"/>
    </xf>
    <xf numFmtId="0" fontId="3" fillId="0" borderId="19" xfId="55" applyBorder="1" applyAlignment="1">
      <alignment vertical="center"/>
    </xf>
    <xf numFmtId="0" fontId="3" fillId="0" borderId="0" xfId="55" applyAlignment="1">
      <alignment vertical="center"/>
    </xf>
    <xf numFmtId="6" fontId="3" fillId="0" borderId="0" xfId="55" applyNumberFormat="1" applyAlignment="1">
      <alignment horizontal="center" vertical="center"/>
    </xf>
    <xf numFmtId="0" fontId="7" fillId="0" borderId="0" xfId="70" applyFont="1" applyAlignment="1">
      <alignment horizontal="right" vertical="center"/>
    </xf>
    <xf numFmtId="0" fontId="57" fillId="0" borderId="0" xfId="70" applyFont="1" applyAlignment="1">
      <alignment horizontal="center"/>
    </xf>
    <xf numFmtId="0" fontId="11" fillId="0" borderId="0" xfId="70" applyFont="1" applyAlignment="1">
      <alignment horizontal="center" vertical="center"/>
    </xf>
    <xf numFmtId="0" fontId="11" fillId="0" borderId="0" xfId="70" applyFont="1" applyAlignment="1">
      <alignment vertical="center"/>
    </xf>
    <xf numFmtId="0" fontId="11" fillId="0" borderId="0" xfId="70" applyFont="1"/>
    <xf numFmtId="164" fontId="7" fillId="0" borderId="0" xfId="29" applyNumberFormat="1" applyFont="1" applyFill="1" applyBorder="1" applyAlignment="1" applyProtection="1">
      <alignment horizontal="center" vertical="center"/>
    </xf>
    <xf numFmtId="9" fontId="16" fillId="0" borderId="0" xfId="51" applyFont="1" applyFill="1" applyBorder="1" applyAlignment="1" applyProtection="1">
      <alignment horizontal="center"/>
    </xf>
    <xf numFmtId="0" fontId="11" fillId="0" borderId="0" xfId="70" applyFont="1" applyAlignment="1">
      <alignment horizontal="center" vertical="center" wrapText="1"/>
    </xf>
    <xf numFmtId="9" fontId="16" fillId="0" borderId="0" xfId="51" applyFont="1" applyFill="1" applyBorder="1" applyAlignment="1" applyProtection="1">
      <alignment horizontal="center" vertical="center"/>
    </xf>
    <xf numFmtId="9" fontId="10" fillId="0" borderId="0" xfId="51" applyFont="1" applyFill="1" applyAlignment="1" applyProtection="1">
      <alignment horizontal="center" vertical="center"/>
    </xf>
    <xf numFmtId="9" fontId="7" fillId="0" borderId="0" xfId="51" applyFont="1" applyFill="1" applyAlignment="1" applyProtection="1">
      <alignment horizontal="center" vertical="center"/>
    </xf>
    <xf numFmtId="1" fontId="18" fillId="0" borderId="0" xfId="51" applyNumberFormat="1" applyFont="1" applyFill="1" applyAlignment="1" applyProtection="1">
      <alignment horizontal="center" vertical="center"/>
    </xf>
    <xf numFmtId="1" fontId="7" fillId="0" borderId="0" xfId="51" applyNumberFormat="1" applyFont="1" applyFill="1" applyBorder="1" applyAlignment="1" applyProtection="1">
      <alignment horizontal="center" vertical="center"/>
    </xf>
    <xf numFmtId="0" fontId="7" fillId="0" borderId="0" xfId="70" applyFont="1" applyAlignment="1">
      <alignment horizontal="center" vertical="center" wrapText="1"/>
    </xf>
    <xf numFmtId="0" fontId="7" fillId="0" borderId="0" xfId="70" applyFont="1" applyAlignment="1">
      <alignment vertical="center"/>
    </xf>
    <xf numFmtId="1" fontId="8" fillId="0" borderId="0" xfId="51" applyNumberFormat="1" applyFont="1" applyFill="1" applyAlignment="1" applyProtection="1">
      <alignment horizontal="center" vertical="center"/>
    </xf>
    <xf numFmtId="0" fontId="3" fillId="0" borderId="20" xfId="70" applyBorder="1" applyAlignment="1">
      <alignment horizontal="center" vertical="center"/>
    </xf>
    <xf numFmtId="0" fontId="3" fillId="0" borderId="16" xfId="70" applyBorder="1" applyAlignment="1">
      <alignment horizontal="center" vertical="center"/>
    </xf>
    <xf numFmtId="0" fontId="11" fillId="0" borderId="0" xfId="70" applyFont="1" applyAlignment="1">
      <alignment horizontal="right" vertical="center"/>
    </xf>
    <xf numFmtId="6" fontId="3" fillId="0" borderId="2" xfId="70" applyNumberFormat="1" applyBorder="1" applyAlignment="1">
      <alignment horizontal="center" vertical="center"/>
    </xf>
    <xf numFmtId="6" fontId="3" fillId="0" borderId="3" xfId="70" applyNumberFormat="1" applyBorder="1" applyAlignment="1">
      <alignment horizontal="center" vertical="center"/>
    </xf>
    <xf numFmtId="0" fontId="11" fillId="0" borderId="0" xfId="70" applyFont="1" applyAlignment="1">
      <alignment horizontal="right"/>
    </xf>
    <xf numFmtId="6" fontId="3" fillId="0" borderId="0" xfId="70" applyNumberFormat="1" applyAlignment="1">
      <alignment horizontal="center" vertical="center"/>
    </xf>
    <xf numFmtId="6" fontId="3" fillId="0" borderId="22" xfId="70" applyNumberFormat="1" applyBorder="1" applyAlignment="1">
      <alignment horizontal="center" vertical="center"/>
    </xf>
    <xf numFmtId="6" fontId="3" fillId="0" borderId="14" xfId="70" applyNumberFormat="1" applyBorder="1" applyAlignment="1">
      <alignment horizontal="center" vertical="center"/>
    </xf>
    <xf numFmtId="9" fontId="50" fillId="0" borderId="2" xfId="230" applyNumberFormat="1" applyFont="1" applyBorder="1" applyAlignment="1">
      <alignment horizontal="center" vertical="center" wrapText="1"/>
    </xf>
    <xf numFmtId="9" fontId="10" fillId="0" borderId="0" xfId="51" applyFont="1" applyFill="1" applyBorder="1" applyAlignment="1" applyProtection="1">
      <alignment horizontal="center" vertical="center" wrapText="1"/>
    </xf>
    <xf numFmtId="9" fontId="16" fillId="0" borderId="0" xfId="51" applyFont="1" applyFill="1" applyBorder="1" applyAlignment="1" applyProtection="1">
      <alignment horizontal="center" vertical="center" wrapText="1"/>
    </xf>
    <xf numFmtId="1" fontId="16" fillId="0" borderId="0" xfId="51" applyNumberFormat="1" applyFont="1" applyFill="1" applyBorder="1" applyAlignment="1" applyProtection="1">
      <alignment horizontal="center" vertical="center"/>
    </xf>
    <xf numFmtId="9" fontId="16" fillId="4" borderId="4" xfId="51" applyFont="1" applyFill="1" applyBorder="1" applyAlignment="1" applyProtection="1">
      <alignment horizontal="center"/>
    </xf>
    <xf numFmtId="9" fontId="10" fillId="0" borderId="0" xfId="51" applyFont="1" applyFill="1" applyAlignment="1" applyProtection="1">
      <alignment horizontal="center" wrapText="1"/>
    </xf>
    <xf numFmtId="1" fontId="7" fillId="4" borderId="4" xfId="51" applyNumberFormat="1" applyFont="1" applyFill="1" applyBorder="1" applyAlignment="1" applyProtection="1">
      <alignment horizontal="center" vertical="center"/>
    </xf>
    <xf numFmtId="1" fontId="16" fillId="40" borderId="4" xfId="51" applyNumberFormat="1" applyFont="1" applyFill="1" applyBorder="1" applyAlignment="1" applyProtection="1">
      <alignment horizontal="center" vertical="center"/>
    </xf>
    <xf numFmtId="9" fontId="16" fillId="40" borderId="4" xfId="51" applyFont="1" applyFill="1" applyBorder="1" applyAlignment="1" applyProtection="1">
      <alignment horizontal="center" vertical="center"/>
    </xf>
    <xf numFmtId="9" fontId="10" fillId="0" borderId="0" xfId="51" applyFont="1" applyFill="1" applyBorder="1" applyAlignment="1" applyProtection="1">
      <alignment horizontal="center" vertical="center"/>
    </xf>
    <xf numFmtId="9" fontId="16" fillId="0" borderId="0" xfId="51" applyFont="1" applyFill="1" applyAlignment="1" applyProtection="1">
      <alignment horizontal="center" vertical="center" wrapText="1"/>
    </xf>
    <xf numFmtId="9" fontId="16" fillId="40" borderId="4" xfId="51" applyFont="1" applyFill="1" applyBorder="1" applyAlignment="1" applyProtection="1">
      <alignment horizontal="center" vertical="center" wrapText="1"/>
    </xf>
    <xf numFmtId="9" fontId="16" fillId="0" borderId="0" xfId="51" applyFont="1" applyFill="1" applyAlignment="1" applyProtection="1">
      <alignment horizontal="center" vertical="center"/>
    </xf>
    <xf numFmtId="9" fontId="10" fillId="0" borderId="0" xfId="51" applyFont="1" applyFill="1" applyAlignment="1" applyProtection="1">
      <alignment horizontal="center" vertical="center" wrapText="1"/>
    </xf>
    <xf numFmtId="9" fontId="10" fillId="0" borderId="0" xfId="51" applyFont="1" applyFill="1" applyAlignment="1" applyProtection="1">
      <alignment horizontal="center"/>
    </xf>
    <xf numFmtId="0" fontId="55" fillId="0" borderId="0" xfId="0" applyFont="1" applyAlignment="1">
      <alignment horizontal="left" vertical="top" wrapText="1"/>
    </xf>
    <xf numFmtId="0" fontId="3" fillId="0" borderId="0" xfId="0" applyFont="1" applyAlignment="1">
      <alignment horizontal="center"/>
    </xf>
    <xf numFmtId="0" fontId="3" fillId="0" borderId="0" xfId="0" applyFont="1" applyAlignment="1">
      <alignment horizontal="left" vertical="center"/>
    </xf>
    <xf numFmtId="14" fontId="63" fillId="40" borderId="0" xfId="0" applyNumberFormat="1" applyFont="1" applyFill="1" applyAlignment="1">
      <alignment horizontal="center" vertical="center"/>
    </xf>
    <xf numFmtId="0" fontId="63" fillId="39" borderId="0" xfId="0" applyFont="1" applyFill="1" applyAlignment="1" applyProtection="1">
      <alignment vertical="center" wrapText="1" shrinkToFit="1"/>
      <protection locked="0"/>
    </xf>
    <xf numFmtId="0" fontId="3" fillId="6" borderId="0" xfId="0" applyFont="1" applyFill="1" applyAlignment="1">
      <alignment vertical="center" wrapText="1"/>
    </xf>
    <xf numFmtId="0" fontId="0" fillId="0" borderId="29" xfId="0" applyBorder="1" applyAlignment="1">
      <alignment horizontal="left" vertical="center" wrapText="1"/>
    </xf>
    <xf numFmtId="0" fontId="11" fillId="0" borderId="0" xfId="0" applyFont="1" applyAlignment="1" applyProtection="1">
      <alignment horizontal="center" vertical="center"/>
      <protection locked="0"/>
    </xf>
    <xf numFmtId="6" fontId="3" fillId="0" borderId="3" xfId="0" applyNumberFormat="1" applyFont="1" applyBorder="1" applyAlignment="1">
      <alignment horizontal="center" vertical="center"/>
    </xf>
    <xf numFmtId="6" fontId="3" fillId="0" borderId="2" xfId="0" applyNumberFormat="1" applyFont="1" applyBorder="1" applyAlignment="1">
      <alignment horizontal="center" vertical="center"/>
    </xf>
    <xf numFmtId="6" fontId="3" fillId="0" borderId="14" xfId="0" applyNumberFormat="1" applyFont="1" applyBorder="1" applyAlignment="1">
      <alignment horizontal="center" vertical="center"/>
    </xf>
    <xf numFmtId="2" fontId="7" fillId="4" borderId="4" xfId="51" applyNumberFormat="1" applyFont="1" applyFill="1" applyBorder="1" applyAlignment="1" applyProtection="1">
      <alignment horizontal="center"/>
    </xf>
    <xf numFmtId="1" fontId="7" fillId="0" borderId="0" xfId="70" applyNumberFormat="1" applyFont="1" applyAlignment="1">
      <alignment horizontal="center" vertical="center" wrapText="1"/>
    </xf>
    <xf numFmtId="2" fontId="7" fillId="4" borderId="4" xfId="51" applyNumberFormat="1" applyFont="1" applyFill="1" applyBorder="1" applyAlignment="1" applyProtection="1">
      <alignment horizontal="center" vertical="center"/>
    </xf>
    <xf numFmtId="0" fontId="66" fillId="0" borderId="71" xfId="0" applyFont="1" applyBorder="1" applyAlignment="1">
      <alignment horizontal="center" vertical="center" wrapText="1"/>
    </xf>
    <xf numFmtId="0" fontId="0" fillId="0" borderId="71" xfId="0" applyBorder="1" applyAlignment="1">
      <alignment horizontal="left" vertical="center" wrapText="1"/>
    </xf>
    <xf numFmtId="0" fontId="66" fillId="0" borderId="29" xfId="0" applyFont="1" applyBorder="1" applyAlignment="1">
      <alignment horizontal="center" vertical="center" wrapText="1"/>
    </xf>
    <xf numFmtId="0" fontId="66" fillId="0" borderId="37" xfId="0" applyFont="1" applyBorder="1" applyAlignment="1">
      <alignment horizontal="center" vertical="center" wrapText="1"/>
    </xf>
    <xf numFmtId="0" fontId="7" fillId="0" borderId="29" xfId="70" applyFont="1" applyBorder="1" applyAlignment="1">
      <alignment horizontal="left" vertical="center" wrapText="1"/>
    </xf>
    <xf numFmtId="49" fontId="0" fillId="0" borderId="29" xfId="0" applyNumberFormat="1" applyBorder="1" applyAlignment="1">
      <alignment horizontal="left" vertical="center" wrapText="1"/>
    </xf>
    <xf numFmtId="0" fontId="0" fillId="0" borderId="29" xfId="0" applyBorder="1" applyAlignment="1">
      <alignment horizontal="left" vertical="center"/>
    </xf>
    <xf numFmtId="49" fontId="7" fillId="0" borderId="29" xfId="70" applyNumberFormat="1" applyFont="1" applyBorder="1" applyAlignment="1">
      <alignment horizontal="left" vertical="center" wrapText="1"/>
    </xf>
    <xf numFmtId="0" fontId="7" fillId="0" borderId="29" xfId="0" applyFont="1" applyBorder="1" applyAlignment="1">
      <alignment horizontal="left" vertical="center" wrapText="1"/>
    </xf>
    <xf numFmtId="49" fontId="0" fillId="0" borderId="23" xfId="0" applyNumberFormat="1" applyBorder="1" applyAlignment="1">
      <alignment horizontal="left" vertical="center" wrapText="1"/>
    </xf>
    <xf numFmtId="0" fontId="0" fillId="0" borderId="71" xfId="0" applyBorder="1" applyAlignment="1">
      <alignment horizontal="center" vertical="center"/>
    </xf>
    <xf numFmtId="0" fontId="0" fillId="0" borderId="71" xfId="0" applyBorder="1" applyAlignment="1">
      <alignment horizontal="center" vertical="center" wrapText="1"/>
    </xf>
    <xf numFmtId="0" fontId="0" fillId="0" borderId="29" xfId="0" applyBorder="1" applyAlignment="1">
      <alignment horizontal="center" vertical="center"/>
    </xf>
    <xf numFmtId="49" fontId="0" fillId="0" borderId="29" xfId="0" applyNumberFormat="1" applyBorder="1" applyAlignment="1">
      <alignment horizontal="center" vertical="center" wrapText="1"/>
    </xf>
    <xf numFmtId="0" fontId="0" fillId="0" borderId="23" xfId="0" applyBorder="1" applyAlignment="1">
      <alignment horizontal="center" vertical="center"/>
    </xf>
    <xf numFmtId="0" fontId="0" fillId="0" borderId="29" xfId="0" applyBorder="1" applyAlignment="1">
      <alignment horizontal="center" vertical="center" wrapText="1"/>
    </xf>
    <xf numFmtId="0" fontId="0" fillId="42" borderId="29" xfId="0" applyFill="1" applyBorder="1" applyAlignment="1">
      <alignment horizontal="center" vertical="center"/>
    </xf>
    <xf numFmtId="0" fontId="0" fillId="43" borderId="29" xfId="0" applyFill="1" applyBorder="1" applyAlignment="1">
      <alignment horizontal="center" vertical="center"/>
    </xf>
    <xf numFmtId="49" fontId="0" fillId="43" borderId="29" xfId="0" applyNumberFormat="1" applyFill="1" applyBorder="1" applyAlignment="1">
      <alignment horizontal="center" vertical="center"/>
    </xf>
    <xf numFmtId="49" fontId="0" fillId="0" borderId="29" xfId="0" applyNumberFormat="1" applyBorder="1" applyAlignment="1">
      <alignment horizontal="center" vertical="center"/>
    </xf>
    <xf numFmtId="49" fontId="0" fillId="42" borderId="29" xfId="0" applyNumberFormat="1" applyFill="1" applyBorder="1" applyAlignment="1">
      <alignment horizontal="center" vertical="center"/>
    </xf>
    <xf numFmtId="0" fontId="0" fillId="43" borderId="23" xfId="0" applyFill="1" applyBorder="1" applyAlignment="1">
      <alignment horizontal="center" vertical="center"/>
    </xf>
    <xf numFmtId="0" fontId="7" fillId="0" borderId="29" xfId="0" applyFont="1" applyBorder="1" applyAlignment="1">
      <alignment horizontal="center" vertical="center"/>
    </xf>
    <xf numFmtId="0" fontId="0" fillId="43" borderId="29" xfId="0" applyFill="1" applyBorder="1" applyAlignment="1">
      <alignment horizontal="center" vertical="center" wrapText="1"/>
    </xf>
    <xf numFmtId="49" fontId="0" fillId="43" borderId="29" xfId="0" applyNumberFormat="1" applyFill="1" applyBorder="1" applyAlignment="1">
      <alignment horizontal="center" vertical="center" wrapText="1"/>
    </xf>
    <xf numFmtId="0" fontId="0" fillId="0" borderId="23" xfId="0" applyBorder="1" applyAlignment="1">
      <alignment horizontal="center" vertical="center" wrapText="1"/>
    </xf>
    <xf numFmtId="49" fontId="0" fillId="42" borderId="29" xfId="0" applyNumberFormat="1" applyFill="1" applyBorder="1" applyAlignment="1">
      <alignment horizontal="center" vertical="center" wrapText="1"/>
    </xf>
    <xf numFmtId="0" fontId="3" fillId="0" borderId="71" xfId="0" applyFont="1" applyBorder="1" applyAlignment="1">
      <alignment horizontal="center" vertical="center"/>
    </xf>
    <xf numFmtId="49" fontId="14" fillId="0" borderId="0" xfId="0" quotePrefix="1" applyNumberFormat="1" applyFont="1" applyAlignment="1">
      <alignment horizontal="center"/>
    </xf>
    <xf numFmtId="0" fontId="3" fillId="0" borderId="29" xfId="0" applyFont="1" applyBorder="1" applyAlignment="1">
      <alignment horizontal="left" vertical="center" wrapText="1"/>
    </xf>
    <xf numFmtId="49" fontId="3" fillId="0" borderId="29" xfId="0" applyNumberFormat="1" applyFont="1" applyBorder="1" applyAlignment="1">
      <alignment horizontal="left" vertical="center" wrapText="1"/>
    </xf>
    <xf numFmtId="0" fontId="66" fillId="44" borderId="29" xfId="0" applyFont="1" applyFill="1" applyBorder="1" applyAlignment="1">
      <alignment horizontal="center" vertical="center" wrapText="1"/>
    </xf>
    <xf numFmtId="0" fontId="24" fillId="0" borderId="0" xfId="0" applyFont="1" applyAlignment="1">
      <alignment horizontal="left" vertical="center" indent="4"/>
    </xf>
    <xf numFmtId="0" fontId="3" fillId="0" borderId="29" xfId="0" applyFont="1" applyBorder="1" applyAlignment="1">
      <alignment horizontal="center" vertical="center"/>
    </xf>
    <xf numFmtId="0" fontId="0" fillId="0" borderId="29" xfId="0" quotePrefix="1" applyBorder="1" applyAlignment="1">
      <alignment horizontal="center" vertical="center"/>
    </xf>
    <xf numFmtId="6" fontId="3" fillId="0" borderId="22" xfId="0" applyNumberFormat="1"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64" fillId="0" borderId="0" xfId="0" applyFont="1" applyAlignment="1">
      <alignment horizontal="left" vertical="top" wrapText="1"/>
    </xf>
    <xf numFmtId="0" fontId="48" fillId="0" borderId="0" xfId="0" applyFont="1" applyAlignment="1">
      <alignment horizontal="left" vertical="center" wrapText="1" readingOrder="1"/>
    </xf>
    <xf numFmtId="0" fontId="48" fillId="0" borderId="0" xfId="0" applyFont="1" applyAlignment="1">
      <alignment horizontal="left" vertical="top" wrapText="1" readingOrder="1"/>
    </xf>
    <xf numFmtId="0" fontId="25" fillId="0" borderId="0" xfId="0" applyFont="1" applyAlignment="1">
      <alignment horizontal="left" wrapText="1"/>
    </xf>
    <xf numFmtId="0" fontId="6" fillId="0" borderId="0" xfId="0" applyFont="1" applyAlignment="1">
      <alignment horizontal="left" vertical="top" wrapText="1"/>
    </xf>
    <xf numFmtId="0" fontId="23" fillId="0" borderId="0" xfId="0" applyFont="1" applyAlignment="1">
      <alignment horizontal="center" vertical="center" wrapText="1"/>
    </xf>
    <xf numFmtId="0" fontId="4"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horizontal="left" wrapText="1"/>
    </xf>
    <xf numFmtId="0" fontId="0" fillId="0" borderId="0" xfId="0" applyAlignment="1">
      <alignment horizontal="left" vertical="center"/>
    </xf>
    <xf numFmtId="0" fontId="3" fillId="0" borderId="0" xfId="0" applyFont="1" applyAlignment="1">
      <alignment horizontal="left" wrapText="1"/>
    </xf>
    <xf numFmtId="0" fontId="6" fillId="0" borderId="0" xfId="0" applyFont="1" applyAlignment="1">
      <alignment horizontal="left" wrapText="1"/>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0" fontId="16" fillId="3" borderId="4" xfId="0" applyFont="1" applyFill="1" applyBorder="1" applyAlignment="1" applyProtection="1">
      <alignment horizontal="left" vertical="center"/>
      <protection locked="0"/>
    </xf>
    <xf numFmtId="0" fontId="52" fillId="3" borderId="4" xfId="0" applyFont="1" applyFill="1" applyBorder="1" applyAlignment="1" applyProtection="1">
      <alignment horizontal="center" vertical="center"/>
      <protection locked="0"/>
    </xf>
    <xf numFmtId="49" fontId="52" fillId="3" borderId="4" xfId="0" applyNumberFormat="1" applyFont="1" applyFill="1" applyBorder="1" applyAlignment="1" applyProtection="1">
      <alignment horizontal="center" vertical="center"/>
      <protection locked="0"/>
    </xf>
    <xf numFmtId="0" fontId="52" fillId="3" borderId="4" xfId="0" applyFont="1" applyFill="1" applyBorder="1" applyAlignment="1" applyProtection="1">
      <alignment horizontal="left" vertical="center"/>
      <protection locked="0"/>
    </xf>
    <xf numFmtId="2" fontId="52" fillId="3" borderId="4" xfId="0" applyNumberFormat="1" applyFont="1" applyFill="1" applyBorder="1" applyAlignment="1" applyProtection="1">
      <alignment horizontal="center" vertical="center"/>
      <protection locked="0"/>
    </xf>
    <xf numFmtId="49" fontId="52" fillId="38" borderId="4" xfId="0" applyNumberFormat="1" applyFont="1" applyFill="1" applyBorder="1" applyAlignment="1" applyProtection="1">
      <alignment horizontal="center" vertical="center"/>
      <protection locked="0"/>
    </xf>
    <xf numFmtId="14" fontId="16" fillId="39" borderId="4" xfId="0" applyNumberFormat="1" applyFont="1" applyFill="1" applyBorder="1" applyAlignment="1" applyProtection="1">
      <alignment horizontal="center" vertical="center"/>
      <protection locked="0"/>
    </xf>
    <xf numFmtId="0" fontId="52" fillId="3" borderId="4" xfId="0" applyFont="1" applyFill="1" applyBorder="1" applyAlignment="1" applyProtection="1">
      <alignment vertical="center"/>
      <protection locked="0"/>
    </xf>
    <xf numFmtId="49" fontId="52" fillId="41" borderId="4" xfId="0" applyNumberFormat="1" applyFont="1" applyFill="1" applyBorder="1" applyAlignment="1" applyProtection="1">
      <alignment horizontal="center" vertical="center"/>
      <protection locked="0"/>
    </xf>
    <xf numFmtId="0" fontId="3" fillId="0" borderId="0" xfId="0" applyFont="1" applyAlignment="1">
      <alignment horizontal="left" vertical="top" wrapText="1"/>
    </xf>
    <xf numFmtId="0" fontId="54" fillId="0" borderId="0" xfId="0" applyFont="1" applyAlignment="1">
      <alignment horizontal="left" vertical="top" wrapText="1"/>
    </xf>
    <xf numFmtId="164" fontId="7" fillId="4" borderId="4" xfId="29" applyNumberFormat="1" applyFont="1" applyFill="1" applyBorder="1" applyAlignment="1" applyProtection="1">
      <alignment horizontal="center" vertical="center"/>
    </xf>
    <xf numFmtId="0" fontId="11" fillId="0" borderId="0" xfId="0" applyFont="1" applyAlignment="1">
      <alignment horizontal="left" vertical="center"/>
    </xf>
    <xf numFmtId="2" fontId="13" fillId="4" borderId="4" xfId="51" applyNumberFormat="1" applyFont="1" applyFill="1" applyBorder="1" applyAlignment="1" applyProtection="1">
      <alignment horizontal="center" vertical="center"/>
    </xf>
    <xf numFmtId="0" fontId="6" fillId="6" borderId="19" xfId="0" applyFont="1" applyFill="1" applyBorder="1" applyAlignment="1">
      <alignment horizontal="center" vertical="center" wrapText="1"/>
    </xf>
    <xf numFmtId="0" fontId="6" fillId="5" borderId="21" xfId="0" applyFont="1" applyFill="1" applyBorder="1" applyAlignment="1">
      <alignment horizontal="center" vertical="center"/>
    </xf>
    <xf numFmtId="0" fontId="6" fillId="5" borderId="0" xfId="0" applyFont="1" applyFill="1" applyAlignment="1">
      <alignment horizontal="center" vertical="center"/>
    </xf>
    <xf numFmtId="0" fontId="6" fillId="5" borderId="41" xfId="0" applyFont="1" applyFill="1" applyBorder="1" applyAlignment="1">
      <alignment horizontal="center" vertical="center"/>
    </xf>
    <xf numFmtId="0" fontId="3" fillId="5" borderId="21" xfId="0" applyFont="1" applyFill="1" applyBorder="1" applyAlignment="1">
      <alignment horizontal="center" vertical="center"/>
    </xf>
    <xf numFmtId="164" fontId="52" fillId="39" borderId="4" xfId="29" applyNumberFormat="1" applyFont="1" applyFill="1" applyBorder="1" applyAlignment="1" applyProtection="1">
      <alignment horizontal="center" vertical="center"/>
      <protection locked="0"/>
    </xf>
    <xf numFmtId="0" fontId="11" fillId="0" borderId="0" xfId="0" applyFont="1" applyAlignment="1">
      <alignment horizontal="center" wrapText="1"/>
    </xf>
    <xf numFmtId="0" fontId="16" fillId="39" borderId="4" xfId="0" applyFont="1" applyFill="1" applyBorder="1" applyAlignment="1" applyProtection="1">
      <alignment horizontal="left" vertical="center" wrapText="1" shrinkToFit="1"/>
      <protection locked="0"/>
    </xf>
    <xf numFmtId="0" fontId="16" fillId="39" borderId="4" xfId="0" applyFont="1" applyFill="1" applyBorder="1" applyAlignment="1" applyProtection="1">
      <alignment horizontal="left" vertical="center" wrapText="1"/>
      <protection locked="0"/>
    </xf>
    <xf numFmtId="0" fontId="6" fillId="5" borderId="0" xfId="0" applyFont="1" applyFill="1" applyAlignment="1" applyProtection="1">
      <alignment horizontal="center"/>
      <protection locked="0"/>
    </xf>
    <xf numFmtId="0" fontId="16" fillId="40" borderId="4" xfId="0" applyFont="1" applyFill="1" applyBorder="1" applyAlignment="1">
      <alignment horizontal="left" vertical="center"/>
    </xf>
    <xf numFmtId="0" fontId="52" fillId="40" borderId="4" xfId="0" applyFont="1" applyFill="1" applyBorder="1" applyAlignment="1">
      <alignment horizontal="left" vertical="center"/>
    </xf>
    <xf numFmtId="0" fontId="52" fillId="40" borderId="4" xfId="0" applyFont="1" applyFill="1" applyBorder="1" applyAlignment="1">
      <alignment vertical="center"/>
    </xf>
    <xf numFmtId="0" fontId="52" fillId="40" borderId="4" xfId="0" applyFont="1" applyFill="1" applyBorder="1" applyAlignment="1">
      <alignment horizontal="center" vertical="center"/>
    </xf>
    <xf numFmtId="0" fontId="11" fillId="0" borderId="0" xfId="0" applyFont="1" applyAlignment="1">
      <alignment horizontal="center"/>
    </xf>
    <xf numFmtId="2" fontId="52" fillId="40" borderId="4" xfId="0" applyNumberFormat="1" applyFont="1" applyFill="1" applyBorder="1" applyAlignment="1">
      <alignment horizontal="center" vertical="center"/>
    </xf>
    <xf numFmtId="14" fontId="16" fillId="40" borderId="4" xfId="0" applyNumberFormat="1" applyFont="1" applyFill="1" applyBorder="1" applyAlignment="1">
      <alignment horizontal="center" vertical="center"/>
    </xf>
    <xf numFmtId="0" fontId="16" fillId="40" borderId="4" xfId="0" applyFont="1" applyFill="1" applyBorder="1" applyAlignment="1">
      <alignment horizontal="center" vertical="center"/>
    </xf>
    <xf numFmtId="164" fontId="7" fillId="4" borderId="11" xfId="29" applyNumberFormat="1" applyFont="1" applyFill="1" applyBorder="1" applyAlignment="1" applyProtection="1">
      <alignment horizontal="center" vertical="center"/>
    </xf>
    <xf numFmtId="0" fontId="3" fillId="5" borderId="42" xfId="0" applyFont="1" applyFill="1" applyBorder="1" applyAlignment="1">
      <alignment horizontal="center"/>
    </xf>
    <xf numFmtId="0" fontId="6" fillId="5" borderId="5" xfId="0" applyFont="1" applyFill="1" applyBorder="1" applyAlignment="1">
      <alignment horizontal="center"/>
    </xf>
    <xf numFmtId="0" fontId="6" fillId="5" borderId="43" xfId="0" applyFont="1" applyFill="1" applyBorder="1" applyAlignment="1">
      <alignment horizontal="center"/>
    </xf>
    <xf numFmtId="0" fontId="3" fillId="5" borderId="21" xfId="0" applyFont="1" applyFill="1" applyBorder="1" applyAlignment="1">
      <alignment horizontal="center"/>
    </xf>
    <xf numFmtId="0" fontId="6" fillId="5" borderId="0" xfId="0" applyFont="1" applyFill="1" applyAlignment="1">
      <alignment horizontal="center"/>
    </xf>
    <xf numFmtId="0" fontId="6" fillId="5" borderId="41" xfId="0" applyFont="1" applyFill="1" applyBorder="1" applyAlignment="1">
      <alignment horizontal="center"/>
    </xf>
    <xf numFmtId="0" fontId="3" fillId="6" borderId="19" xfId="0" applyFont="1" applyFill="1" applyBorder="1" applyAlignment="1">
      <alignment horizontal="center" vertical="center" wrapText="1"/>
    </xf>
    <xf numFmtId="0" fontId="7" fillId="0" borderId="0" xfId="70" applyFont="1" applyAlignment="1">
      <alignment horizontal="center" vertical="center" wrapText="1"/>
    </xf>
    <xf numFmtId="2" fontId="13" fillId="4" borderId="4" xfId="51" applyNumberFormat="1" applyFont="1" applyFill="1" applyBorder="1" applyAlignment="1" applyProtection="1">
      <alignment horizontal="center"/>
    </xf>
    <xf numFmtId="0" fontId="12" fillId="0" borderId="0" xfId="0" applyFont="1" applyAlignment="1">
      <alignment horizontal="center" vertical="center"/>
    </xf>
    <xf numFmtId="0" fontId="0" fillId="0" borderId="0" xfId="0" applyAlignment="1">
      <alignment horizontal="center" vertical="center"/>
    </xf>
    <xf numFmtId="2" fontId="16" fillId="40" borderId="4" xfId="0" applyNumberFormat="1" applyFont="1" applyFill="1" applyBorder="1" applyAlignment="1">
      <alignment horizontal="center" vertical="center"/>
    </xf>
    <xf numFmtId="0" fontId="11" fillId="0" borderId="0" xfId="70" applyFont="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center" vertical="center"/>
    </xf>
    <xf numFmtId="164" fontId="7" fillId="4" borderId="4" xfId="0" applyNumberFormat="1" applyFont="1" applyFill="1" applyBorder="1" applyAlignment="1">
      <alignment horizontal="center" vertical="center"/>
    </xf>
    <xf numFmtId="4" fontId="13" fillId="4" borderId="0" xfId="0" applyNumberFormat="1" applyFont="1" applyFill="1" applyAlignment="1">
      <alignment horizontal="center" vertical="center"/>
    </xf>
    <xf numFmtId="0" fontId="16" fillId="40" borderId="4" xfId="0" applyFont="1" applyFill="1" applyBorder="1" applyAlignment="1">
      <alignment vertical="center"/>
    </xf>
    <xf numFmtId="0" fontId="7" fillId="40" borderId="4" xfId="0" applyFont="1" applyFill="1" applyBorder="1" applyAlignment="1">
      <alignment vertical="center"/>
    </xf>
    <xf numFmtId="0" fontId="7" fillId="41" borderId="46" xfId="0" applyFont="1" applyFill="1" applyBorder="1" applyAlignment="1">
      <alignment horizontal="left"/>
    </xf>
    <xf numFmtId="0" fontId="7" fillId="41" borderId="11" xfId="0" applyFont="1" applyFill="1" applyBorder="1" applyAlignment="1">
      <alignment horizontal="left"/>
    </xf>
    <xf numFmtId="0" fontId="7" fillId="41" borderId="23" xfId="0" applyFont="1" applyFill="1" applyBorder="1" applyAlignment="1">
      <alignment horizontal="left"/>
    </xf>
    <xf numFmtId="0" fontId="7" fillId="41" borderId="44" xfId="0" applyFont="1" applyFill="1" applyBorder="1" applyAlignment="1">
      <alignment horizontal="left"/>
    </xf>
    <xf numFmtId="0" fontId="7" fillId="41" borderId="40" xfId="0" applyFont="1" applyFill="1" applyBorder="1" applyAlignment="1">
      <alignment horizontal="left"/>
    </xf>
    <xf numFmtId="0" fontId="7" fillId="41" borderId="45" xfId="0" applyFont="1" applyFill="1" applyBorder="1" applyAlignment="1">
      <alignment horizontal="left"/>
    </xf>
    <xf numFmtId="0" fontId="16" fillId="3" borderId="4" xfId="0" applyFont="1" applyFill="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61" xfId="0" applyFont="1" applyBorder="1" applyAlignment="1">
      <alignment horizontal="center" vertical="center"/>
    </xf>
    <xf numFmtId="0" fontId="7" fillId="0" borderId="48" xfId="0" applyFont="1" applyBorder="1" applyAlignment="1">
      <alignment horizontal="center" vertical="center"/>
    </xf>
    <xf numFmtId="0" fontId="7" fillId="41" borderId="49" xfId="0" applyFont="1" applyFill="1" applyBorder="1" applyAlignment="1">
      <alignment horizontal="left"/>
    </xf>
    <xf numFmtId="0" fontId="7" fillId="41" borderId="62" xfId="0" applyFont="1" applyFill="1" applyBorder="1" applyAlignment="1">
      <alignment horizontal="left"/>
    </xf>
    <xf numFmtId="0" fontId="7" fillId="41" borderId="50" xfId="0" applyFont="1" applyFill="1" applyBorder="1" applyAlignment="1">
      <alignment horizontal="left"/>
    </xf>
    <xf numFmtId="39" fontId="7" fillId="3" borderId="37" xfId="0" applyNumberFormat="1" applyFont="1" applyFill="1" applyBorder="1" applyAlignment="1" applyProtection="1">
      <alignment horizontal="center" vertical="center"/>
      <protection locked="0"/>
    </xf>
    <xf numFmtId="39" fontId="7" fillId="3" borderId="26" xfId="0" applyNumberFormat="1" applyFont="1" applyFill="1" applyBorder="1" applyAlignment="1" applyProtection="1">
      <alignment horizontal="center" vertical="center"/>
      <protection locked="0"/>
    </xf>
    <xf numFmtId="14" fontId="16" fillId="3" borderId="4" xfId="0" applyNumberFormat="1" applyFont="1" applyFill="1" applyBorder="1" applyAlignment="1" applyProtection="1">
      <alignment horizontal="center" vertical="center"/>
      <protection locked="0"/>
    </xf>
    <xf numFmtId="39" fontId="7" fillId="3" borderId="39" xfId="0" applyNumberFormat="1" applyFont="1" applyFill="1" applyBorder="1" applyAlignment="1" applyProtection="1">
      <alignment horizontal="center" vertical="center"/>
      <protection locked="0"/>
    </xf>
    <xf numFmtId="39" fontId="7" fillId="3" borderId="27" xfId="0" applyNumberFormat="1" applyFont="1" applyFill="1" applyBorder="1" applyAlignment="1" applyProtection="1">
      <alignment horizontal="center" vertical="center"/>
      <protection locked="0"/>
    </xf>
    <xf numFmtId="2" fontId="13" fillId="4" borderId="4" xfId="0" applyNumberFormat="1" applyFont="1" applyFill="1" applyBorder="1" applyAlignment="1">
      <alignment horizontal="center" vertical="center"/>
    </xf>
    <xf numFmtId="2" fontId="16" fillId="3" borderId="4" xfId="0" applyNumberFormat="1" applyFont="1" applyFill="1" applyBorder="1" applyAlignment="1" applyProtection="1">
      <alignment horizontal="center" vertical="center"/>
      <protection locked="0"/>
    </xf>
    <xf numFmtId="170" fontId="52" fillId="38" borderId="4" xfId="0" applyNumberFormat="1" applyFont="1" applyFill="1" applyBorder="1" applyAlignment="1" applyProtection="1">
      <alignment horizontal="center" vertical="center"/>
      <protection locked="0"/>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39" fontId="7" fillId="3" borderId="70" xfId="0" applyNumberFormat="1" applyFont="1" applyFill="1" applyBorder="1" applyAlignment="1" applyProtection="1">
      <alignment horizontal="center" vertical="center"/>
      <protection locked="0"/>
    </xf>
    <xf numFmtId="39" fontId="7" fillId="3" borderId="25" xfId="0" applyNumberFormat="1" applyFont="1" applyFill="1" applyBorder="1" applyAlignment="1" applyProtection="1">
      <alignment horizontal="center" vertical="center"/>
      <protection locked="0"/>
    </xf>
    <xf numFmtId="9" fontId="0" fillId="0" borderId="0" xfId="0" applyNumberFormat="1" applyAlignment="1">
      <alignment horizont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27" xfId="0" applyBorder="1" applyAlignment="1">
      <alignment horizontal="left" vertical="center"/>
    </xf>
    <xf numFmtId="0" fontId="26" fillId="0" borderId="28" xfId="0" applyFont="1" applyBorder="1" applyAlignment="1">
      <alignment horizontal="center" vertical="center"/>
    </xf>
    <xf numFmtId="0" fontId="26" fillId="0" borderId="38" xfId="0" applyFont="1" applyBorder="1" applyAlignment="1">
      <alignment horizontal="center" vertical="center"/>
    </xf>
    <xf numFmtId="0" fontId="0" fillId="0" borderId="37" xfId="0" applyBorder="1" applyAlignment="1">
      <alignment horizontal="left" vertical="center"/>
    </xf>
    <xf numFmtId="0" fontId="0" fillId="0" borderId="11" xfId="0" applyBorder="1" applyAlignment="1">
      <alignment horizontal="left" vertical="center"/>
    </xf>
    <xf numFmtId="0" fontId="0" fillId="0" borderId="26" xfId="0" applyBorder="1" applyAlignment="1">
      <alignment horizontal="left" vertical="center"/>
    </xf>
  </cellXfs>
  <cellStyles count="512">
    <cellStyle name="20% - Accent1" xfId="92" builtinId="30" customBuiltin="1"/>
    <cellStyle name="20% - Accent1 2" xfId="1" xr:uid="{00000000-0005-0000-0000-000001000000}"/>
    <cellStyle name="20% - Accent1 2 2" xfId="56" xr:uid="{00000000-0005-0000-0000-000002000000}"/>
    <cellStyle name="20% - Accent1 2 2 2" xfId="204" xr:uid="{00000000-0005-0000-0000-000003000000}"/>
    <cellStyle name="20% - Accent1 2 2 2 2" xfId="325" xr:uid="{00000000-0005-0000-0000-000004000000}"/>
    <cellStyle name="20% - Accent1 2 2 2 3" xfId="437" xr:uid="{00000000-0005-0000-0000-000005000000}"/>
    <cellStyle name="20% - Accent1 2 2 3" xfId="293" xr:uid="{00000000-0005-0000-0000-000006000000}"/>
    <cellStyle name="20% - Accent1 2 2 4" xfId="408" xr:uid="{00000000-0005-0000-0000-000007000000}"/>
    <cellStyle name="20% - Accent1 2 2 5" xfId="116" xr:uid="{00000000-0005-0000-0000-000008000000}"/>
    <cellStyle name="20% - Accent1 2 3" xfId="203" xr:uid="{00000000-0005-0000-0000-000009000000}"/>
    <cellStyle name="20% - Accent1 2 3 2" xfId="324" xr:uid="{00000000-0005-0000-0000-00000A000000}"/>
    <cellStyle name="20% - Accent1 2 3 3" xfId="436" xr:uid="{00000000-0005-0000-0000-00000B000000}"/>
    <cellStyle name="20% - Accent1 2 4" xfId="248" xr:uid="{00000000-0005-0000-0000-00000C000000}"/>
    <cellStyle name="20% - Accent1 2 4 2" xfId="368" xr:uid="{00000000-0005-0000-0000-00000D000000}"/>
    <cellStyle name="20% - Accent1 2 4 3" xfId="480" xr:uid="{00000000-0005-0000-0000-00000E000000}"/>
    <cellStyle name="20% - Accent1 2 5" xfId="292" xr:uid="{00000000-0005-0000-0000-00000F000000}"/>
    <cellStyle name="20% - Accent1 2 6" xfId="407" xr:uid="{00000000-0005-0000-0000-000010000000}"/>
    <cellStyle name="20% - Accent1 2 7" xfId="115" xr:uid="{00000000-0005-0000-0000-000011000000}"/>
    <cellStyle name="20% - Accent1 3" xfId="233" xr:uid="{00000000-0005-0000-0000-000012000000}"/>
    <cellStyle name="20% - Accent1 3 2" xfId="354" xr:uid="{00000000-0005-0000-0000-000013000000}"/>
    <cellStyle name="20% - Accent1 3 3" xfId="466" xr:uid="{00000000-0005-0000-0000-000014000000}"/>
    <cellStyle name="20% - Accent1 4" xfId="269" xr:uid="{00000000-0005-0000-0000-000015000000}"/>
    <cellStyle name="20% - Accent1 5" xfId="393" xr:uid="{00000000-0005-0000-0000-000016000000}"/>
    <cellStyle name="20% - Accent2" xfId="96" builtinId="34" customBuiltin="1"/>
    <cellStyle name="20% - Accent2 2" xfId="2" xr:uid="{00000000-0005-0000-0000-000018000000}"/>
    <cellStyle name="20% - Accent2 2 2" xfId="57" xr:uid="{00000000-0005-0000-0000-000019000000}"/>
    <cellStyle name="20% - Accent2 2 2 2" xfId="206" xr:uid="{00000000-0005-0000-0000-00001A000000}"/>
    <cellStyle name="20% - Accent2 2 2 2 2" xfId="327" xr:uid="{00000000-0005-0000-0000-00001B000000}"/>
    <cellStyle name="20% - Accent2 2 2 2 3" xfId="439" xr:uid="{00000000-0005-0000-0000-00001C000000}"/>
    <cellStyle name="20% - Accent2 2 2 3" xfId="295" xr:uid="{00000000-0005-0000-0000-00001D000000}"/>
    <cellStyle name="20% - Accent2 2 2 4" xfId="410" xr:uid="{00000000-0005-0000-0000-00001E000000}"/>
    <cellStyle name="20% - Accent2 2 2 5" xfId="118" xr:uid="{00000000-0005-0000-0000-00001F000000}"/>
    <cellStyle name="20% - Accent2 2 3" xfId="205" xr:uid="{00000000-0005-0000-0000-000020000000}"/>
    <cellStyle name="20% - Accent2 2 3 2" xfId="326" xr:uid="{00000000-0005-0000-0000-000021000000}"/>
    <cellStyle name="20% - Accent2 2 3 3" xfId="438" xr:uid="{00000000-0005-0000-0000-000022000000}"/>
    <cellStyle name="20% - Accent2 2 4" xfId="249" xr:uid="{00000000-0005-0000-0000-000023000000}"/>
    <cellStyle name="20% - Accent2 2 4 2" xfId="369" xr:uid="{00000000-0005-0000-0000-000024000000}"/>
    <cellStyle name="20% - Accent2 2 4 3" xfId="481" xr:uid="{00000000-0005-0000-0000-000025000000}"/>
    <cellStyle name="20% - Accent2 2 5" xfId="294" xr:uid="{00000000-0005-0000-0000-000026000000}"/>
    <cellStyle name="20% - Accent2 2 6" xfId="409" xr:uid="{00000000-0005-0000-0000-000027000000}"/>
    <cellStyle name="20% - Accent2 2 7" xfId="117" xr:uid="{00000000-0005-0000-0000-000028000000}"/>
    <cellStyle name="20% - Accent2 3" xfId="234" xr:uid="{00000000-0005-0000-0000-000029000000}"/>
    <cellStyle name="20% - Accent2 3 2" xfId="355" xr:uid="{00000000-0005-0000-0000-00002A000000}"/>
    <cellStyle name="20% - Accent2 3 3" xfId="467" xr:uid="{00000000-0005-0000-0000-00002B000000}"/>
    <cellStyle name="20% - Accent2 4" xfId="271" xr:uid="{00000000-0005-0000-0000-00002C000000}"/>
    <cellStyle name="20% - Accent2 5" xfId="395" xr:uid="{00000000-0005-0000-0000-00002D000000}"/>
    <cellStyle name="20% - Accent3" xfId="100" builtinId="38" customBuiltin="1"/>
    <cellStyle name="20% - Accent3 2" xfId="3" xr:uid="{00000000-0005-0000-0000-00002F000000}"/>
    <cellStyle name="20% - Accent3 2 2" xfId="58" xr:uid="{00000000-0005-0000-0000-000030000000}"/>
    <cellStyle name="20% - Accent3 2 2 2" xfId="208" xr:uid="{00000000-0005-0000-0000-000031000000}"/>
    <cellStyle name="20% - Accent3 2 2 2 2" xfId="329" xr:uid="{00000000-0005-0000-0000-000032000000}"/>
    <cellStyle name="20% - Accent3 2 2 2 3" xfId="441" xr:uid="{00000000-0005-0000-0000-000033000000}"/>
    <cellStyle name="20% - Accent3 2 2 3" xfId="297" xr:uid="{00000000-0005-0000-0000-000034000000}"/>
    <cellStyle name="20% - Accent3 2 2 4" xfId="412" xr:uid="{00000000-0005-0000-0000-000035000000}"/>
    <cellStyle name="20% - Accent3 2 2 5" xfId="120" xr:uid="{00000000-0005-0000-0000-000036000000}"/>
    <cellStyle name="20% - Accent3 2 3" xfId="207" xr:uid="{00000000-0005-0000-0000-000037000000}"/>
    <cellStyle name="20% - Accent3 2 3 2" xfId="328" xr:uid="{00000000-0005-0000-0000-000038000000}"/>
    <cellStyle name="20% - Accent3 2 3 3" xfId="440" xr:uid="{00000000-0005-0000-0000-000039000000}"/>
    <cellStyle name="20% - Accent3 2 4" xfId="250" xr:uid="{00000000-0005-0000-0000-00003A000000}"/>
    <cellStyle name="20% - Accent3 2 4 2" xfId="370" xr:uid="{00000000-0005-0000-0000-00003B000000}"/>
    <cellStyle name="20% - Accent3 2 4 3" xfId="482" xr:uid="{00000000-0005-0000-0000-00003C000000}"/>
    <cellStyle name="20% - Accent3 2 5" xfId="296" xr:uid="{00000000-0005-0000-0000-00003D000000}"/>
    <cellStyle name="20% - Accent3 2 6" xfId="411" xr:uid="{00000000-0005-0000-0000-00003E000000}"/>
    <cellStyle name="20% - Accent3 2 7" xfId="119" xr:uid="{00000000-0005-0000-0000-00003F000000}"/>
    <cellStyle name="20% - Accent3 3" xfId="235" xr:uid="{00000000-0005-0000-0000-000040000000}"/>
    <cellStyle name="20% - Accent3 3 2" xfId="356" xr:uid="{00000000-0005-0000-0000-000041000000}"/>
    <cellStyle name="20% - Accent3 3 3" xfId="468" xr:uid="{00000000-0005-0000-0000-000042000000}"/>
    <cellStyle name="20% - Accent3 4" xfId="273" xr:uid="{00000000-0005-0000-0000-000043000000}"/>
    <cellStyle name="20% - Accent3 5" xfId="397" xr:uid="{00000000-0005-0000-0000-000044000000}"/>
    <cellStyle name="20% - Accent4" xfId="104" builtinId="42" customBuiltin="1"/>
    <cellStyle name="20% - Accent4 2" xfId="4" xr:uid="{00000000-0005-0000-0000-000046000000}"/>
    <cellStyle name="20% - Accent4 2 2" xfId="59" xr:uid="{00000000-0005-0000-0000-000047000000}"/>
    <cellStyle name="20% - Accent4 2 2 2" xfId="210" xr:uid="{00000000-0005-0000-0000-000048000000}"/>
    <cellStyle name="20% - Accent4 2 2 2 2" xfId="331" xr:uid="{00000000-0005-0000-0000-000049000000}"/>
    <cellStyle name="20% - Accent4 2 2 2 3" xfId="443" xr:uid="{00000000-0005-0000-0000-00004A000000}"/>
    <cellStyle name="20% - Accent4 2 2 3" xfId="299" xr:uid="{00000000-0005-0000-0000-00004B000000}"/>
    <cellStyle name="20% - Accent4 2 2 4" xfId="414" xr:uid="{00000000-0005-0000-0000-00004C000000}"/>
    <cellStyle name="20% - Accent4 2 2 5" xfId="122" xr:uid="{00000000-0005-0000-0000-00004D000000}"/>
    <cellStyle name="20% - Accent4 2 3" xfId="209" xr:uid="{00000000-0005-0000-0000-00004E000000}"/>
    <cellStyle name="20% - Accent4 2 3 2" xfId="330" xr:uid="{00000000-0005-0000-0000-00004F000000}"/>
    <cellStyle name="20% - Accent4 2 3 3" xfId="442" xr:uid="{00000000-0005-0000-0000-000050000000}"/>
    <cellStyle name="20% - Accent4 2 4" xfId="251" xr:uid="{00000000-0005-0000-0000-000051000000}"/>
    <cellStyle name="20% - Accent4 2 4 2" xfId="371" xr:uid="{00000000-0005-0000-0000-000052000000}"/>
    <cellStyle name="20% - Accent4 2 4 3" xfId="483" xr:uid="{00000000-0005-0000-0000-000053000000}"/>
    <cellStyle name="20% - Accent4 2 5" xfId="298" xr:uid="{00000000-0005-0000-0000-000054000000}"/>
    <cellStyle name="20% - Accent4 2 6" xfId="413" xr:uid="{00000000-0005-0000-0000-000055000000}"/>
    <cellStyle name="20% - Accent4 2 7" xfId="121" xr:uid="{00000000-0005-0000-0000-000056000000}"/>
    <cellStyle name="20% - Accent4 3" xfId="236" xr:uid="{00000000-0005-0000-0000-000057000000}"/>
    <cellStyle name="20% - Accent4 3 2" xfId="357" xr:uid="{00000000-0005-0000-0000-000058000000}"/>
    <cellStyle name="20% - Accent4 3 3" xfId="469" xr:uid="{00000000-0005-0000-0000-000059000000}"/>
    <cellStyle name="20% - Accent4 4" xfId="275" xr:uid="{00000000-0005-0000-0000-00005A000000}"/>
    <cellStyle name="20% - Accent4 5" xfId="399" xr:uid="{00000000-0005-0000-0000-00005B000000}"/>
    <cellStyle name="20% - Accent5" xfId="108" builtinId="46" customBuiltin="1"/>
    <cellStyle name="20% - Accent5 2" xfId="5" xr:uid="{00000000-0005-0000-0000-00005D000000}"/>
    <cellStyle name="20% - Accent5 2 2" xfId="60" xr:uid="{00000000-0005-0000-0000-00005E000000}"/>
    <cellStyle name="20% - Accent5 2 2 2" xfId="212" xr:uid="{00000000-0005-0000-0000-00005F000000}"/>
    <cellStyle name="20% - Accent5 2 2 2 2" xfId="333" xr:uid="{00000000-0005-0000-0000-000060000000}"/>
    <cellStyle name="20% - Accent5 2 2 2 3" xfId="445" xr:uid="{00000000-0005-0000-0000-000061000000}"/>
    <cellStyle name="20% - Accent5 2 2 3" xfId="301" xr:uid="{00000000-0005-0000-0000-000062000000}"/>
    <cellStyle name="20% - Accent5 2 2 4" xfId="416" xr:uid="{00000000-0005-0000-0000-000063000000}"/>
    <cellStyle name="20% - Accent5 2 2 5" xfId="124" xr:uid="{00000000-0005-0000-0000-000064000000}"/>
    <cellStyle name="20% - Accent5 2 3" xfId="211" xr:uid="{00000000-0005-0000-0000-000065000000}"/>
    <cellStyle name="20% - Accent5 2 3 2" xfId="332" xr:uid="{00000000-0005-0000-0000-000066000000}"/>
    <cellStyle name="20% - Accent5 2 3 3" xfId="444" xr:uid="{00000000-0005-0000-0000-000067000000}"/>
    <cellStyle name="20% - Accent5 2 4" xfId="252" xr:uid="{00000000-0005-0000-0000-000068000000}"/>
    <cellStyle name="20% - Accent5 2 4 2" xfId="372" xr:uid="{00000000-0005-0000-0000-000069000000}"/>
    <cellStyle name="20% - Accent5 2 4 3" xfId="484" xr:uid="{00000000-0005-0000-0000-00006A000000}"/>
    <cellStyle name="20% - Accent5 2 5" xfId="300" xr:uid="{00000000-0005-0000-0000-00006B000000}"/>
    <cellStyle name="20% - Accent5 2 6" xfId="415" xr:uid="{00000000-0005-0000-0000-00006C000000}"/>
    <cellStyle name="20% - Accent5 2 7" xfId="123" xr:uid="{00000000-0005-0000-0000-00006D000000}"/>
    <cellStyle name="20% - Accent5 3" xfId="237" xr:uid="{00000000-0005-0000-0000-00006E000000}"/>
    <cellStyle name="20% - Accent5 3 2" xfId="358" xr:uid="{00000000-0005-0000-0000-00006F000000}"/>
    <cellStyle name="20% - Accent5 3 3" xfId="470" xr:uid="{00000000-0005-0000-0000-000070000000}"/>
    <cellStyle name="20% - Accent5 4" xfId="277" xr:uid="{00000000-0005-0000-0000-000071000000}"/>
    <cellStyle name="20% - Accent5 5" xfId="401" xr:uid="{00000000-0005-0000-0000-000072000000}"/>
    <cellStyle name="20% - Accent6" xfId="112" builtinId="50" customBuiltin="1"/>
    <cellStyle name="20% - Accent6 2" xfId="6" xr:uid="{00000000-0005-0000-0000-000074000000}"/>
    <cellStyle name="20% - Accent6 2 2" xfId="61" xr:uid="{00000000-0005-0000-0000-000075000000}"/>
    <cellStyle name="20% - Accent6 2 2 2" xfId="214" xr:uid="{00000000-0005-0000-0000-000076000000}"/>
    <cellStyle name="20% - Accent6 2 2 2 2" xfId="335" xr:uid="{00000000-0005-0000-0000-000077000000}"/>
    <cellStyle name="20% - Accent6 2 2 2 3" xfId="447" xr:uid="{00000000-0005-0000-0000-000078000000}"/>
    <cellStyle name="20% - Accent6 2 2 3" xfId="303" xr:uid="{00000000-0005-0000-0000-000079000000}"/>
    <cellStyle name="20% - Accent6 2 2 4" xfId="418" xr:uid="{00000000-0005-0000-0000-00007A000000}"/>
    <cellStyle name="20% - Accent6 2 2 5" xfId="126" xr:uid="{00000000-0005-0000-0000-00007B000000}"/>
    <cellStyle name="20% - Accent6 2 3" xfId="213" xr:uid="{00000000-0005-0000-0000-00007C000000}"/>
    <cellStyle name="20% - Accent6 2 3 2" xfId="334" xr:uid="{00000000-0005-0000-0000-00007D000000}"/>
    <cellStyle name="20% - Accent6 2 3 3" xfId="446" xr:uid="{00000000-0005-0000-0000-00007E000000}"/>
    <cellStyle name="20% - Accent6 2 4" xfId="253" xr:uid="{00000000-0005-0000-0000-00007F000000}"/>
    <cellStyle name="20% - Accent6 2 4 2" xfId="373" xr:uid="{00000000-0005-0000-0000-000080000000}"/>
    <cellStyle name="20% - Accent6 2 4 3" xfId="485" xr:uid="{00000000-0005-0000-0000-000081000000}"/>
    <cellStyle name="20% - Accent6 2 5" xfId="302" xr:uid="{00000000-0005-0000-0000-000082000000}"/>
    <cellStyle name="20% - Accent6 2 6" xfId="417" xr:uid="{00000000-0005-0000-0000-000083000000}"/>
    <cellStyle name="20% - Accent6 2 7" xfId="125" xr:uid="{00000000-0005-0000-0000-000084000000}"/>
    <cellStyle name="20% - Accent6 3" xfId="238" xr:uid="{00000000-0005-0000-0000-000085000000}"/>
    <cellStyle name="20% - Accent6 3 2" xfId="359" xr:uid="{00000000-0005-0000-0000-000086000000}"/>
    <cellStyle name="20% - Accent6 3 3" xfId="471" xr:uid="{00000000-0005-0000-0000-000087000000}"/>
    <cellStyle name="20% - Accent6 4" xfId="279" xr:uid="{00000000-0005-0000-0000-000088000000}"/>
    <cellStyle name="20% - Accent6 5" xfId="403" xr:uid="{00000000-0005-0000-0000-000089000000}"/>
    <cellStyle name="40% - Accent1" xfId="93" builtinId="31" customBuiltin="1"/>
    <cellStyle name="40% - Accent1 2" xfId="7" xr:uid="{00000000-0005-0000-0000-00008B000000}"/>
    <cellStyle name="40% - Accent1 2 2" xfId="62" xr:uid="{00000000-0005-0000-0000-00008C000000}"/>
    <cellStyle name="40% - Accent1 2 2 2" xfId="216" xr:uid="{00000000-0005-0000-0000-00008D000000}"/>
    <cellStyle name="40% - Accent1 2 2 2 2" xfId="337" xr:uid="{00000000-0005-0000-0000-00008E000000}"/>
    <cellStyle name="40% - Accent1 2 2 2 3" xfId="449" xr:uid="{00000000-0005-0000-0000-00008F000000}"/>
    <cellStyle name="40% - Accent1 2 2 3" xfId="305" xr:uid="{00000000-0005-0000-0000-000090000000}"/>
    <cellStyle name="40% - Accent1 2 2 4" xfId="420" xr:uid="{00000000-0005-0000-0000-000091000000}"/>
    <cellStyle name="40% - Accent1 2 2 5" xfId="128" xr:uid="{00000000-0005-0000-0000-000092000000}"/>
    <cellStyle name="40% - Accent1 2 3" xfId="215" xr:uid="{00000000-0005-0000-0000-000093000000}"/>
    <cellStyle name="40% - Accent1 2 3 2" xfId="336" xr:uid="{00000000-0005-0000-0000-000094000000}"/>
    <cellStyle name="40% - Accent1 2 3 3" xfId="448" xr:uid="{00000000-0005-0000-0000-000095000000}"/>
    <cellStyle name="40% - Accent1 2 4" xfId="254" xr:uid="{00000000-0005-0000-0000-000096000000}"/>
    <cellStyle name="40% - Accent1 2 4 2" xfId="374" xr:uid="{00000000-0005-0000-0000-000097000000}"/>
    <cellStyle name="40% - Accent1 2 4 3" xfId="486" xr:uid="{00000000-0005-0000-0000-000098000000}"/>
    <cellStyle name="40% - Accent1 2 5" xfId="304" xr:uid="{00000000-0005-0000-0000-000099000000}"/>
    <cellStyle name="40% - Accent1 2 6" xfId="419" xr:uid="{00000000-0005-0000-0000-00009A000000}"/>
    <cellStyle name="40% - Accent1 2 7" xfId="127" xr:uid="{00000000-0005-0000-0000-00009B000000}"/>
    <cellStyle name="40% - Accent1 3" xfId="239" xr:uid="{00000000-0005-0000-0000-00009C000000}"/>
    <cellStyle name="40% - Accent1 3 2" xfId="360" xr:uid="{00000000-0005-0000-0000-00009D000000}"/>
    <cellStyle name="40% - Accent1 3 3" xfId="472" xr:uid="{00000000-0005-0000-0000-00009E000000}"/>
    <cellStyle name="40% - Accent1 4" xfId="270" xr:uid="{00000000-0005-0000-0000-00009F000000}"/>
    <cellStyle name="40% - Accent1 5" xfId="394" xr:uid="{00000000-0005-0000-0000-0000A0000000}"/>
    <cellStyle name="40% - Accent2" xfId="97" builtinId="35" customBuiltin="1"/>
    <cellStyle name="40% - Accent2 2" xfId="8" xr:uid="{00000000-0005-0000-0000-0000A2000000}"/>
    <cellStyle name="40% - Accent2 2 2" xfId="63" xr:uid="{00000000-0005-0000-0000-0000A3000000}"/>
    <cellStyle name="40% - Accent2 2 2 2" xfId="218" xr:uid="{00000000-0005-0000-0000-0000A4000000}"/>
    <cellStyle name="40% - Accent2 2 2 2 2" xfId="339" xr:uid="{00000000-0005-0000-0000-0000A5000000}"/>
    <cellStyle name="40% - Accent2 2 2 2 3" xfId="451" xr:uid="{00000000-0005-0000-0000-0000A6000000}"/>
    <cellStyle name="40% - Accent2 2 2 3" xfId="307" xr:uid="{00000000-0005-0000-0000-0000A7000000}"/>
    <cellStyle name="40% - Accent2 2 2 4" xfId="422" xr:uid="{00000000-0005-0000-0000-0000A8000000}"/>
    <cellStyle name="40% - Accent2 2 2 5" xfId="130" xr:uid="{00000000-0005-0000-0000-0000A9000000}"/>
    <cellStyle name="40% - Accent2 2 3" xfId="217" xr:uid="{00000000-0005-0000-0000-0000AA000000}"/>
    <cellStyle name="40% - Accent2 2 3 2" xfId="338" xr:uid="{00000000-0005-0000-0000-0000AB000000}"/>
    <cellStyle name="40% - Accent2 2 3 3" xfId="450" xr:uid="{00000000-0005-0000-0000-0000AC000000}"/>
    <cellStyle name="40% - Accent2 2 4" xfId="255" xr:uid="{00000000-0005-0000-0000-0000AD000000}"/>
    <cellStyle name="40% - Accent2 2 4 2" xfId="375" xr:uid="{00000000-0005-0000-0000-0000AE000000}"/>
    <cellStyle name="40% - Accent2 2 4 3" xfId="487" xr:uid="{00000000-0005-0000-0000-0000AF000000}"/>
    <cellStyle name="40% - Accent2 2 5" xfId="306" xr:uid="{00000000-0005-0000-0000-0000B0000000}"/>
    <cellStyle name="40% - Accent2 2 6" xfId="421" xr:uid="{00000000-0005-0000-0000-0000B1000000}"/>
    <cellStyle name="40% - Accent2 2 7" xfId="129" xr:uid="{00000000-0005-0000-0000-0000B2000000}"/>
    <cellStyle name="40% - Accent2 3" xfId="240" xr:uid="{00000000-0005-0000-0000-0000B3000000}"/>
    <cellStyle name="40% - Accent2 3 2" xfId="361" xr:uid="{00000000-0005-0000-0000-0000B4000000}"/>
    <cellStyle name="40% - Accent2 3 3" xfId="473" xr:uid="{00000000-0005-0000-0000-0000B5000000}"/>
    <cellStyle name="40% - Accent2 4" xfId="272" xr:uid="{00000000-0005-0000-0000-0000B6000000}"/>
    <cellStyle name="40% - Accent2 5" xfId="396" xr:uid="{00000000-0005-0000-0000-0000B7000000}"/>
    <cellStyle name="40% - Accent3" xfId="101" builtinId="39" customBuiltin="1"/>
    <cellStyle name="40% - Accent3 2" xfId="9" xr:uid="{00000000-0005-0000-0000-0000B9000000}"/>
    <cellStyle name="40% - Accent3 2 2" xfId="64" xr:uid="{00000000-0005-0000-0000-0000BA000000}"/>
    <cellStyle name="40% - Accent3 2 2 2" xfId="220" xr:uid="{00000000-0005-0000-0000-0000BB000000}"/>
    <cellStyle name="40% - Accent3 2 2 2 2" xfId="341" xr:uid="{00000000-0005-0000-0000-0000BC000000}"/>
    <cellStyle name="40% - Accent3 2 2 2 3" xfId="453" xr:uid="{00000000-0005-0000-0000-0000BD000000}"/>
    <cellStyle name="40% - Accent3 2 2 3" xfId="309" xr:uid="{00000000-0005-0000-0000-0000BE000000}"/>
    <cellStyle name="40% - Accent3 2 2 4" xfId="424" xr:uid="{00000000-0005-0000-0000-0000BF000000}"/>
    <cellStyle name="40% - Accent3 2 2 5" xfId="132" xr:uid="{00000000-0005-0000-0000-0000C0000000}"/>
    <cellStyle name="40% - Accent3 2 3" xfId="219" xr:uid="{00000000-0005-0000-0000-0000C1000000}"/>
    <cellStyle name="40% - Accent3 2 3 2" xfId="340" xr:uid="{00000000-0005-0000-0000-0000C2000000}"/>
    <cellStyle name="40% - Accent3 2 3 3" xfId="452" xr:uid="{00000000-0005-0000-0000-0000C3000000}"/>
    <cellStyle name="40% - Accent3 2 4" xfId="256" xr:uid="{00000000-0005-0000-0000-0000C4000000}"/>
    <cellStyle name="40% - Accent3 2 4 2" xfId="376" xr:uid="{00000000-0005-0000-0000-0000C5000000}"/>
    <cellStyle name="40% - Accent3 2 4 3" xfId="488" xr:uid="{00000000-0005-0000-0000-0000C6000000}"/>
    <cellStyle name="40% - Accent3 2 5" xfId="308" xr:uid="{00000000-0005-0000-0000-0000C7000000}"/>
    <cellStyle name="40% - Accent3 2 6" xfId="423" xr:uid="{00000000-0005-0000-0000-0000C8000000}"/>
    <cellStyle name="40% - Accent3 2 7" xfId="131" xr:uid="{00000000-0005-0000-0000-0000C9000000}"/>
    <cellStyle name="40% - Accent3 3" xfId="241" xr:uid="{00000000-0005-0000-0000-0000CA000000}"/>
    <cellStyle name="40% - Accent3 3 2" xfId="362" xr:uid="{00000000-0005-0000-0000-0000CB000000}"/>
    <cellStyle name="40% - Accent3 3 3" xfId="474" xr:uid="{00000000-0005-0000-0000-0000CC000000}"/>
    <cellStyle name="40% - Accent3 4" xfId="274" xr:uid="{00000000-0005-0000-0000-0000CD000000}"/>
    <cellStyle name="40% - Accent3 5" xfId="398" xr:uid="{00000000-0005-0000-0000-0000CE000000}"/>
    <cellStyle name="40% - Accent4" xfId="105" builtinId="43" customBuiltin="1"/>
    <cellStyle name="40% - Accent4 2" xfId="10" xr:uid="{00000000-0005-0000-0000-0000D0000000}"/>
    <cellStyle name="40% - Accent4 2 2" xfId="65" xr:uid="{00000000-0005-0000-0000-0000D1000000}"/>
    <cellStyle name="40% - Accent4 2 2 2" xfId="222" xr:uid="{00000000-0005-0000-0000-0000D2000000}"/>
    <cellStyle name="40% - Accent4 2 2 2 2" xfId="343" xr:uid="{00000000-0005-0000-0000-0000D3000000}"/>
    <cellStyle name="40% - Accent4 2 2 2 3" xfId="455" xr:uid="{00000000-0005-0000-0000-0000D4000000}"/>
    <cellStyle name="40% - Accent4 2 2 3" xfId="311" xr:uid="{00000000-0005-0000-0000-0000D5000000}"/>
    <cellStyle name="40% - Accent4 2 2 4" xfId="426" xr:uid="{00000000-0005-0000-0000-0000D6000000}"/>
    <cellStyle name="40% - Accent4 2 2 5" xfId="134" xr:uid="{00000000-0005-0000-0000-0000D7000000}"/>
    <cellStyle name="40% - Accent4 2 3" xfId="221" xr:uid="{00000000-0005-0000-0000-0000D8000000}"/>
    <cellStyle name="40% - Accent4 2 3 2" xfId="342" xr:uid="{00000000-0005-0000-0000-0000D9000000}"/>
    <cellStyle name="40% - Accent4 2 3 3" xfId="454" xr:uid="{00000000-0005-0000-0000-0000DA000000}"/>
    <cellStyle name="40% - Accent4 2 4" xfId="257" xr:uid="{00000000-0005-0000-0000-0000DB000000}"/>
    <cellStyle name="40% - Accent4 2 4 2" xfId="377" xr:uid="{00000000-0005-0000-0000-0000DC000000}"/>
    <cellStyle name="40% - Accent4 2 4 3" xfId="489" xr:uid="{00000000-0005-0000-0000-0000DD000000}"/>
    <cellStyle name="40% - Accent4 2 5" xfId="310" xr:uid="{00000000-0005-0000-0000-0000DE000000}"/>
    <cellStyle name="40% - Accent4 2 6" xfId="425" xr:uid="{00000000-0005-0000-0000-0000DF000000}"/>
    <cellStyle name="40% - Accent4 2 7" xfId="133" xr:uid="{00000000-0005-0000-0000-0000E0000000}"/>
    <cellStyle name="40% - Accent4 3" xfId="242" xr:uid="{00000000-0005-0000-0000-0000E1000000}"/>
    <cellStyle name="40% - Accent4 3 2" xfId="363" xr:uid="{00000000-0005-0000-0000-0000E2000000}"/>
    <cellStyle name="40% - Accent4 3 3" xfId="475" xr:uid="{00000000-0005-0000-0000-0000E3000000}"/>
    <cellStyle name="40% - Accent4 4" xfId="276" xr:uid="{00000000-0005-0000-0000-0000E4000000}"/>
    <cellStyle name="40% - Accent4 5" xfId="400" xr:uid="{00000000-0005-0000-0000-0000E5000000}"/>
    <cellStyle name="40% - Accent5" xfId="109" builtinId="47" customBuiltin="1"/>
    <cellStyle name="40% - Accent5 2" xfId="11" xr:uid="{00000000-0005-0000-0000-0000E7000000}"/>
    <cellStyle name="40% - Accent5 2 2" xfId="66" xr:uid="{00000000-0005-0000-0000-0000E8000000}"/>
    <cellStyle name="40% - Accent5 2 2 2" xfId="224" xr:uid="{00000000-0005-0000-0000-0000E9000000}"/>
    <cellStyle name="40% - Accent5 2 2 2 2" xfId="345" xr:uid="{00000000-0005-0000-0000-0000EA000000}"/>
    <cellStyle name="40% - Accent5 2 2 2 3" xfId="457" xr:uid="{00000000-0005-0000-0000-0000EB000000}"/>
    <cellStyle name="40% - Accent5 2 2 3" xfId="313" xr:uid="{00000000-0005-0000-0000-0000EC000000}"/>
    <cellStyle name="40% - Accent5 2 2 4" xfId="428" xr:uid="{00000000-0005-0000-0000-0000ED000000}"/>
    <cellStyle name="40% - Accent5 2 2 5" xfId="136" xr:uid="{00000000-0005-0000-0000-0000EE000000}"/>
    <cellStyle name="40% - Accent5 2 3" xfId="223" xr:uid="{00000000-0005-0000-0000-0000EF000000}"/>
    <cellStyle name="40% - Accent5 2 3 2" xfId="344" xr:uid="{00000000-0005-0000-0000-0000F0000000}"/>
    <cellStyle name="40% - Accent5 2 3 3" xfId="456" xr:uid="{00000000-0005-0000-0000-0000F1000000}"/>
    <cellStyle name="40% - Accent5 2 4" xfId="258" xr:uid="{00000000-0005-0000-0000-0000F2000000}"/>
    <cellStyle name="40% - Accent5 2 4 2" xfId="378" xr:uid="{00000000-0005-0000-0000-0000F3000000}"/>
    <cellStyle name="40% - Accent5 2 4 3" xfId="490" xr:uid="{00000000-0005-0000-0000-0000F4000000}"/>
    <cellStyle name="40% - Accent5 2 5" xfId="312" xr:uid="{00000000-0005-0000-0000-0000F5000000}"/>
    <cellStyle name="40% - Accent5 2 6" xfId="427" xr:uid="{00000000-0005-0000-0000-0000F6000000}"/>
    <cellStyle name="40% - Accent5 2 7" xfId="135" xr:uid="{00000000-0005-0000-0000-0000F7000000}"/>
    <cellStyle name="40% - Accent5 3" xfId="243" xr:uid="{00000000-0005-0000-0000-0000F8000000}"/>
    <cellStyle name="40% - Accent5 3 2" xfId="364" xr:uid="{00000000-0005-0000-0000-0000F9000000}"/>
    <cellStyle name="40% - Accent5 3 3" xfId="476" xr:uid="{00000000-0005-0000-0000-0000FA000000}"/>
    <cellStyle name="40% - Accent5 4" xfId="278" xr:uid="{00000000-0005-0000-0000-0000FB000000}"/>
    <cellStyle name="40% - Accent5 5" xfId="402" xr:uid="{00000000-0005-0000-0000-0000FC000000}"/>
    <cellStyle name="40% - Accent6" xfId="113" builtinId="51" customBuiltin="1"/>
    <cellStyle name="40% - Accent6 2" xfId="12" xr:uid="{00000000-0005-0000-0000-0000FE000000}"/>
    <cellStyle name="40% - Accent6 2 2" xfId="67" xr:uid="{00000000-0005-0000-0000-0000FF000000}"/>
    <cellStyle name="40% - Accent6 2 2 2" xfId="226" xr:uid="{00000000-0005-0000-0000-000000010000}"/>
    <cellStyle name="40% - Accent6 2 2 2 2" xfId="347" xr:uid="{00000000-0005-0000-0000-000001010000}"/>
    <cellStyle name="40% - Accent6 2 2 2 3" xfId="459" xr:uid="{00000000-0005-0000-0000-000002010000}"/>
    <cellStyle name="40% - Accent6 2 2 3" xfId="315" xr:uid="{00000000-0005-0000-0000-000003010000}"/>
    <cellStyle name="40% - Accent6 2 2 4" xfId="430" xr:uid="{00000000-0005-0000-0000-000004010000}"/>
    <cellStyle name="40% - Accent6 2 2 5" xfId="138" xr:uid="{00000000-0005-0000-0000-000005010000}"/>
    <cellStyle name="40% - Accent6 2 3" xfId="225" xr:uid="{00000000-0005-0000-0000-000006010000}"/>
    <cellStyle name="40% - Accent6 2 3 2" xfId="346" xr:uid="{00000000-0005-0000-0000-000007010000}"/>
    <cellStyle name="40% - Accent6 2 3 3" xfId="458" xr:uid="{00000000-0005-0000-0000-000008010000}"/>
    <cellStyle name="40% - Accent6 2 4" xfId="259" xr:uid="{00000000-0005-0000-0000-000009010000}"/>
    <cellStyle name="40% - Accent6 2 4 2" xfId="379" xr:uid="{00000000-0005-0000-0000-00000A010000}"/>
    <cellStyle name="40% - Accent6 2 4 3" xfId="491" xr:uid="{00000000-0005-0000-0000-00000B010000}"/>
    <cellStyle name="40% - Accent6 2 5" xfId="314" xr:uid="{00000000-0005-0000-0000-00000C010000}"/>
    <cellStyle name="40% - Accent6 2 6" xfId="429" xr:uid="{00000000-0005-0000-0000-00000D010000}"/>
    <cellStyle name="40% - Accent6 2 7" xfId="137" xr:uid="{00000000-0005-0000-0000-00000E010000}"/>
    <cellStyle name="40% - Accent6 3" xfId="244" xr:uid="{00000000-0005-0000-0000-00000F010000}"/>
    <cellStyle name="40% - Accent6 3 2" xfId="365" xr:uid="{00000000-0005-0000-0000-000010010000}"/>
    <cellStyle name="40% - Accent6 3 3" xfId="477" xr:uid="{00000000-0005-0000-0000-000011010000}"/>
    <cellStyle name="40% - Accent6 4" xfId="280" xr:uid="{00000000-0005-0000-0000-000012010000}"/>
    <cellStyle name="40% - Accent6 5" xfId="404" xr:uid="{00000000-0005-0000-0000-000013010000}"/>
    <cellStyle name="60% - Accent1" xfId="94" builtinId="32" customBuiltin="1"/>
    <cellStyle name="60% - Accent1 2" xfId="13" xr:uid="{00000000-0005-0000-0000-000015010000}"/>
    <cellStyle name="60% - Accent2" xfId="98" builtinId="36" customBuiltin="1"/>
    <cellStyle name="60% - Accent2 2" xfId="14" xr:uid="{00000000-0005-0000-0000-000017010000}"/>
    <cellStyle name="60% - Accent3" xfId="102" builtinId="40" customBuiltin="1"/>
    <cellStyle name="60% - Accent3 2" xfId="15" xr:uid="{00000000-0005-0000-0000-000019010000}"/>
    <cellStyle name="60% - Accent4" xfId="106" builtinId="44" customBuiltin="1"/>
    <cellStyle name="60% - Accent4 2" xfId="16" xr:uid="{00000000-0005-0000-0000-00001B010000}"/>
    <cellStyle name="60% - Accent5" xfId="110" builtinId="48" customBuiltin="1"/>
    <cellStyle name="60% - Accent5 2" xfId="17" xr:uid="{00000000-0005-0000-0000-00001D010000}"/>
    <cellStyle name="60% - Accent6" xfId="114" builtinId="52" customBuiltin="1"/>
    <cellStyle name="60% - Accent6 2" xfId="18" xr:uid="{00000000-0005-0000-0000-00001F010000}"/>
    <cellStyle name="Accent1" xfId="91" builtinId="29" customBuiltin="1"/>
    <cellStyle name="Accent1 2" xfId="19" xr:uid="{00000000-0005-0000-0000-000021010000}"/>
    <cellStyle name="Accent2" xfId="95" builtinId="33" customBuiltin="1"/>
    <cellStyle name="Accent2 2" xfId="20" xr:uid="{00000000-0005-0000-0000-000023010000}"/>
    <cellStyle name="Accent3" xfId="99" builtinId="37" customBuiltin="1"/>
    <cellStyle name="Accent3 2" xfId="21" xr:uid="{00000000-0005-0000-0000-000025010000}"/>
    <cellStyle name="Accent4" xfId="103" builtinId="41" customBuiltin="1"/>
    <cellStyle name="Accent4 2" xfId="22" xr:uid="{00000000-0005-0000-0000-000027010000}"/>
    <cellStyle name="Accent5" xfId="107" builtinId="45" customBuiltin="1"/>
    <cellStyle name="Accent5 2" xfId="23" xr:uid="{00000000-0005-0000-0000-000029010000}"/>
    <cellStyle name="Accent6" xfId="111" builtinId="49" customBuiltin="1"/>
    <cellStyle name="Accent6 2" xfId="24" xr:uid="{00000000-0005-0000-0000-00002B010000}"/>
    <cellStyle name="Bad" xfId="81" builtinId="27" customBuiltin="1"/>
    <cellStyle name="Bad 2" xfId="25" xr:uid="{00000000-0005-0000-0000-00002D010000}"/>
    <cellStyle name="Calculation" xfId="85" builtinId="22" customBuiltin="1"/>
    <cellStyle name="Calculation 2" xfId="26" xr:uid="{00000000-0005-0000-0000-00002F010000}"/>
    <cellStyle name="Check Cell" xfId="87" builtinId="23" customBuiltin="1"/>
    <cellStyle name="Check Cell 2" xfId="27" xr:uid="{00000000-0005-0000-0000-000031010000}"/>
    <cellStyle name="Comma" xfId="28" builtinId="3"/>
    <cellStyle name="Comma 2" xfId="139" xr:uid="{00000000-0005-0000-0000-000033010000}"/>
    <cellStyle name="Comma 2 2" xfId="140" xr:uid="{00000000-0005-0000-0000-000034010000}"/>
    <cellStyle name="Comma 2 2 2" xfId="141" xr:uid="{00000000-0005-0000-0000-000035010000}"/>
    <cellStyle name="Comma 2 3" xfId="142" xr:uid="{00000000-0005-0000-0000-000036010000}"/>
    <cellStyle name="Comma 2 4" xfId="498" xr:uid="{00000000-0005-0000-0000-000037010000}"/>
    <cellStyle name="Comma 3" xfId="143" xr:uid="{00000000-0005-0000-0000-000038010000}"/>
    <cellStyle name="Comma 3 2" xfId="144" xr:uid="{00000000-0005-0000-0000-000039010000}"/>
    <cellStyle name="Comma 3 2 2" xfId="145" xr:uid="{00000000-0005-0000-0000-00003A010000}"/>
    <cellStyle name="Comma 3 3" xfId="146" xr:uid="{00000000-0005-0000-0000-00003B010000}"/>
    <cellStyle name="Comma 3 4" xfId="499" xr:uid="{00000000-0005-0000-0000-00003C010000}"/>
    <cellStyle name="Comma 4" xfId="147" xr:uid="{00000000-0005-0000-0000-00003D010000}"/>
    <cellStyle name="Comma 4 2" xfId="148" xr:uid="{00000000-0005-0000-0000-00003E010000}"/>
    <cellStyle name="Comma 4 2 2" xfId="149" xr:uid="{00000000-0005-0000-0000-00003F010000}"/>
    <cellStyle name="Comma 4 3" xfId="150" xr:uid="{00000000-0005-0000-0000-000040010000}"/>
    <cellStyle name="Comma 4 4" xfId="500" xr:uid="{00000000-0005-0000-0000-000041010000}"/>
    <cellStyle name="Comma 5" xfId="151" xr:uid="{00000000-0005-0000-0000-000042010000}"/>
    <cellStyle name="Comma 5 2" xfId="152" xr:uid="{00000000-0005-0000-0000-000043010000}"/>
    <cellStyle name="Comma 5 3" xfId="497" xr:uid="{00000000-0005-0000-0000-000044010000}"/>
    <cellStyle name="Currency" xfId="29" builtinId="4"/>
    <cellStyle name="Currency 2" xfId="153" xr:uid="{00000000-0005-0000-0000-000046010000}"/>
    <cellStyle name="Currency 2 2" xfId="154" xr:uid="{00000000-0005-0000-0000-000047010000}"/>
    <cellStyle name="Currency 2 2 2" xfId="155" xr:uid="{00000000-0005-0000-0000-000048010000}"/>
    <cellStyle name="Currency 2 3" xfId="156" xr:uid="{00000000-0005-0000-0000-000049010000}"/>
    <cellStyle name="Currency 2 4" xfId="502" xr:uid="{00000000-0005-0000-0000-00004A010000}"/>
    <cellStyle name="Currency 3" xfId="157" xr:uid="{00000000-0005-0000-0000-00004B010000}"/>
    <cellStyle name="Currency 3 2" xfId="158" xr:uid="{00000000-0005-0000-0000-00004C010000}"/>
    <cellStyle name="Currency 3 2 2" xfId="159" xr:uid="{00000000-0005-0000-0000-00004D010000}"/>
    <cellStyle name="Currency 3 3" xfId="160" xr:uid="{00000000-0005-0000-0000-00004E010000}"/>
    <cellStyle name="Currency 3 4" xfId="503" xr:uid="{00000000-0005-0000-0000-00004F010000}"/>
    <cellStyle name="Currency 4" xfId="161" xr:uid="{00000000-0005-0000-0000-000050010000}"/>
    <cellStyle name="Currency 4 2" xfId="162" xr:uid="{00000000-0005-0000-0000-000051010000}"/>
    <cellStyle name="Currency 4 3" xfId="501" xr:uid="{00000000-0005-0000-0000-000052010000}"/>
    <cellStyle name="Currency 5" xfId="290" xr:uid="{00000000-0005-0000-0000-000053010000}"/>
    <cellStyle name="Currency 5 2" xfId="286" xr:uid="{00000000-0005-0000-0000-000054010000}"/>
    <cellStyle name="Currency 5 3" xfId="385" xr:uid="{00000000-0005-0000-0000-000055010000}"/>
    <cellStyle name="Currency 5 4" xfId="288" xr:uid="{00000000-0005-0000-0000-000056010000}"/>
    <cellStyle name="Currency 5 5" xfId="390" xr:uid="{00000000-0005-0000-0000-000057010000}"/>
    <cellStyle name="Explanatory Text" xfId="89" builtinId="53" customBuiltin="1"/>
    <cellStyle name="Explanatory Text 2" xfId="30" xr:uid="{00000000-0005-0000-0000-000059010000}"/>
    <cellStyle name="Good" xfId="80" builtinId="26" customBuiltin="1"/>
    <cellStyle name="Good 2" xfId="31" xr:uid="{00000000-0005-0000-0000-00005B010000}"/>
    <cellStyle name="Heading 1" xfId="76" builtinId="16" customBuiltin="1"/>
    <cellStyle name="Heading 1 2" xfId="32" xr:uid="{00000000-0005-0000-0000-00005D010000}"/>
    <cellStyle name="Heading 2" xfId="77" builtinId="17" customBuiltin="1"/>
    <cellStyle name="Heading 2 2" xfId="33" xr:uid="{00000000-0005-0000-0000-00005F010000}"/>
    <cellStyle name="Heading 3" xfId="78" builtinId="18" customBuiltin="1"/>
    <cellStyle name="Heading 3 2" xfId="34" xr:uid="{00000000-0005-0000-0000-000061010000}"/>
    <cellStyle name="Heading 4" xfId="79" builtinId="19" customBuiltin="1"/>
    <cellStyle name="Heading 4 2" xfId="35" xr:uid="{00000000-0005-0000-0000-000063010000}"/>
    <cellStyle name="Hyperlink" xfId="75" builtinId="8"/>
    <cellStyle name="Hyperlink 2" xfId="164" xr:uid="{00000000-0005-0000-0000-000065010000}"/>
    <cellStyle name="Hyperlink 3" xfId="165" xr:uid="{00000000-0005-0000-0000-000066010000}"/>
    <cellStyle name="Hyperlink 4" xfId="163" xr:uid="{00000000-0005-0000-0000-000067010000}"/>
    <cellStyle name="Input" xfId="83" builtinId="20" customBuiltin="1"/>
    <cellStyle name="Input 2" xfId="36" xr:uid="{00000000-0005-0000-0000-000069010000}"/>
    <cellStyle name="Linked Cell" xfId="86" builtinId="24" customBuiltin="1"/>
    <cellStyle name="Linked Cell 2" xfId="37" xr:uid="{00000000-0005-0000-0000-00006B010000}"/>
    <cellStyle name="Neutral" xfId="82" builtinId="28" customBuiltin="1"/>
    <cellStyle name="Neutral 2" xfId="38" xr:uid="{00000000-0005-0000-0000-00006D010000}"/>
    <cellStyle name="Normal" xfId="0" builtinId="0"/>
    <cellStyle name="Normal 10" xfId="267" xr:uid="{00000000-0005-0000-0000-00006F010000}"/>
    <cellStyle name="Normal 11" xfId="391" xr:uid="{00000000-0005-0000-0000-000070010000}"/>
    <cellStyle name="Normal 2" xfId="39" xr:uid="{00000000-0005-0000-0000-000071010000}"/>
    <cellStyle name="Normal 2 2" xfId="40" xr:uid="{00000000-0005-0000-0000-000072010000}"/>
    <cellStyle name="Normal 2 2 2" xfId="41" xr:uid="{00000000-0005-0000-0000-000073010000}"/>
    <cellStyle name="Normal 2 2 2 2" xfId="70" xr:uid="{00000000-0005-0000-0000-000074010000}"/>
    <cellStyle name="Normal 2 2 2 3" xfId="510" xr:uid="{00000000-0005-0000-0000-000075010000}"/>
    <cellStyle name="Normal 2 2 3" xfId="69" xr:uid="{00000000-0005-0000-0000-000076010000}"/>
    <cellStyle name="Normal 2 2 3 2" xfId="166" xr:uid="{00000000-0005-0000-0000-000077010000}"/>
    <cellStyle name="Normal 2 2 4" xfId="167" xr:uid="{00000000-0005-0000-0000-000078010000}"/>
    <cellStyle name="Normal 2 2 4 2" xfId="168" xr:uid="{00000000-0005-0000-0000-000079010000}"/>
    <cellStyle name="Normal 2 2 4 3" xfId="316" xr:uid="{00000000-0005-0000-0000-00007A010000}"/>
    <cellStyle name="Normal 2 3" xfId="68" xr:uid="{00000000-0005-0000-0000-00007B010000}"/>
    <cellStyle name="Normal 2 3 2" xfId="169" xr:uid="{00000000-0005-0000-0000-00007C010000}"/>
    <cellStyle name="Normal 2 3 3" xfId="511" xr:uid="{00000000-0005-0000-0000-00007D010000}"/>
    <cellStyle name="Normal 2 4" xfId="170" xr:uid="{00000000-0005-0000-0000-00007E010000}"/>
    <cellStyle name="Normal 2 4 2" xfId="171" xr:uid="{00000000-0005-0000-0000-00007F010000}"/>
    <cellStyle name="Normal 2 5" xfId="172" xr:uid="{00000000-0005-0000-0000-000080010000}"/>
    <cellStyle name="Normal 2 5 2" xfId="173" xr:uid="{00000000-0005-0000-0000-000081010000}"/>
    <cellStyle name="Normal 2 5 2 2" xfId="285" xr:uid="{00000000-0005-0000-0000-000082010000}"/>
    <cellStyle name="Normal 2 5 2 3" xfId="389" xr:uid="{00000000-0005-0000-0000-000083010000}"/>
    <cellStyle name="Normal 2 5 2 4" xfId="287" xr:uid="{00000000-0005-0000-0000-000084010000}"/>
    <cellStyle name="Normal 2 5 3" xfId="317" xr:uid="{00000000-0005-0000-0000-000085010000}"/>
    <cellStyle name="Normal 2 5 4" xfId="388" xr:uid="{00000000-0005-0000-0000-000086010000}"/>
    <cellStyle name="Normal 2 5 5" xfId="284" xr:uid="{00000000-0005-0000-0000-000087010000}"/>
    <cellStyle name="Normal 3" xfId="42" xr:uid="{00000000-0005-0000-0000-000088010000}"/>
    <cellStyle name="Normal 3 2" xfId="71" xr:uid="{00000000-0005-0000-0000-000089010000}"/>
    <cellStyle name="Normal 3 2 2" xfId="174" xr:uid="{00000000-0005-0000-0000-00008A010000}"/>
    <cellStyle name="Normal 3 2 3" xfId="509" xr:uid="{00000000-0005-0000-0000-00008B010000}"/>
    <cellStyle name="Normal 3 3" xfId="175" xr:uid="{00000000-0005-0000-0000-00008C010000}"/>
    <cellStyle name="Normal 3 3 2" xfId="176" xr:uid="{00000000-0005-0000-0000-00008D010000}"/>
    <cellStyle name="Normal 3 3 3" xfId="508" xr:uid="{00000000-0005-0000-0000-00008E010000}"/>
    <cellStyle name="Normal 3 4" xfId="177" xr:uid="{00000000-0005-0000-0000-00008F010000}"/>
    <cellStyle name="Normal 3 4 2" xfId="178" xr:uid="{00000000-0005-0000-0000-000090010000}"/>
    <cellStyle name="Normal 3 5" xfId="179" xr:uid="{00000000-0005-0000-0000-000091010000}"/>
    <cellStyle name="Normal 3 5 2" xfId="180" xr:uid="{00000000-0005-0000-0000-000092010000}"/>
    <cellStyle name="Normal 3 5 3" xfId="318" xr:uid="{00000000-0005-0000-0000-000093010000}"/>
    <cellStyle name="Normal 4" xfId="43" xr:uid="{00000000-0005-0000-0000-000094010000}"/>
    <cellStyle name="Normal 4 2" xfId="182" xr:uid="{00000000-0005-0000-0000-000095010000}"/>
    <cellStyle name="Normal 4 2 2" xfId="264" xr:uid="{00000000-0005-0000-0000-000096010000}"/>
    <cellStyle name="Normal 4 2 2 2" xfId="383" xr:uid="{00000000-0005-0000-0000-000097010000}"/>
    <cellStyle name="Normal 4 2 2 3" xfId="495" xr:uid="{00000000-0005-0000-0000-000098010000}"/>
    <cellStyle name="Normal 4 3" xfId="245" xr:uid="{00000000-0005-0000-0000-000099010000}"/>
    <cellStyle name="Normal 4 3 2" xfId="366" xr:uid="{00000000-0005-0000-0000-00009A010000}"/>
    <cellStyle name="Normal 4 3 3" xfId="478" xr:uid="{00000000-0005-0000-0000-00009B010000}"/>
    <cellStyle name="Normal 4 4" xfId="263" xr:uid="{00000000-0005-0000-0000-00009C010000}"/>
    <cellStyle name="Normal 4 4 2" xfId="382" xr:uid="{00000000-0005-0000-0000-00009D010000}"/>
    <cellStyle name="Normal 4 4 3" xfId="494" xr:uid="{00000000-0005-0000-0000-00009E010000}"/>
    <cellStyle name="Normal 4 5" xfId="281" xr:uid="{00000000-0005-0000-0000-00009F010000}"/>
    <cellStyle name="Normal 4 6" xfId="405" xr:uid="{00000000-0005-0000-0000-0000A0010000}"/>
    <cellStyle name="Normal 4 7" xfId="181" xr:uid="{00000000-0005-0000-0000-0000A1010000}"/>
    <cellStyle name="Normal 5" xfId="44" xr:uid="{00000000-0005-0000-0000-0000A2010000}"/>
    <cellStyle name="Normal 5 10" xfId="387" xr:uid="{00000000-0005-0000-0000-0000A3010000}"/>
    <cellStyle name="Normal 5 11" xfId="386" xr:uid="{00000000-0005-0000-0000-0000A4010000}"/>
    <cellStyle name="Normal 5 12" xfId="183" xr:uid="{00000000-0005-0000-0000-0000A5010000}"/>
    <cellStyle name="Normal 5 2" xfId="72" xr:uid="{00000000-0005-0000-0000-0000A6010000}"/>
    <cellStyle name="Normal 5 2 2" xfId="228" xr:uid="{00000000-0005-0000-0000-0000A7010000}"/>
    <cellStyle name="Normal 5 2 2 2" xfId="349" xr:uid="{00000000-0005-0000-0000-0000A8010000}"/>
    <cellStyle name="Normal 5 2 2 3" xfId="461" xr:uid="{00000000-0005-0000-0000-0000A9010000}"/>
    <cellStyle name="Normal 5 2 3" xfId="265" xr:uid="{00000000-0005-0000-0000-0000AA010000}"/>
    <cellStyle name="Normal 5 2 4" xfId="320" xr:uid="{00000000-0005-0000-0000-0000AB010000}"/>
    <cellStyle name="Normal 5 2 5" xfId="432" xr:uid="{00000000-0005-0000-0000-0000AC010000}"/>
    <cellStyle name="Normal 5 2 6" xfId="184" xr:uid="{00000000-0005-0000-0000-0000AD010000}"/>
    <cellStyle name="Normal 5 3" xfId="227" xr:uid="{00000000-0005-0000-0000-0000AE010000}"/>
    <cellStyle name="Normal 5 3 2" xfId="348" xr:uid="{00000000-0005-0000-0000-0000AF010000}"/>
    <cellStyle name="Normal 5 3 3" xfId="460" xr:uid="{00000000-0005-0000-0000-0000B0010000}"/>
    <cellStyle name="Normal 5 4" xfId="247" xr:uid="{00000000-0005-0000-0000-0000B1010000}"/>
    <cellStyle name="Normal 5 5" xfId="260" xr:uid="{00000000-0005-0000-0000-0000B2010000}"/>
    <cellStyle name="Normal 5 5 2" xfId="380" xr:uid="{00000000-0005-0000-0000-0000B3010000}"/>
    <cellStyle name="Normal 5 5 3" xfId="492" xr:uid="{00000000-0005-0000-0000-0000B4010000}"/>
    <cellStyle name="Normal 5 6" xfId="262" xr:uid="{00000000-0005-0000-0000-0000B5010000}"/>
    <cellStyle name="Normal 5 7" xfId="319" xr:uid="{00000000-0005-0000-0000-0000B6010000}"/>
    <cellStyle name="Normal 5 7 2" xfId="431" xr:uid="{00000000-0005-0000-0000-0000B7010000}"/>
    <cellStyle name="Normal 5 8" xfId="283" xr:uid="{00000000-0005-0000-0000-0000B8010000}"/>
    <cellStyle name="Normal 5 9" xfId="289" xr:uid="{00000000-0005-0000-0000-0000B9010000}"/>
    <cellStyle name="Normal 6" xfId="45" xr:uid="{00000000-0005-0000-0000-0000BA010000}"/>
    <cellStyle name="Normal 7" xfId="46" xr:uid="{00000000-0005-0000-0000-0000BB010000}"/>
    <cellStyle name="Normal 7 2" xfId="73" xr:uid="{00000000-0005-0000-0000-0000BC010000}"/>
    <cellStyle name="Normal 7 2 2" xfId="230" xr:uid="{00000000-0005-0000-0000-0000BD010000}"/>
    <cellStyle name="Normal 7 2 2 2" xfId="351" xr:uid="{00000000-0005-0000-0000-0000BE010000}"/>
    <cellStyle name="Normal 7 2 2 3" xfId="463" xr:uid="{00000000-0005-0000-0000-0000BF010000}"/>
    <cellStyle name="Normal 7 2 3" xfId="322" xr:uid="{00000000-0005-0000-0000-0000C0010000}"/>
    <cellStyle name="Normal 7 2 4" xfId="434" xr:uid="{00000000-0005-0000-0000-0000C1010000}"/>
    <cellStyle name="Normal 7 2 5" xfId="186" xr:uid="{00000000-0005-0000-0000-0000C2010000}"/>
    <cellStyle name="Normal 7 3" xfId="229" xr:uid="{00000000-0005-0000-0000-0000C3010000}"/>
    <cellStyle name="Normal 7 3 2" xfId="350" xr:uid="{00000000-0005-0000-0000-0000C4010000}"/>
    <cellStyle name="Normal 7 3 3" xfId="462" xr:uid="{00000000-0005-0000-0000-0000C5010000}"/>
    <cellStyle name="Normal 7 4" xfId="321" xr:uid="{00000000-0005-0000-0000-0000C6010000}"/>
    <cellStyle name="Normal 7 5" xfId="433" xr:uid="{00000000-0005-0000-0000-0000C7010000}"/>
    <cellStyle name="Normal 7 6" xfId="185" xr:uid="{00000000-0005-0000-0000-0000C8010000}"/>
    <cellStyle name="Normal 8" xfId="55" xr:uid="{00000000-0005-0000-0000-0000C9010000}"/>
    <cellStyle name="Normal 9" xfId="291" xr:uid="{00000000-0005-0000-0000-0000CA010000}"/>
    <cellStyle name="Normal_Fields" xfId="47" xr:uid="{00000000-0005-0000-0000-0000CB010000}"/>
    <cellStyle name="Normal_Fields_1" xfId="48" xr:uid="{00000000-0005-0000-0000-0000CC010000}"/>
    <cellStyle name="Note 2" xfId="49" xr:uid="{00000000-0005-0000-0000-0000CD010000}"/>
    <cellStyle name="Note 2 2" xfId="74" xr:uid="{00000000-0005-0000-0000-0000CE010000}"/>
    <cellStyle name="Note 2 2 2" xfId="232" xr:uid="{00000000-0005-0000-0000-0000CF010000}"/>
    <cellStyle name="Note 2 2 2 2" xfId="353" xr:uid="{00000000-0005-0000-0000-0000D0010000}"/>
    <cellStyle name="Note 2 2 2 3" xfId="465" xr:uid="{00000000-0005-0000-0000-0000D1010000}"/>
    <cellStyle name="Note 2 2 3" xfId="266" xr:uid="{00000000-0005-0000-0000-0000D2010000}"/>
    <cellStyle name="Note 2 2 3 2" xfId="384" xr:uid="{00000000-0005-0000-0000-0000D3010000}"/>
    <cellStyle name="Note 2 2 3 3" xfId="496" xr:uid="{00000000-0005-0000-0000-0000D4010000}"/>
    <cellStyle name="Note 2 2 4" xfId="323" xr:uid="{00000000-0005-0000-0000-0000D5010000}"/>
    <cellStyle name="Note 2 2 5" xfId="435" xr:uid="{00000000-0005-0000-0000-0000D6010000}"/>
    <cellStyle name="Note 2 2 6" xfId="188" xr:uid="{00000000-0005-0000-0000-0000D7010000}"/>
    <cellStyle name="Note 2 3" xfId="231" xr:uid="{00000000-0005-0000-0000-0000D8010000}"/>
    <cellStyle name="Note 2 3 2" xfId="352" xr:uid="{00000000-0005-0000-0000-0000D9010000}"/>
    <cellStyle name="Note 2 3 3" xfId="464" xr:uid="{00000000-0005-0000-0000-0000DA010000}"/>
    <cellStyle name="Note 2 4" xfId="246" xr:uid="{00000000-0005-0000-0000-0000DB010000}"/>
    <cellStyle name="Note 2 4 2" xfId="367" xr:uid="{00000000-0005-0000-0000-0000DC010000}"/>
    <cellStyle name="Note 2 4 3" xfId="479" xr:uid="{00000000-0005-0000-0000-0000DD010000}"/>
    <cellStyle name="Note 2 5" xfId="261" xr:uid="{00000000-0005-0000-0000-0000DE010000}"/>
    <cellStyle name="Note 2 5 2" xfId="381" xr:uid="{00000000-0005-0000-0000-0000DF010000}"/>
    <cellStyle name="Note 2 5 3" xfId="493" xr:uid="{00000000-0005-0000-0000-0000E0010000}"/>
    <cellStyle name="Note 2 6" xfId="282" xr:uid="{00000000-0005-0000-0000-0000E1010000}"/>
    <cellStyle name="Note 2 7" xfId="406" xr:uid="{00000000-0005-0000-0000-0000E2010000}"/>
    <cellStyle name="Note 2 8" xfId="187" xr:uid="{00000000-0005-0000-0000-0000E3010000}"/>
    <cellStyle name="Note 3" xfId="268" xr:uid="{00000000-0005-0000-0000-0000E4010000}"/>
    <cellStyle name="Note 4" xfId="392" xr:uid="{00000000-0005-0000-0000-0000E5010000}"/>
    <cellStyle name="Output" xfId="84" builtinId="21" customBuiltin="1"/>
    <cellStyle name="Output 2" xfId="50" xr:uid="{00000000-0005-0000-0000-0000E7010000}"/>
    <cellStyle name="Percent" xfId="51" builtinId="5"/>
    <cellStyle name="Percent 2" xfId="189" xr:uid="{00000000-0005-0000-0000-0000E9010000}"/>
    <cellStyle name="Percent 2 2" xfId="190" xr:uid="{00000000-0005-0000-0000-0000EA010000}"/>
    <cellStyle name="Percent 2 2 2" xfId="191" xr:uid="{00000000-0005-0000-0000-0000EB010000}"/>
    <cellStyle name="Percent 2 3" xfId="192" xr:uid="{00000000-0005-0000-0000-0000EC010000}"/>
    <cellStyle name="Percent 2 4" xfId="505" xr:uid="{00000000-0005-0000-0000-0000ED010000}"/>
    <cellStyle name="Percent 3" xfId="193" xr:uid="{00000000-0005-0000-0000-0000EE010000}"/>
    <cellStyle name="Percent 3 2" xfId="194" xr:uid="{00000000-0005-0000-0000-0000EF010000}"/>
    <cellStyle name="Percent 3 2 2" xfId="195" xr:uid="{00000000-0005-0000-0000-0000F0010000}"/>
    <cellStyle name="Percent 3 3" xfId="196" xr:uid="{00000000-0005-0000-0000-0000F1010000}"/>
    <cellStyle name="Percent 3 4" xfId="506" xr:uid="{00000000-0005-0000-0000-0000F2010000}"/>
    <cellStyle name="Percent 4" xfId="197" xr:uid="{00000000-0005-0000-0000-0000F3010000}"/>
    <cellStyle name="Percent 4 2" xfId="198" xr:uid="{00000000-0005-0000-0000-0000F4010000}"/>
    <cellStyle name="Percent 4 2 2" xfId="199" xr:uid="{00000000-0005-0000-0000-0000F5010000}"/>
    <cellStyle name="Percent 4 3" xfId="200" xr:uid="{00000000-0005-0000-0000-0000F6010000}"/>
    <cellStyle name="Percent 4 4" xfId="507" xr:uid="{00000000-0005-0000-0000-0000F7010000}"/>
    <cellStyle name="Percent 5" xfId="201" xr:uid="{00000000-0005-0000-0000-0000F8010000}"/>
    <cellStyle name="Percent 5 2" xfId="202" xr:uid="{00000000-0005-0000-0000-0000F9010000}"/>
    <cellStyle name="Percent 5 3" xfId="504" xr:uid="{00000000-0005-0000-0000-0000FA010000}"/>
    <cellStyle name="Title" xfId="52" builtinId="15" customBuiltin="1"/>
    <cellStyle name="Total" xfId="90" builtinId="25" customBuiltin="1"/>
    <cellStyle name="Total 2" xfId="53" xr:uid="{00000000-0005-0000-0000-0000FD010000}"/>
    <cellStyle name="Warning Text" xfId="88" builtinId="11" customBuiltin="1"/>
    <cellStyle name="Warning Text 2" xfId="54" xr:uid="{00000000-0005-0000-0000-0000FF010000}"/>
  </cellStyles>
  <dxfs count="33">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6.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10.emf"/><Relationship Id="rId1" Type="http://schemas.openxmlformats.org/officeDocument/2006/relationships/image" Target="../media/image1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4.emf"/><Relationship Id="rId1"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7.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9.emf"/><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95250</xdr:colOff>
      <xdr:row>2</xdr:row>
      <xdr:rowOff>219075</xdr:rowOff>
    </xdr:to>
    <xdr:pic>
      <xdr:nvPicPr>
        <xdr:cNvPr id="4464" name="Picture 1" descr="odotlogo">
          <a:extLst>
            <a:ext uri="{FF2B5EF4-FFF2-40B4-BE49-F238E27FC236}">
              <a16:creationId xmlns:a16="http://schemas.microsoft.com/office/drawing/2014/main" id="{00000000-0008-0000-0000-000070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6953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153</xdr:row>
      <xdr:rowOff>30481</xdr:rowOff>
    </xdr:from>
    <xdr:to>
      <xdr:col>12</xdr:col>
      <xdr:colOff>424223</xdr:colOff>
      <xdr:row>171</xdr:row>
      <xdr:rowOff>136698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1925" y="25176481"/>
          <a:ext cx="7531778" cy="3138976"/>
        </a:xfrm>
        <a:prstGeom prst="rect">
          <a:avLst/>
        </a:prstGeom>
      </xdr:spPr>
    </xdr:pic>
    <xdr:clientData/>
  </xdr:twoCellAnchor>
  <xdr:twoCellAnchor editAs="oneCell">
    <xdr:from>
      <xdr:col>5</xdr:col>
      <xdr:colOff>4619</xdr:colOff>
      <xdr:row>142</xdr:row>
      <xdr:rowOff>157570</xdr:rowOff>
    </xdr:from>
    <xdr:to>
      <xdr:col>8</xdr:col>
      <xdr:colOff>177800</xdr:colOff>
      <xdr:row>149</xdr:row>
      <xdr:rowOff>153315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052619" y="23385870"/>
          <a:ext cx="2090881" cy="1151445"/>
        </a:xfrm>
        <a:prstGeom prst="rect">
          <a:avLst/>
        </a:prstGeom>
      </xdr:spPr>
    </xdr:pic>
    <xdr:clientData/>
  </xdr:twoCellAnchor>
  <xdr:twoCellAnchor editAs="oneCell">
    <xdr:from>
      <xdr:col>0</xdr:col>
      <xdr:colOff>272144</xdr:colOff>
      <xdr:row>116</xdr:row>
      <xdr:rowOff>10886</xdr:rowOff>
    </xdr:from>
    <xdr:to>
      <xdr:col>12</xdr:col>
      <xdr:colOff>160867</xdr:colOff>
      <xdr:row>136</xdr:row>
      <xdr:rowOff>129987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272144" y="19568886"/>
          <a:ext cx="7161590" cy="3497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66675</xdr:rowOff>
    </xdr:from>
    <xdr:to>
      <xdr:col>1</xdr:col>
      <xdr:colOff>1209675</xdr:colOff>
      <xdr:row>5</xdr:row>
      <xdr:rowOff>66675</xdr:rowOff>
    </xdr:to>
    <xdr:pic>
      <xdr:nvPicPr>
        <xdr:cNvPr id="2" name="Picture 1" descr="odot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66675"/>
          <a:ext cx="1066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238125</xdr:colOff>
          <xdr:row>3</xdr:row>
          <xdr:rowOff>95250</xdr:rowOff>
        </xdr:from>
        <xdr:to>
          <xdr:col>14</xdr:col>
          <xdr:colOff>257175</xdr:colOff>
          <xdr:row>4</xdr:row>
          <xdr:rowOff>161925</xdr:rowOff>
        </xdr:to>
        <xdr:sp macro="" textlink="">
          <xdr:nvSpPr>
            <xdr:cNvPr id="7169" name="CommandButton2"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361950</xdr:colOff>
          <xdr:row>3</xdr:row>
          <xdr:rowOff>95250</xdr:rowOff>
        </xdr:from>
        <xdr:to>
          <xdr:col>16</xdr:col>
          <xdr:colOff>381000</xdr:colOff>
          <xdr:row>4</xdr:row>
          <xdr:rowOff>161925</xdr:rowOff>
        </xdr:to>
        <xdr:sp macro="" textlink="">
          <xdr:nvSpPr>
            <xdr:cNvPr id="7170" name="CommandButton3"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514350</xdr:colOff>
          <xdr:row>3</xdr:row>
          <xdr:rowOff>95250</xdr:rowOff>
        </xdr:from>
        <xdr:to>
          <xdr:col>18</xdr:col>
          <xdr:colOff>533400</xdr:colOff>
          <xdr:row>4</xdr:row>
          <xdr:rowOff>161925</xdr:rowOff>
        </xdr:to>
        <xdr:sp macro="" textlink="">
          <xdr:nvSpPr>
            <xdr:cNvPr id="7171" name="CommandButton4"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21</xdr:col>
      <xdr:colOff>209550</xdr:colOff>
      <xdr:row>10</xdr:row>
      <xdr:rowOff>66675</xdr:rowOff>
    </xdr:from>
    <xdr:to>
      <xdr:col>34</xdr:col>
      <xdr:colOff>256857</xdr:colOff>
      <xdr:row>14</xdr:row>
      <xdr:rowOff>85617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744575" y="2124075"/>
          <a:ext cx="2542857" cy="866667"/>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66675</xdr:rowOff>
    </xdr:from>
    <xdr:to>
      <xdr:col>1</xdr:col>
      <xdr:colOff>1209675</xdr:colOff>
      <xdr:row>5</xdr:row>
      <xdr:rowOff>66675</xdr:rowOff>
    </xdr:to>
    <xdr:pic>
      <xdr:nvPicPr>
        <xdr:cNvPr id="5519" name="Picture 1" descr="odotlogo">
          <a:extLst>
            <a:ext uri="{FF2B5EF4-FFF2-40B4-BE49-F238E27FC236}">
              <a16:creationId xmlns:a16="http://schemas.microsoft.com/office/drawing/2014/main" id="{00000000-0008-0000-0200-00008F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66675"/>
          <a:ext cx="1066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238125</xdr:colOff>
          <xdr:row>3</xdr:row>
          <xdr:rowOff>95250</xdr:rowOff>
        </xdr:from>
        <xdr:to>
          <xdr:col>14</xdr:col>
          <xdr:colOff>257175</xdr:colOff>
          <xdr:row>4</xdr:row>
          <xdr:rowOff>161925</xdr:rowOff>
        </xdr:to>
        <xdr:sp macro="" textlink="">
          <xdr:nvSpPr>
            <xdr:cNvPr id="2051" name="CommandButton2"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361950</xdr:colOff>
          <xdr:row>3</xdr:row>
          <xdr:rowOff>95250</xdr:rowOff>
        </xdr:from>
        <xdr:to>
          <xdr:col>16</xdr:col>
          <xdr:colOff>381000</xdr:colOff>
          <xdr:row>4</xdr:row>
          <xdr:rowOff>161925</xdr:rowOff>
        </xdr:to>
        <xdr:sp macro="" textlink="">
          <xdr:nvSpPr>
            <xdr:cNvPr id="2057" name="CommandButton3"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514350</xdr:colOff>
          <xdr:row>3</xdr:row>
          <xdr:rowOff>95250</xdr:rowOff>
        </xdr:from>
        <xdr:to>
          <xdr:col>18</xdr:col>
          <xdr:colOff>514350</xdr:colOff>
          <xdr:row>4</xdr:row>
          <xdr:rowOff>161925</xdr:rowOff>
        </xdr:to>
        <xdr:sp macro="" textlink="">
          <xdr:nvSpPr>
            <xdr:cNvPr id="2058" name="CommandButton4"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20</xdr:col>
      <xdr:colOff>104776</xdr:colOff>
      <xdr:row>7</xdr:row>
      <xdr:rowOff>76200</xdr:rowOff>
    </xdr:from>
    <xdr:to>
      <xdr:col>34</xdr:col>
      <xdr:colOff>457201</xdr:colOff>
      <xdr:row>13</xdr:row>
      <xdr:rowOff>117763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030201" y="1543050"/>
          <a:ext cx="3676650" cy="13369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0</xdr:row>
      <xdr:rowOff>66675</xdr:rowOff>
    </xdr:from>
    <xdr:to>
      <xdr:col>1</xdr:col>
      <xdr:colOff>1209675</xdr:colOff>
      <xdr:row>5</xdr:row>
      <xdr:rowOff>66675</xdr:rowOff>
    </xdr:to>
    <xdr:pic>
      <xdr:nvPicPr>
        <xdr:cNvPr id="1377" name="Picture 4" descr="odotlogo">
          <a:extLst>
            <a:ext uri="{FF2B5EF4-FFF2-40B4-BE49-F238E27FC236}">
              <a16:creationId xmlns:a16="http://schemas.microsoft.com/office/drawing/2014/main" id="{00000000-0008-0000-0300-00006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66675"/>
          <a:ext cx="1066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409575</xdr:colOff>
          <xdr:row>3</xdr:row>
          <xdr:rowOff>38100</xdr:rowOff>
        </xdr:from>
        <xdr:to>
          <xdr:col>14</xdr:col>
          <xdr:colOff>428625</xdr:colOff>
          <xdr:row>4</xdr:row>
          <xdr:rowOff>104775</xdr:rowOff>
        </xdr:to>
        <xdr:sp macro="" textlink="">
          <xdr:nvSpPr>
            <xdr:cNvPr id="3073" name="CommandButton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571500</xdr:colOff>
          <xdr:row>3</xdr:row>
          <xdr:rowOff>38100</xdr:rowOff>
        </xdr:from>
        <xdr:to>
          <xdr:col>17</xdr:col>
          <xdr:colOff>0</xdr:colOff>
          <xdr:row>4</xdr:row>
          <xdr:rowOff>104775</xdr:rowOff>
        </xdr:to>
        <xdr:sp macro="" textlink="">
          <xdr:nvSpPr>
            <xdr:cNvPr id="3074" name="CommandButton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3</xdr:row>
          <xdr:rowOff>38100</xdr:rowOff>
        </xdr:from>
        <xdr:to>
          <xdr:col>18</xdr:col>
          <xdr:colOff>742950</xdr:colOff>
          <xdr:row>4</xdr:row>
          <xdr:rowOff>104775</xdr:rowOff>
        </xdr:to>
        <xdr:sp macro="" textlink="">
          <xdr:nvSpPr>
            <xdr:cNvPr id="3075" name="CommandButton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20</xdr:col>
      <xdr:colOff>200026</xdr:colOff>
      <xdr:row>9</xdr:row>
      <xdr:rowOff>9525</xdr:rowOff>
    </xdr:from>
    <xdr:to>
      <xdr:col>34</xdr:col>
      <xdr:colOff>533401</xdr:colOff>
      <xdr:row>15</xdr:row>
      <xdr:rowOff>24245</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3716001" y="2114550"/>
          <a:ext cx="3524250" cy="1281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66675</xdr:rowOff>
    </xdr:from>
    <xdr:to>
      <xdr:col>1</xdr:col>
      <xdr:colOff>1209675</xdr:colOff>
      <xdr:row>5</xdr:row>
      <xdr:rowOff>57150</xdr:rowOff>
    </xdr:to>
    <xdr:pic>
      <xdr:nvPicPr>
        <xdr:cNvPr id="6465" name="Picture 1" descr="odotlogo">
          <a:extLst>
            <a:ext uri="{FF2B5EF4-FFF2-40B4-BE49-F238E27FC236}">
              <a16:creationId xmlns:a16="http://schemas.microsoft.com/office/drawing/2014/main" id="{00000000-0008-0000-0400-000041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66675"/>
          <a:ext cx="10668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14</xdr:col>
          <xdr:colOff>409575</xdr:colOff>
          <xdr:row>3</xdr:row>
          <xdr:rowOff>38100</xdr:rowOff>
        </xdr:from>
        <xdr:to>
          <xdr:col>15</xdr:col>
          <xdr:colOff>0</xdr:colOff>
          <xdr:row>4</xdr:row>
          <xdr:rowOff>104775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142875</xdr:colOff>
          <xdr:row>3</xdr:row>
          <xdr:rowOff>38100</xdr:rowOff>
        </xdr:from>
        <xdr:to>
          <xdr:col>16</xdr:col>
          <xdr:colOff>352425</xdr:colOff>
          <xdr:row>4</xdr:row>
          <xdr:rowOff>104775</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0</xdr:col>
      <xdr:colOff>66676</xdr:colOff>
      <xdr:row>29</xdr:row>
      <xdr:rowOff>104775</xdr:rowOff>
    </xdr:from>
    <xdr:to>
      <xdr:col>17</xdr:col>
      <xdr:colOff>123826</xdr:colOff>
      <xdr:row>30</xdr:row>
      <xdr:rowOff>171450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6676" y="6029325"/>
          <a:ext cx="144018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solidFill>
                <a:srgbClr val="FF0000"/>
              </a:solidFill>
            </a:rPr>
            <a:t>This worksheet</a:t>
          </a:r>
          <a:r>
            <a:rPr lang="en-US" sz="1200" baseline="0">
              <a:solidFill>
                <a:srgbClr val="FF0000"/>
              </a:solidFill>
            </a:rPr>
            <a:t> is an auto-generated worksheet (i.e. no user input is required on this worksheet) when both </a:t>
          </a:r>
          <a:r>
            <a:rPr lang="en-US" sz="1200">
              <a:solidFill>
                <a:srgbClr val="FF0000"/>
              </a:solidFill>
            </a:rPr>
            <a:t>"BC Form by Severity" worksheet and the "BC Form by Type" worksheet</a:t>
          </a:r>
          <a:r>
            <a:rPr lang="en-US" sz="1200" baseline="0">
              <a:solidFill>
                <a:srgbClr val="FF0000"/>
              </a:solidFill>
            </a:rPr>
            <a:t> are used for a project.</a:t>
          </a:r>
          <a:endParaRPr lang="en-US" sz="12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0</xdr:row>
      <xdr:rowOff>66675</xdr:rowOff>
    </xdr:from>
    <xdr:to>
      <xdr:col>2</xdr:col>
      <xdr:colOff>285750</xdr:colOff>
      <xdr:row>5</xdr:row>
      <xdr:rowOff>57150</xdr:rowOff>
    </xdr:to>
    <xdr:pic>
      <xdr:nvPicPr>
        <xdr:cNvPr id="8275" name="Picture 1" descr="odotlogo">
          <a:extLst>
            <a:ext uri="{FF2B5EF4-FFF2-40B4-BE49-F238E27FC236}">
              <a16:creationId xmlns:a16="http://schemas.microsoft.com/office/drawing/2014/main" id="{00000000-0008-0000-0500-00005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66675"/>
          <a:ext cx="14382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11</xdr:col>
          <xdr:colOff>0</xdr:colOff>
          <xdr:row>2</xdr:row>
          <xdr:rowOff>247650</xdr:rowOff>
        </xdr:from>
        <xdr:to>
          <xdr:col>12</xdr:col>
          <xdr:colOff>47625</xdr:colOff>
          <xdr:row>4</xdr:row>
          <xdr:rowOff>57150</xdr:rowOff>
        </xdr:to>
        <xdr:sp macro="" textlink="">
          <xdr:nvSpPr>
            <xdr:cNvPr id="5122" name="CommandButton1"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161925</xdr:colOff>
          <xdr:row>2</xdr:row>
          <xdr:rowOff>247650</xdr:rowOff>
        </xdr:from>
        <xdr:to>
          <xdr:col>13</xdr:col>
          <xdr:colOff>0</xdr:colOff>
          <xdr:row>4</xdr:row>
          <xdr:rowOff>57150</xdr:rowOff>
        </xdr:to>
        <xdr:sp macro="" textlink="">
          <xdr:nvSpPr>
            <xdr:cNvPr id="5123" name="CommandButton2"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209550</xdr:colOff>
          <xdr:row>2</xdr:row>
          <xdr:rowOff>247650</xdr:rowOff>
        </xdr:from>
        <xdr:to>
          <xdr:col>10</xdr:col>
          <xdr:colOff>923925</xdr:colOff>
          <xdr:row>4</xdr:row>
          <xdr:rowOff>57150</xdr:rowOff>
        </xdr:to>
        <xdr:sp macro="" textlink="">
          <xdr:nvSpPr>
            <xdr:cNvPr id="5125" name="CommandButton3"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16</xdr:col>
      <xdr:colOff>428625</xdr:colOff>
      <xdr:row>9</xdr:row>
      <xdr:rowOff>95250</xdr:rowOff>
    </xdr:from>
    <xdr:to>
      <xdr:col>27</xdr:col>
      <xdr:colOff>437767</xdr:colOff>
      <xdr:row>15</xdr:row>
      <xdr:rowOff>114139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373100" y="1924050"/>
          <a:ext cx="3066667" cy="1285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6</xdr:row>
      <xdr:rowOff>0</xdr:rowOff>
    </xdr:from>
    <xdr:to>
      <xdr:col>17</xdr:col>
      <xdr:colOff>256686</xdr:colOff>
      <xdr:row>14</xdr:row>
      <xdr:rowOff>66527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705600" y="971550"/>
          <a:ext cx="3914286" cy="11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ristina.a.mcdaniel-wilson@odot.state.or.us" TargetMode="Externa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5.emf"/><Relationship Id="rId4" Type="http://schemas.openxmlformats.org/officeDocument/2006/relationships/control" Target="../activeX/activeX1.xml"/><Relationship Id="rId9" Type="http://schemas.openxmlformats.org/officeDocument/2006/relationships/image" Target="../media/image7.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10.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5.xml"/><Relationship Id="rId5" Type="http://schemas.openxmlformats.org/officeDocument/2006/relationships/image" Target="../media/image9.emf"/><Relationship Id="rId4" Type="http://schemas.openxmlformats.org/officeDocument/2006/relationships/control" Target="../activeX/activeX4.xml"/><Relationship Id="rId9" Type="http://schemas.openxmlformats.org/officeDocument/2006/relationships/image" Target="../media/image11.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3.vml"/><Relationship Id="rId7" Type="http://schemas.openxmlformats.org/officeDocument/2006/relationships/image" Target="../media/image1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8.xml"/><Relationship Id="rId5" Type="http://schemas.openxmlformats.org/officeDocument/2006/relationships/image" Target="../media/image13.emf"/><Relationship Id="rId4" Type="http://schemas.openxmlformats.org/officeDocument/2006/relationships/control" Target="../activeX/activeX7.xml"/><Relationship Id="rId9" Type="http://schemas.openxmlformats.org/officeDocument/2006/relationships/image" Target="../media/image15.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7.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1.xml"/><Relationship Id="rId5" Type="http://schemas.openxmlformats.org/officeDocument/2006/relationships/image" Target="../media/image16.emf"/><Relationship Id="rId4" Type="http://schemas.openxmlformats.org/officeDocument/2006/relationships/control" Target="../activeX/activeX10.xml"/></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14.xml"/><Relationship Id="rId3" Type="http://schemas.openxmlformats.org/officeDocument/2006/relationships/vmlDrawing" Target="../drawings/vmlDrawing5.vml"/><Relationship Id="rId7" Type="http://schemas.openxmlformats.org/officeDocument/2006/relationships/image" Target="../media/image19.emf"/><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13.xml"/><Relationship Id="rId5" Type="http://schemas.openxmlformats.org/officeDocument/2006/relationships/image" Target="../media/image18.emf"/><Relationship Id="rId4" Type="http://schemas.openxmlformats.org/officeDocument/2006/relationships/control" Target="../activeX/activeX12.xml"/><Relationship Id="rId9" Type="http://schemas.openxmlformats.org/officeDocument/2006/relationships/image" Target="../media/image20.e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181"/>
  <sheetViews>
    <sheetView showGridLines="0" view="pageBreakPreview" zoomScale="90" zoomScaleNormal="100" zoomScaleSheetLayoutView="90" workbookViewId="0">
      <selection activeCell="A5" sqref="A5:M5"/>
    </sheetView>
  </sheetViews>
  <sheetFormatPr defaultRowHeight="12.75" x14ac:dyDescent="0.2"/>
  <cols>
    <col min="7" max="7" width="10.140625" bestFit="1" customWidth="1"/>
    <col min="12" max="12" width="7" customWidth="1"/>
    <col min="13" max="13" width="8.28515625" customWidth="1"/>
  </cols>
  <sheetData>
    <row r="1" spans="1:14" ht="20.25" x14ac:dyDescent="0.3">
      <c r="B1" s="374" t="s">
        <v>0</v>
      </c>
      <c r="C1" s="366"/>
      <c r="D1" s="366"/>
      <c r="E1" s="366"/>
      <c r="F1" s="366"/>
      <c r="G1" s="366"/>
      <c r="H1" s="366"/>
      <c r="I1" s="366"/>
      <c r="J1" s="366"/>
      <c r="K1" s="366"/>
      <c r="L1" s="366"/>
      <c r="M1" s="366"/>
      <c r="N1" s="8"/>
    </row>
    <row r="2" spans="1:14" ht="20.25" x14ac:dyDescent="0.3">
      <c r="B2" s="374" t="s">
        <v>47</v>
      </c>
      <c r="C2" s="366"/>
      <c r="D2" s="366"/>
      <c r="E2" s="366"/>
      <c r="F2" s="366"/>
      <c r="G2" s="366"/>
      <c r="H2" s="366"/>
      <c r="I2" s="366"/>
      <c r="J2" s="366"/>
      <c r="K2" s="366"/>
      <c r="L2" s="366"/>
      <c r="M2" s="366"/>
      <c r="N2" s="13"/>
    </row>
    <row r="3" spans="1:14" ht="18" x14ac:dyDescent="0.25">
      <c r="B3" s="375" t="s">
        <v>22</v>
      </c>
      <c r="C3" s="376"/>
      <c r="D3" s="376"/>
      <c r="E3" s="376"/>
      <c r="F3" s="376"/>
      <c r="G3" s="376"/>
      <c r="H3" s="376"/>
      <c r="I3" s="376"/>
      <c r="J3" s="376"/>
      <c r="K3" s="376"/>
      <c r="L3" s="376"/>
      <c r="M3" s="376"/>
      <c r="N3" s="13"/>
    </row>
    <row r="4" spans="1:14" ht="27.75" customHeight="1" x14ac:dyDescent="0.25">
      <c r="B4" s="155"/>
      <c r="C4" s="156"/>
      <c r="D4" s="156"/>
      <c r="E4" s="156"/>
      <c r="F4" s="156"/>
      <c r="G4" s="353" t="s">
        <v>912</v>
      </c>
      <c r="H4" s="156"/>
      <c r="I4" s="156"/>
      <c r="J4" s="156"/>
      <c r="K4" s="156"/>
      <c r="L4" s="156"/>
      <c r="M4" s="156"/>
      <c r="N4" s="13"/>
    </row>
    <row r="5" spans="1:14" ht="32.25" customHeight="1" x14ac:dyDescent="0.2">
      <c r="A5" s="373" t="s">
        <v>43</v>
      </c>
      <c r="B5" s="373"/>
      <c r="C5" s="373"/>
      <c r="D5" s="373"/>
      <c r="E5" s="373"/>
      <c r="F5" s="373"/>
      <c r="G5" s="373"/>
      <c r="H5" s="373"/>
      <c r="I5" s="373"/>
      <c r="J5" s="373"/>
      <c r="K5" s="373"/>
      <c r="L5" s="373"/>
      <c r="M5" s="373"/>
      <c r="N5" s="8"/>
    </row>
    <row r="6" spans="1:14" ht="23.25" customHeight="1" x14ac:dyDescent="0.2">
      <c r="A6" s="41" t="s">
        <v>64</v>
      </c>
      <c r="B6" s="7"/>
      <c r="C6" s="8"/>
      <c r="D6" s="8"/>
      <c r="E6" s="8"/>
      <c r="F6" s="8"/>
      <c r="G6" s="8"/>
      <c r="H6" s="8"/>
      <c r="I6" s="8"/>
      <c r="J6" s="8"/>
      <c r="K6" s="8"/>
      <c r="L6" s="8"/>
      <c r="M6" s="8"/>
      <c r="N6" s="8"/>
    </row>
    <row r="7" spans="1:14" ht="14.25" customHeight="1" x14ac:dyDescent="0.2">
      <c r="A7" s="31"/>
      <c r="B7" s="7"/>
      <c r="C7" s="8"/>
      <c r="D7" s="8"/>
      <c r="E7" s="8"/>
      <c r="F7" s="8"/>
      <c r="G7" s="8"/>
      <c r="H7" s="8"/>
      <c r="I7" s="8"/>
      <c r="J7" s="8"/>
      <c r="K7" s="8"/>
      <c r="L7" s="8"/>
      <c r="M7" s="8"/>
      <c r="N7" s="8"/>
    </row>
    <row r="8" spans="1:14" x14ac:dyDescent="0.2">
      <c r="A8" t="s">
        <v>625</v>
      </c>
    </row>
    <row r="10" spans="1:14" x14ac:dyDescent="0.2">
      <c r="A10" s="40" t="s">
        <v>63</v>
      </c>
      <c r="D10" s="40" t="s">
        <v>57</v>
      </c>
    </row>
    <row r="11" spans="1:14" ht="12" customHeight="1" x14ac:dyDescent="0.2"/>
    <row r="12" spans="1:14" ht="12" customHeight="1" x14ac:dyDescent="0.2">
      <c r="A12" s="34" t="s">
        <v>43</v>
      </c>
      <c r="D12" s="34" t="s">
        <v>60</v>
      </c>
    </row>
    <row r="13" spans="1:14" ht="9.9499999999999993" customHeight="1" x14ac:dyDescent="0.2"/>
    <row r="14" spans="1:14" ht="12" customHeight="1" x14ac:dyDescent="0.2">
      <c r="A14" s="378" t="s">
        <v>626</v>
      </c>
      <c r="B14" s="378"/>
      <c r="D14" s="377" t="s">
        <v>627</v>
      </c>
      <c r="E14" s="377"/>
      <c r="F14" s="377"/>
      <c r="G14" s="377"/>
      <c r="H14" s="377"/>
      <c r="I14" s="377"/>
      <c r="J14" s="377"/>
      <c r="K14" s="377"/>
      <c r="L14" s="377"/>
      <c r="M14" s="377"/>
    </row>
    <row r="15" spans="1:14" ht="12" customHeight="1" x14ac:dyDescent="0.2">
      <c r="A15" s="378"/>
      <c r="B15" s="378"/>
      <c r="D15" s="377"/>
      <c r="E15" s="377"/>
      <c r="F15" s="377"/>
      <c r="G15" s="377"/>
      <c r="H15" s="377"/>
      <c r="I15" s="377"/>
      <c r="J15" s="377"/>
      <c r="K15" s="377"/>
      <c r="L15" s="377"/>
      <c r="M15" s="377"/>
    </row>
    <row r="16" spans="1:14" ht="9.9499999999999993" customHeight="1" x14ac:dyDescent="0.2"/>
    <row r="17" spans="1:13" ht="12" customHeight="1" x14ac:dyDescent="0.2">
      <c r="A17" s="362" t="s">
        <v>58</v>
      </c>
      <c r="B17" s="362"/>
      <c r="D17" s="379" t="s">
        <v>913</v>
      </c>
      <c r="E17" s="380"/>
      <c r="F17" s="380"/>
      <c r="G17" s="380"/>
      <c r="H17" s="380"/>
      <c r="I17" s="380"/>
      <c r="J17" s="380"/>
      <c r="K17" s="380"/>
      <c r="L17" s="380"/>
      <c r="M17" s="380"/>
    </row>
    <row r="18" spans="1:13" ht="47.25" customHeight="1" x14ac:dyDescent="0.2">
      <c r="A18" s="362"/>
      <c r="B18" s="362"/>
      <c r="D18" s="380"/>
      <c r="E18" s="380"/>
      <c r="F18" s="380"/>
      <c r="G18" s="380"/>
      <c r="H18" s="380"/>
      <c r="I18" s="380"/>
      <c r="J18" s="380"/>
      <c r="K18" s="380"/>
      <c r="L18" s="380"/>
      <c r="M18" s="380"/>
    </row>
    <row r="19" spans="1:13" ht="9.9499999999999993" customHeight="1" x14ac:dyDescent="0.2">
      <c r="D19" s="39"/>
      <c r="E19" s="39"/>
      <c r="F19" s="39"/>
      <c r="G19" s="39"/>
      <c r="H19" s="39"/>
      <c r="I19" s="39"/>
      <c r="J19" s="39"/>
      <c r="K19" s="39"/>
      <c r="L19" s="39"/>
      <c r="M19" s="39"/>
    </row>
    <row r="20" spans="1:13" ht="12" customHeight="1" x14ac:dyDescent="0.2">
      <c r="A20" s="362" t="s">
        <v>59</v>
      </c>
      <c r="B20" s="362"/>
      <c r="D20" s="379" t="s">
        <v>914</v>
      </c>
      <c r="E20" s="380"/>
      <c r="F20" s="380"/>
      <c r="G20" s="380"/>
      <c r="H20" s="380"/>
      <c r="I20" s="380"/>
      <c r="J20" s="380"/>
      <c r="K20" s="380"/>
      <c r="L20" s="380"/>
      <c r="M20" s="380"/>
    </row>
    <row r="21" spans="1:13" ht="18.75" customHeight="1" x14ac:dyDescent="0.2">
      <c r="A21" s="362"/>
      <c r="B21" s="362"/>
      <c r="D21" s="380"/>
      <c r="E21" s="380"/>
      <c r="F21" s="380"/>
      <c r="G21" s="380"/>
      <c r="H21" s="380"/>
      <c r="I21" s="380"/>
      <c r="J21" s="380"/>
      <c r="K21" s="380"/>
      <c r="L21" s="380"/>
      <c r="M21" s="380"/>
    </row>
    <row r="22" spans="1:13" ht="9.9499999999999993" customHeight="1" x14ac:dyDescent="0.2"/>
    <row r="23" spans="1:13" ht="12" customHeight="1" x14ac:dyDescent="0.2">
      <c r="A23" s="34" t="s">
        <v>61</v>
      </c>
      <c r="D23" s="34" t="s">
        <v>62</v>
      </c>
    </row>
    <row r="24" spans="1:13" ht="9.9499999999999993" customHeight="1" x14ac:dyDescent="0.2"/>
    <row r="25" spans="1:13" ht="12" customHeight="1" x14ac:dyDescent="0.2">
      <c r="A25" s="157" t="s">
        <v>83</v>
      </c>
      <c r="D25" s="379" t="s">
        <v>555</v>
      </c>
      <c r="E25" s="379"/>
      <c r="F25" s="379"/>
      <c r="G25" s="379"/>
      <c r="H25" s="379"/>
      <c r="I25" s="379"/>
      <c r="J25" s="379"/>
      <c r="K25" s="379"/>
      <c r="L25" s="379"/>
      <c r="M25" s="379"/>
    </row>
    <row r="26" spans="1:13" ht="12" customHeight="1" x14ac:dyDescent="0.2">
      <c r="A26" s="157"/>
      <c r="D26" s="379"/>
      <c r="E26" s="379"/>
      <c r="F26" s="379"/>
      <c r="G26" s="379"/>
      <c r="H26" s="379"/>
      <c r="I26" s="379"/>
      <c r="J26" s="379"/>
      <c r="K26" s="379"/>
      <c r="L26" s="379"/>
      <c r="M26" s="379"/>
    </row>
    <row r="27" spans="1:13" ht="12" customHeight="1" x14ac:dyDescent="0.2">
      <c r="A27" s="157"/>
      <c r="D27" s="178"/>
      <c r="E27" s="178"/>
      <c r="F27" s="178"/>
      <c r="G27" s="178"/>
      <c r="H27" s="178"/>
      <c r="I27" s="178"/>
      <c r="J27" s="178"/>
      <c r="K27" s="178"/>
      <c r="L27" s="178"/>
      <c r="M27" s="178"/>
    </row>
    <row r="28" spans="1:13" ht="12" customHeight="1" x14ac:dyDescent="0.2">
      <c r="A28" s="368" t="s">
        <v>697</v>
      </c>
      <c r="B28" s="368"/>
      <c r="C28" s="368"/>
      <c r="D28" s="368"/>
      <c r="E28" s="368"/>
      <c r="F28" s="368"/>
      <c r="G28" s="368"/>
      <c r="H28" s="368"/>
      <c r="I28" s="368"/>
      <c r="J28" s="368"/>
      <c r="K28" s="368"/>
      <c r="L28" s="368"/>
      <c r="M28" s="368"/>
    </row>
    <row r="29" spans="1:13" ht="17.25" customHeight="1" x14ac:dyDescent="0.2">
      <c r="A29" s="368"/>
      <c r="B29" s="368"/>
      <c r="C29" s="368"/>
      <c r="D29" s="368"/>
      <c r="E29" s="368"/>
      <c r="F29" s="368"/>
      <c r="G29" s="368"/>
      <c r="H29" s="368"/>
      <c r="I29" s="368"/>
      <c r="J29" s="368"/>
      <c r="K29" s="368"/>
      <c r="L29" s="368"/>
      <c r="M29" s="368"/>
    </row>
    <row r="30" spans="1:13" ht="12" customHeight="1" x14ac:dyDescent="0.2">
      <c r="A30" s="311"/>
      <c r="B30" s="311"/>
      <c r="C30" s="311"/>
      <c r="D30" s="311"/>
      <c r="E30" s="311"/>
      <c r="F30" s="311"/>
      <c r="G30" s="311"/>
      <c r="H30" s="311"/>
      <c r="I30" s="311"/>
      <c r="J30" s="311"/>
      <c r="K30" s="311"/>
      <c r="L30" s="311"/>
      <c r="M30" s="311"/>
    </row>
    <row r="31" spans="1:13" ht="12" customHeight="1" x14ac:dyDescent="0.2">
      <c r="A31" s="41" t="s">
        <v>626</v>
      </c>
      <c r="B31" s="311"/>
      <c r="C31" s="311"/>
      <c r="D31" s="311"/>
      <c r="E31" s="311"/>
      <c r="F31" s="311"/>
      <c r="G31" s="311"/>
      <c r="H31" s="311"/>
      <c r="I31" s="311"/>
      <c r="J31" s="311"/>
      <c r="K31" s="311"/>
      <c r="L31" s="311"/>
      <c r="M31" s="311"/>
    </row>
    <row r="32" spans="1:13" ht="8.1" customHeight="1" x14ac:dyDescent="0.2">
      <c r="B32" s="311"/>
      <c r="C32" s="311"/>
      <c r="D32" s="311"/>
      <c r="E32" s="311"/>
      <c r="F32" s="311"/>
      <c r="G32" s="311"/>
      <c r="H32" s="311"/>
      <c r="I32" s="311"/>
      <c r="J32" s="311"/>
      <c r="K32" s="311"/>
      <c r="L32" s="311"/>
      <c r="M32" s="311"/>
    </row>
    <row r="33" spans="1:13" ht="12" customHeight="1" x14ac:dyDescent="0.2">
      <c r="A33" s="34" t="s">
        <v>65</v>
      </c>
      <c r="B33" s="311"/>
      <c r="C33" s="311"/>
      <c r="D33" s="311"/>
      <c r="E33" s="311"/>
      <c r="F33" s="311"/>
      <c r="G33" s="311"/>
      <c r="H33" s="311"/>
      <c r="I33" s="311"/>
      <c r="J33" s="311"/>
      <c r="K33" s="311"/>
      <c r="L33" s="311"/>
      <c r="M33" s="311"/>
    </row>
    <row r="34" spans="1:13" ht="8.1" customHeight="1" x14ac:dyDescent="0.2">
      <c r="A34" s="311"/>
      <c r="B34" s="311"/>
      <c r="C34" s="311"/>
      <c r="D34" s="311"/>
      <c r="E34" s="311"/>
      <c r="F34" s="311"/>
      <c r="G34" s="311"/>
      <c r="H34" s="311"/>
      <c r="I34" s="311"/>
      <c r="J34" s="311"/>
      <c r="K34" s="311"/>
      <c r="L34" s="311"/>
      <c r="M34" s="311"/>
    </row>
    <row r="35" spans="1:13" ht="12" customHeight="1" x14ac:dyDescent="0.2">
      <c r="A35" s="43" t="s">
        <v>556</v>
      </c>
      <c r="B35" s="311"/>
      <c r="C35" s="311"/>
      <c r="D35" s="311"/>
      <c r="E35" s="311"/>
      <c r="F35" s="311"/>
      <c r="G35" s="311"/>
      <c r="H35" s="311"/>
      <c r="I35" s="311"/>
      <c r="J35" s="311"/>
      <c r="K35" s="311"/>
      <c r="L35" s="311"/>
      <c r="M35" s="311"/>
    </row>
    <row r="36" spans="1:13" ht="8.1" customHeight="1" x14ac:dyDescent="0.2">
      <c r="B36" s="311"/>
      <c r="C36" s="311"/>
      <c r="D36" s="311"/>
      <c r="E36" s="311"/>
      <c r="F36" s="311"/>
      <c r="G36" s="311"/>
      <c r="H36" s="311"/>
      <c r="I36" s="311"/>
      <c r="J36" s="311"/>
      <c r="K36" s="311"/>
      <c r="L36" s="311"/>
      <c r="M36" s="311"/>
    </row>
    <row r="37" spans="1:13" ht="12" customHeight="1" x14ac:dyDescent="0.2">
      <c r="A37" s="43" t="s">
        <v>557</v>
      </c>
      <c r="B37" s="311"/>
      <c r="C37" s="311"/>
      <c r="D37" s="311"/>
      <c r="E37" s="311"/>
      <c r="F37" s="311"/>
      <c r="G37" s="311"/>
      <c r="H37" s="311"/>
      <c r="I37" s="311"/>
      <c r="J37" s="311"/>
      <c r="K37" s="311"/>
      <c r="L37" s="311"/>
      <c r="M37" s="311"/>
    </row>
    <row r="38" spans="1:13" ht="12" customHeight="1" x14ac:dyDescent="0.2">
      <c r="A38" s="311"/>
      <c r="B38" s="311"/>
      <c r="C38" s="311"/>
      <c r="D38" s="311"/>
      <c r="E38" s="311"/>
      <c r="F38" s="311"/>
      <c r="G38" s="311"/>
      <c r="H38" s="311"/>
      <c r="I38" s="311"/>
      <c r="J38" s="311"/>
      <c r="K38" s="311"/>
      <c r="L38" s="311"/>
      <c r="M38" s="311"/>
    </row>
    <row r="39" spans="1:13" ht="18.75" customHeight="1" x14ac:dyDescent="0.2">
      <c r="A39" s="41" t="s">
        <v>58</v>
      </c>
    </row>
    <row r="40" spans="1:13" ht="8.1" customHeight="1" x14ac:dyDescent="0.2"/>
    <row r="41" spans="1:13" ht="12" customHeight="1" x14ac:dyDescent="0.2">
      <c r="A41" s="157" t="s">
        <v>628</v>
      </c>
    </row>
    <row r="42" spans="1:13" ht="8.1" customHeight="1" x14ac:dyDescent="0.2"/>
    <row r="43" spans="1:13" ht="12" customHeight="1" x14ac:dyDescent="0.2">
      <c r="A43" s="370" t="s">
        <v>629</v>
      </c>
      <c r="B43" s="370"/>
      <c r="C43" s="370"/>
      <c r="D43" s="370"/>
      <c r="E43" s="370"/>
      <c r="F43" s="370"/>
      <c r="G43" s="370"/>
      <c r="H43" s="370"/>
      <c r="I43" s="370"/>
      <c r="J43" s="370"/>
      <c r="K43" s="370"/>
      <c r="L43" s="370"/>
      <c r="M43" s="370"/>
    </row>
    <row r="44" spans="1:13" ht="12" customHeight="1" x14ac:dyDescent="0.2">
      <c r="A44" s="370"/>
      <c r="B44" s="370"/>
      <c r="C44" s="370"/>
      <c r="D44" s="370"/>
      <c r="E44" s="370"/>
      <c r="F44" s="370"/>
      <c r="G44" s="370"/>
      <c r="H44" s="370"/>
      <c r="I44" s="370"/>
      <c r="J44" s="370"/>
      <c r="K44" s="370"/>
      <c r="L44" s="370"/>
      <c r="M44" s="370"/>
    </row>
    <row r="45" spans="1:13" ht="8.1" customHeight="1" x14ac:dyDescent="0.2">
      <c r="A45" s="370"/>
      <c r="B45" s="370"/>
      <c r="C45" s="370"/>
      <c r="D45" s="370"/>
      <c r="E45" s="370"/>
      <c r="F45" s="370"/>
      <c r="G45" s="370"/>
      <c r="H45" s="370"/>
      <c r="I45" s="370"/>
      <c r="J45" s="370"/>
      <c r="K45" s="370"/>
      <c r="L45" s="370"/>
      <c r="M45" s="370"/>
    </row>
    <row r="46" spans="1:13" ht="19.5" customHeight="1" x14ac:dyDescent="0.2">
      <c r="A46" s="370"/>
      <c r="B46" s="370"/>
      <c r="C46" s="370"/>
      <c r="D46" s="370"/>
      <c r="E46" s="370"/>
      <c r="F46" s="370"/>
      <c r="G46" s="370"/>
      <c r="H46" s="370"/>
      <c r="I46" s="370"/>
      <c r="J46" s="370"/>
      <c r="K46" s="370"/>
      <c r="L46" s="370"/>
      <c r="M46" s="370"/>
    </row>
    <row r="47" spans="1:13" ht="8.1" customHeight="1" x14ac:dyDescent="0.2"/>
    <row r="48" spans="1:13" ht="12" customHeight="1" x14ac:dyDescent="0.2">
      <c r="A48" s="369" t="s">
        <v>630</v>
      </c>
      <c r="B48" s="369"/>
      <c r="C48" s="369"/>
      <c r="D48" s="369"/>
      <c r="E48" s="369"/>
      <c r="F48" s="369"/>
      <c r="G48" s="369"/>
      <c r="H48" s="369"/>
      <c r="I48" s="369"/>
      <c r="J48" s="369"/>
      <c r="K48" s="369"/>
      <c r="L48" s="369"/>
      <c r="M48" s="369"/>
    </row>
    <row r="49" spans="1:13" ht="12" customHeight="1" x14ac:dyDescent="0.2">
      <c r="A49" s="369"/>
      <c r="B49" s="369"/>
      <c r="C49" s="369"/>
      <c r="D49" s="369"/>
      <c r="E49" s="369"/>
      <c r="F49" s="369"/>
      <c r="G49" s="369"/>
      <c r="H49" s="369"/>
      <c r="I49" s="369"/>
      <c r="J49" s="369"/>
      <c r="K49" s="369"/>
      <c r="L49" s="369"/>
      <c r="M49" s="369"/>
    </row>
    <row r="50" spans="1:13" ht="8.1" customHeight="1" x14ac:dyDescent="0.2"/>
    <row r="51" spans="1:13" ht="12" customHeight="1" x14ac:dyDescent="0.2">
      <c r="A51" s="42" t="s">
        <v>631</v>
      </c>
      <c r="B51" s="44"/>
      <c r="C51" s="44"/>
      <c r="D51" s="44"/>
      <c r="E51" s="44"/>
      <c r="F51" s="44"/>
      <c r="G51" s="44"/>
      <c r="H51" s="44"/>
      <c r="I51" s="44"/>
      <c r="J51" s="44"/>
      <c r="K51" s="44"/>
      <c r="L51" s="44"/>
      <c r="M51" s="44"/>
    </row>
    <row r="52" spans="1:13" ht="8.1" customHeight="1" x14ac:dyDescent="0.2">
      <c r="A52" s="44"/>
      <c r="B52" s="44"/>
      <c r="C52" s="44"/>
      <c r="D52" s="44"/>
      <c r="E52" s="44"/>
      <c r="F52" s="44"/>
      <c r="G52" s="44"/>
      <c r="H52" s="44"/>
      <c r="I52" s="44"/>
      <c r="J52" s="44"/>
      <c r="K52" s="44"/>
      <c r="L52" s="44"/>
      <c r="M52" s="44"/>
    </row>
    <row r="53" spans="1:13" ht="12" customHeight="1" x14ac:dyDescent="0.2">
      <c r="A53" s="370" t="s">
        <v>632</v>
      </c>
      <c r="B53" s="370"/>
      <c r="C53" s="370"/>
      <c r="D53" s="370"/>
      <c r="E53" s="370"/>
      <c r="F53" s="370"/>
      <c r="G53" s="370"/>
      <c r="H53" s="370"/>
      <c r="I53" s="370"/>
      <c r="J53" s="370"/>
      <c r="K53" s="370"/>
      <c r="L53" s="370"/>
      <c r="M53" s="370"/>
    </row>
    <row r="54" spans="1:13" ht="13.5" customHeight="1" x14ac:dyDescent="0.2">
      <c r="A54" s="370"/>
      <c r="B54" s="370"/>
      <c r="C54" s="370"/>
      <c r="D54" s="370"/>
      <c r="E54" s="370"/>
      <c r="F54" s="370"/>
      <c r="G54" s="370"/>
      <c r="H54" s="370"/>
      <c r="I54" s="370"/>
      <c r="J54" s="370"/>
      <c r="K54" s="370"/>
      <c r="L54" s="370"/>
      <c r="M54" s="370"/>
    </row>
    <row r="55" spans="1:13" ht="17.25" customHeight="1" x14ac:dyDescent="0.2">
      <c r="A55" s="47" t="s">
        <v>59</v>
      </c>
    </row>
    <row r="56" spans="1:13" ht="8.1" customHeight="1" x14ac:dyDescent="0.2"/>
    <row r="57" spans="1:13" x14ac:dyDescent="0.2">
      <c r="A57" s="157" t="s">
        <v>628</v>
      </c>
    </row>
    <row r="58" spans="1:13" ht="8.1" customHeight="1" x14ac:dyDescent="0.2"/>
    <row r="59" spans="1:13" ht="12.75" customHeight="1" x14ac:dyDescent="0.2">
      <c r="A59" s="370" t="s">
        <v>633</v>
      </c>
      <c r="B59" s="370"/>
      <c r="C59" s="370"/>
      <c r="D59" s="370"/>
      <c r="E59" s="370"/>
      <c r="F59" s="370"/>
      <c r="G59" s="370"/>
      <c r="H59" s="370"/>
      <c r="I59" s="370"/>
      <c r="J59" s="370"/>
      <c r="K59" s="370"/>
      <c r="L59" s="370"/>
      <c r="M59" s="370"/>
    </row>
    <row r="60" spans="1:13" x14ac:dyDescent="0.2">
      <c r="A60" s="370"/>
      <c r="B60" s="370"/>
      <c r="C60" s="370"/>
      <c r="D60" s="370"/>
      <c r="E60" s="370"/>
      <c r="F60" s="370"/>
      <c r="G60" s="370"/>
      <c r="H60" s="370"/>
      <c r="I60" s="370"/>
      <c r="J60" s="370"/>
      <c r="K60" s="370"/>
      <c r="L60" s="370"/>
      <c r="M60" s="370"/>
    </row>
    <row r="61" spans="1:13" ht="28.5" customHeight="1" x14ac:dyDescent="0.2">
      <c r="A61" s="370"/>
      <c r="B61" s="370"/>
      <c r="C61" s="370"/>
      <c r="D61" s="370"/>
      <c r="E61" s="370"/>
      <c r="F61" s="370"/>
      <c r="G61" s="370"/>
      <c r="H61" s="370"/>
      <c r="I61" s="370"/>
      <c r="J61" s="370"/>
      <c r="K61" s="370"/>
      <c r="L61" s="370"/>
      <c r="M61" s="370"/>
    </row>
    <row r="62" spans="1:13" ht="8.1" customHeight="1" x14ac:dyDescent="0.2">
      <c r="A62" s="45"/>
      <c r="B62" s="45"/>
      <c r="C62" s="45"/>
      <c r="D62" s="45"/>
      <c r="E62" s="45"/>
      <c r="F62" s="45"/>
      <c r="G62" s="45"/>
      <c r="H62" s="45"/>
      <c r="I62" s="45"/>
      <c r="J62" s="45"/>
      <c r="K62" s="45"/>
      <c r="L62" s="45"/>
      <c r="M62" s="45"/>
    </row>
    <row r="63" spans="1:13" ht="12.75" customHeight="1" x14ac:dyDescent="0.2">
      <c r="A63" s="370" t="s">
        <v>634</v>
      </c>
      <c r="B63" s="370"/>
      <c r="C63" s="370"/>
      <c r="D63" s="370"/>
      <c r="E63" s="370"/>
      <c r="F63" s="370"/>
      <c r="G63" s="370"/>
      <c r="H63" s="370"/>
      <c r="I63" s="370"/>
      <c r="J63" s="370"/>
      <c r="K63" s="370"/>
      <c r="L63" s="370"/>
      <c r="M63" s="370"/>
    </row>
    <row r="64" spans="1:13" x14ac:dyDescent="0.2">
      <c r="A64" s="370"/>
      <c r="B64" s="370"/>
      <c r="C64" s="370"/>
      <c r="D64" s="370"/>
      <c r="E64" s="370"/>
      <c r="F64" s="370"/>
      <c r="G64" s="370"/>
      <c r="H64" s="370"/>
      <c r="I64" s="370"/>
      <c r="J64" s="370"/>
      <c r="K64" s="370"/>
      <c r="L64" s="370"/>
      <c r="M64" s="370"/>
    </row>
    <row r="65" spans="1:13" x14ac:dyDescent="0.2">
      <c r="A65" s="370"/>
      <c r="B65" s="370"/>
      <c r="C65" s="370"/>
      <c r="D65" s="370"/>
      <c r="E65" s="370"/>
      <c r="F65" s="370"/>
      <c r="G65" s="370"/>
      <c r="H65" s="370"/>
      <c r="I65" s="370"/>
      <c r="J65" s="370"/>
      <c r="K65" s="370"/>
      <c r="L65" s="370"/>
      <c r="M65" s="370"/>
    </row>
    <row r="66" spans="1:13" x14ac:dyDescent="0.2">
      <c r="A66" s="370"/>
      <c r="B66" s="370"/>
      <c r="C66" s="370"/>
      <c r="D66" s="370"/>
      <c r="E66" s="370"/>
      <c r="F66" s="370"/>
      <c r="G66" s="370"/>
      <c r="H66" s="370"/>
      <c r="I66" s="370"/>
      <c r="J66" s="370"/>
      <c r="K66" s="370"/>
      <c r="L66" s="370"/>
      <c r="M66" s="370"/>
    </row>
    <row r="67" spans="1:13" x14ac:dyDescent="0.2">
      <c r="A67" s="370"/>
      <c r="B67" s="370"/>
      <c r="C67" s="370"/>
      <c r="D67" s="370"/>
      <c r="E67" s="370"/>
      <c r="F67" s="370"/>
      <c r="G67" s="370"/>
      <c r="H67" s="370"/>
      <c r="I67" s="370"/>
      <c r="J67" s="370"/>
      <c r="K67" s="370"/>
      <c r="L67" s="370"/>
      <c r="M67" s="370"/>
    </row>
    <row r="68" spans="1:13" x14ac:dyDescent="0.2">
      <c r="A68" s="370"/>
      <c r="B68" s="370"/>
      <c r="C68" s="370"/>
      <c r="D68" s="370"/>
      <c r="E68" s="370"/>
      <c r="F68" s="370"/>
      <c r="G68" s="370"/>
      <c r="H68" s="370"/>
      <c r="I68" s="370"/>
      <c r="J68" s="370"/>
      <c r="K68" s="370"/>
      <c r="L68" s="370"/>
      <c r="M68" s="370"/>
    </row>
    <row r="69" spans="1:13" ht="8.1" customHeight="1" x14ac:dyDescent="0.2"/>
    <row r="70" spans="1:13" x14ac:dyDescent="0.2">
      <c r="A70" s="42" t="s">
        <v>635</v>
      </c>
      <c r="B70" s="44"/>
      <c r="C70" s="44"/>
      <c r="D70" s="44"/>
      <c r="E70" s="44"/>
      <c r="F70" s="44"/>
      <c r="G70" s="44"/>
      <c r="H70" s="44"/>
      <c r="I70" s="44"/>
      <c r="J70" s="44"/>
      <c r="K70" s="44"/>
      <c r="L70" s="44"/>
      <c r="M70" s="44"/>
    </row>
    <row r="71" spans="1:13" ht="8.1" customHeight="1" x14ac:dyDescent="0.2">
      <c r="A71" s="44"/>
      <c r="B71" s="44"/>
      <c r="C71" s="44"/>
      <c r="D71" s="44"/>
      <c r="E71" s="44"/>
      <c r="F71" s="44"/>
      <c r="G71" s="44"/>
      <c r="H71" s="44"/>
      <c r="I71" s="44"/>
      <c r="J71" s="44"/>
      <c r="K71" s="44"/>
      <c r="L71" s="44"/>
      <c r="M71" s="44"/>
    </row>
    <row r="72" spans="1:13" x14ac:dyDescent="0.2">
      <c r="A72" s="369" t="s">
        <v>636</v>
      </c>
      <c r="B72" s="369"/>
      <c r="C72" s="369"/>
      <c r="D72" s="369"/>
      <c r="E72" s="369"/>
      <c r="F72" s="369"/>
      <c r="G72" s="369"/>
      <c r="H72" s="369"/>
      <c r="I72" s="369"/>
      <c r="J72" s="369"/>
      <c r="K72" s="369"/>
      <c r="L72" s="369"/>
      <c r="M72" s="369"/>
    </row>
    <row r="73" spans="1:13" x14ac:dyDescent="0.2">
      <c r="A73" s="369"/>
      <c r="B73" s="369"/>
      <c r="C73" s="369"/>
      <c r="D73" s="369"/>
      <c r="E73" s="369"/>
      <c r="F73" s="369"/>
      <c r="G73" s="369"/>
      <c r="H73" s="369"/>
      <c r="I73" s="369"/>
      <c r="J73" s="369"/>
      <c r="K73" s="369"/>
      <c r="L73" s="369"/>
      <c r="M73" s="369"/>
    </row>
    <row r="75" spans="1:13" ht="18.75" customHeight="1" x14ac:dyDescent="0.2">
      <c r="A75" s="47" t="s">
        <v>61</v>
      </c>
    </row>
    <row r="76" spans="1:13" ht="8.1" customHeight="1" x14ac:dyDescent="0.2"/>
    <row r="77" spans="1:13" x14ac:dyDescent="0.2">
      <c r="A77" s="43" t="s">
        <v>67</v>
      </c>
    </row>
    <row r="78" spans="1:13" ht="8.1" customHeight="1" x14ac:dyDescent="0.2"/>
    <row r="79" spans="1:13" x14ac:dyDescent="0.2">
      <c r="A79" s="157" t="s">
        <v>558</v>
      </c>
    </row>
    <row r="80" spans="1:13" ht="8.1" customHeight="1" x14ac:dyDescent="0.2">
      <c r="A80" s="46"/>
      <c r="B80" s="46"/>
      <c r="C80" s="46"/>
      <c r="D80" s="46"/>
      <c r="E80" s="46"/>
      <c r="F80" s="46"/>
      <c r="G80" s="46"/>
      <c r="H80" s="46"/>
      <c r="I80" s="46"/>
      <c r="J80" s="46"/>
      <c r="K80" s="46"/>
      <c r="L80" s="46"/>
      <c r="M80" s="46"/>
    </row>
    <row r="81" spans="1:13" x14ac:dyDescent="0.2">
      <c r="A81" s="46"/>
      <c r="B81" s="46"/>
      <c r="C81" s="46"/>
      <c r="D81" s="46"/>
      <c r="E81" s="46"/>
      <c r="F81" s="46"/>
      <c r="G81" s="46"/>
      <c r="H81" s="46"/>
      <c r="I81" s="46"/>
      <c r="J81" s="46"/>
      <c r="K81" s="46"/>
      <c r="L81" s="46"/>
      <c r="M81" s="46"/>
    </row>
    <row r="82" spans="1:13" ht="15" x14ac:dyDescent="0.2">
      <c r="A82" s="47" t="s">
        <v>83</v>
      </c>
    </row>
    <row r="84" spans="1:13" x14ac:dyDescent="0.2">
      <c r="A84" s="43" t="s">
        <v>84</v>
      </c>
    </row>
    <row r="86" spans="1:13" ht="27" customHeight="1" x14ac:dyDescent="0.2">
      <c r="A86" s="371" t="s">
        <v>86</v>
      </c>
      <c r="B86" s="371"/>
      <c r="C86" s="371"/>
      <c r="D86" s="371"/>
      <c r="E86" s="371"/>
      <c r="F86" s="371"/>
      <c r="G86" s="371"/>
      <c r="H86" s="371"/>
      <c r="I86" s="371"/>
      <c r="J86" s="371"/>
      <c r="K86" s="371"/>
      <c r="L86" s="371"/>
      <c r="M86" s="371"/>
    </row>
    <row r="87" spans="1:13" ht="12.75" hidden="1" customHeight="1" x14ac:dyDescent="0.2">
      <c r="A87" s="371"/>
      <c r="B87" s="371"/>
      <c r="C87" s="371"/>
      <c r="D87" s="371"/>
      <c r="E87" s="371"/>
      <c r="F87" s="371"/>
      <c r="G87" s="371"/>
      <c r="H87" s="371"/>
      <c r="I87" s="371"/>
      <c r="J87" s="371"/>
      <c r="K87" s="371"/>
      <c r="L87" s="371"/>
      <c r="M87" s="371"/>
    </row>
    <row r="88" spans="1:13" x14ac:dyDescent="0.2">
      <c r="A88" s="34"/>
    </row>
    <row r="89" spans="1:13" x14ac:dyDescent="0.2">
      <c r="A89" s="34" t="s">
        <v>65</v>
      </c>
    </row>
    <row r="90" spans="1:13" ht="8.1" customHeight="1" x14ac:dyDescent="0.2"/>
    <row r="91" spans="1:13" x14ac:dyDescent="0.2">
      <c r="A91" s="369" t="s">
        <v>87</v>
      </c>
      <c r="B91" s="369"/>
      <c r="C91" s="369"/>
      <c r="D91" s="369"/>
      <c r="E91" s="369"/>
      <c r="F91" s="369"/>
      <c r="G91" s="369"/>
      <c r="H91" s="369"/>
      <c r="I91" s="369"/>
      <c r="J91" s="369"/>
      <c r="K91" s="369"/>
      <c r="L91" s="369"/>
      <c r="M91" s="369"/>
    </row>
    <row r="92" spans="1:13" x14ac:dyDescent="0.2">
      <c r="A92" s="369"/>
      <c r="B92" s="369"/>
      <c r="C92" s="369"/>
      <c r="D92" s="369"/>
      <c r="E92" s="369"/>
      <c r="F92" s="369"/>
      <c r="G92" s="369"/>
      <c r="H92" s="369"/>
      <c r="I92" s="369"/>
      <c r="J92" s="369"/>
      <c r="K92" s="369"/>
      <c r="L92" s="369"/>
      <c r="M92" s="369"/>
    </row>
    <row r="93" spans="1:13" x14ac:dyDescent="0.2">
      <c r="A93" s="369"/>
      <c r="B93" s="369"/>
      <c r="C93" s="369"/>
      <c r="D93" s="369"/>
      <c r="E93" s="369"/>
      <c r="F93" s="369"/>
      <c r="G93" s="369"/>
      <c r="H93" s="369"/>
      <c r="I93" s="369"/>
      <c r="J93" s="369"/>
      <c r="K93" s="369"/>
      <c r="L93" s="369"/>
      <c r="M93" s="369"/>
    </row>
    <row r="94" spans="1:13" x14ac:dyDescent="0.2">
      <c r="A94" s="46" t="s">
        <v>85</v>
      </c>
      <c r="B94" s="46"/>
      <c r="C94" s="46"/>
      <c r="D94" s="46"/>
      <c r="E94" s="46"/>
      <c r="F94" s="46"/>
      <c r="G94" s="46"/>
      <c r="H94" s="46"/>
      <c r="I94" s="46"/>
      <c r="J94" s="46"/>
      <c r="K94" s="46"/>
      <c r="L94" s="46"/>
      <c r="M94" s="46"/>
    </row>
    <row r="95" spans="1:13" x14ac:dyDescent="0.2">
      <c r="A95" s="46"/>
      <c r="B95" s="46"/>
      <c r="C95" s="46"/>
      <c r="D95" s="46"/>
      <c r="E95" s="46"/>
      <c r="F95" s="46"/>
      <c r="G95" s="46"/>
      <c r="H95" s="46"/>
      <c r="I95" s="46"/>
      <c r="J95" s="46"/>
      <c r="K95" s="46"/>
      <c r="L95" s="46"/>
      <c r="M95" s="46"/>
    </row>
    <row r="97" spans="1:10" ht="15" x14ac:dyDescent="0.2">
      <c r="A97" s="47" t="s">
        <v>68</v>
      </c>
    </row>
    <row r="99" spans="1:10" x14ac:dyDescent="0.2">
      <c r="A99" s="193" t="s">
        <v>565</v>
      </c>
    </row>
    <row r="100" spans="1:10" ht="17.45" customHeight="1" x14ac:dyDescent="0.2">
      <c r="A100" s="357" t="s">
        <v>566</v>
      </c>
      <c r="B100" s="89"/>
    </row>
    <row r="101" spans="1:10" ht="17.45" customHeight="1" x14ac:dyDescent="0.2">
      <c r="A101" s="357" t="s">
        <v>567</v>
      </c>
    </row>
    <row r="102" spans="1:10" ht="17.45" customHeight="1" x14ac:dyDescent="0.2">
      <c r="A102" s="357" t="s">
        <v>568</v>
      </c>
    </row>
    <row r="103" spans="1:10" ht="17.45" customHeight="1" x14ac:dyDescent="0.2">
      <c r="A103" s="357" t="s">
        <v>569</v>
      </c>
    </row>
    <row r="104" spans="1:10" ht="17.45" customHeight="1" x14ac:dyDescent="0.2">
      <c r="A104" s="357" t="s">
        <v>570</v>
      </c>
    </row>
    <row r="105" spans="1:10" ht="17.45" customHeight="1" x14ac:dyDescent="0.2">
      <c r="A105" s="357"/>
    </row>
    <row r="106" spans="1:10" x14ac:dyDescent="0.2">
      <c r="A106" s="193" t="s">
        <v>571</v>
      </c>
    </row>
    <row r="108" spans="1:10" ht="18" customHeight="1" x14ac:dyDescent="0.2">
      <c r="A108" s="363" t="s">
        <v>69</v>
      </c>
      <c r="B108" s="363"/>
      <c r="D108" s="364" t="s">
        <v>70</v>
      </c>
      <c r="E108" s="364"/>
      <c r="G108" s="364" t="s">
        <v>71</v>
      </c>
      <c r="H108" s="364"/>
      <c r="J108" s="90" t="s">
        <v>72</v>
      </c>
    </row>
    <row r="109" spans="1:10" ht="18" customHeight="1" x14ac:dyDescent="0.2">
      <c r="A109" s="365" t="s">
        <v>73</v>
      </c>
      <c r="B109" s="366"/>
      <c r="D109" s="365" t="s">
        <v>76</v>
      </c>
      <c r="E109" s="366"/>
      <c r="G109" s="365" t="s">
        <v>76</v>
      </c>
      <c r="H109" s="366"/>
      <c r="J109" s="91">
        <v>0.2</v>
      </c>
    </row>
    <row r="110" spans="1:10" ht="18" customHeight="1" x14ac:dyDescent="0.2">
      <c r="A110" s="367" t="s">
        <v>230</v>
      </c>
      <c r="B110" s="366"/>
      <c r="D110" s="365" t="s">
        <v>76</v>
      </c>
      <c r="E110" s="366"/>
      <c r="G110" s="365" t="s">
        <v>76</v>
      </c>
      <c r="H110" s="366"/>
      <c r="J110" s="91">
        <v>0.17</v>
      </c>
    </row>
    <row r="111" spans="1:10" ht="18" customHeight="1" x14ac:dyDescent="0.2">
      <c r="A111" s="365" t="s">
        <v>75</v>
      </c>
      <c r="B111" s="366"/>
      <c r="D111" s="365" t="s">
        <v>77</v>
      </c>
      <c r="E111" s="366"/>
      <c r="G111" s="365" t="s">
        <v>76</v>
      </c>
      <c r="H111" s="366"/>
      <c r="J111" s="91">
        <v>0.7</v>
      </c>
    </row>
    <row r="113" spans="1:13" x14ac:dyDescent="0.2">
      <c r="A113" s="35" t="s">
        <v>78</v>
      </c>
    </row>
    <row r="115" spans="1:13" x14ac:dyDescent="0.2">
      <c r="A115" s="361" t="s">
        <v>907</v>
      </c>
      <c r="B115" s="362"/>
      <c r="C115" s="362"/>
      <c r="D115" s="362"/>
      <c r="E115" s="362"/>
      <c r="F115" s="362"/>
      <c r="G115" s="362"/>
      <c r="H115" s="362"/>
      <c r="I115" s="362"/>
      <c r="J115" s="362"/>
      <c r="K115" s="362"/>
      <c r="L115" s="362"/>
      <c r="M115" s="362"/>
    </row>
    <row r="116" spans="1:13" x14ac:dyDescent="0.2">
      <c r="A116" s="362"/>
      <c r="B116" s="362"/>
      <c r="C116" s="362"/>
      <c r="D116" s="362"/>
      <c r="E116" s="362"/>
      <c r="F116" s="362"/>
      <c r="G116" s="362"/>
      <c r="H116" s="362"/>
      <c r="I116" s="362"/>
      <c r="J116" s="362"/>
      <c r="K116" s="362"/>
      <c r="L116" s="362"/>
      <c r="M116" s="362"/>
    </row>
    <row r="136" spans="1:13" ht="12.75" customHeight="1" x14ac:dyDescent="0.2">
      <c r="A136" s="92"/>
      <c r="B136" s="92"/>
      <c r="C136" s="92"/>
      <c r="D136" s="92"/>
      <c r="E136" s="92"/>
      <c r="F136" s="92"/>
      <c r="G136" s="92"/>
      <c r="H136" s="92"/>
      <c r="I136" s="92"/>
      <c r="J136" s="92"/>
      <c r="K136" s="92"/>
      <c r="L136" s="92"/>
      <c r="M136" s="92"/>
    </row>
    <row r="137" spans="1:13" x14ac:dyDescent="0.2">
      <c r="A137" s="92"/>
      <c r="B137" s="92"/>
      <c r="C137" s="92"/>
      <c r="D137" s="92"/>
      <c r="E137" s="92"/>
      <c r="F137" s="92"/>
      <c r="G137" s="92"/>
      <c r="H137" s="92"/>
      <c r="I137" s="92"/>
      <c r="J137" s="92"/>
      <c r="K137" s="92"/>
      <c r="L137" s="92"/>
      <c r="M137" s="92"/>
    </row>
    <row r="138" spans="1:13" x14ac:dyDescent="0.2">
      <c r="A138" s="92"/>
      <c r="B138" s="92"/>
      <c r="C138" s="92"/>
      <c r="D138" s="92"/>
      <c r="E138" s="92"/>
      <c r="F138" s="92"/>
      <c r="G138" s="92"/>
      <c r="H138" s="92"/>
      <c r="I138" s="92"/>
      <c r="J138" s="92"/>
      <c r="K138" s="92"/>
      <c r="L138" s="92"/>
      <c r="M138" s="92"/>
    </row>
    <row r="139" spans="1:13" x14ac:dyDescent="0.2">
      <c r="A139" s="372" t="s">
        <v>79</v>
      </c>
      <c r="B139" s="372"/>
      <c r="C139" s="372"/>
      <c r="D139" s="372"/>
      <c r="E139" s="372"/>
      <c r="F139" s="372"/>
      <c r="G139" s="372"/>
      <c r="H139" s="372"/>
      <c r="I139" s="372"/>
      <c r="J139" s="372"/>
      <c r="K139" s="372"/>
      <c r="L139" s="372"/>
      <c r="M139" s="372"/>
    </row>
    <row r="140" spans="1:13" x14ac:dyDescent="0.2">
      <c r="A140" s="372"/>
      <c r="B140" s="372"/>
      <c r="C140" s="372"/>
      <c r="D140" s="372"/>
      <c r="E140" s="372"/>
      <c r="F140" s="372"/>
      <c r="G140" s="372"/>
      <c r="H140" s="372"/>
      <c r="I140" s="372"/>
      <c r="J140" s="372"/>
      <c r="K140" s="372"/>
      <c r="L140" s="372"/>
      <c r="M140" s="372"/>
    </row>
    <row r="141" spans="1:13" x14ac:dyDescent="0.2">
      <c r="A141" s="372"/>
      <c r="B141" s="372"/>
      <c r="C141" s="372"/>
      <c r="D141" s="372"/>
      <c r="E141" s="372"/>
      <c r="F141" s="372"/>
      <c r="G141" s="372"/>
      <c r="H141" s="372"/>
      <c r="I141" s="372"/>
      <c r="J141" s="372"/>
      <c r="K141" s="372"/>
      <c r="L141" s="372"/>
      <c r="M141" s="372"/>
    </row>
    <row r="142" spans="1:13" x14ac:dyDescent="0.2">
      <c r="B142" s="193" t="s">
        <v>44</v>
      </c>
    </row>
    <row r="144" spans="1:13" x14ac:dyDescent="0.2">
      <c r="D144" s="157" t="s">
        <v>906</v>
      </c>
    </row>
    <row r="152" spans="3:8" x14ac:dyDescent="0.2">
      <c r="C152" s="157" t="s">
        <v>904</v>
      </c>
      <c r="H152" s="193" t="s">
        <v>905</v>
      </c>
    </row>
    <row r="168" spans="1:3" ht="14.25" x14ac:dyDescent="0.2">
      <c r="C168" s="8"/>
    </row>
    <row r="169" spans="1:3" ht="14.25" x14ac:dyDescent="0.2">
      <c r="C169" s="8"/>
    </row>
    <row r="173" spans="1:3" ht="15" x14ac:dyDescent="0.2">
      <c r="A173" s="41" t="s">
        <v>572</v>
      </c>
      <c r="B173" s="7"/>
    </row>
    <row r="174" spans="1:3" ht="15.75" x14ac:dyDescent="0.2">
      <c r="A174" s="31"/>
      <c r="B174" s="7"/>
    </row>
    <row r="175" spans="1:3" x14ac:dyDescent="0.2">
      <c r="A175" s="157" t="s">
        <v>574</v>
      </c>
    </row>
    <row r="177" spans="1:1" ht="15.75" x14ac:dyDescent="0.3">
      <c r="A177" s="157" t="s">
        <v>894</v>
      </c>
    </row>
    <row r="178" spans="1:1" x14ac:dyDescent="0.2">
      <c r="A178" s="157" t="s">
        <v>696</v>
      </c>
    </row>
    <row r="179" spans="1:1" x14ac:dyDescent="0.2">
      <c r="A179" s="157" t="s">
        <v>559</v>
      </c>
    </row>
    <row r="180" spans="1:1" x14ac:dyDescent="0.2">
      <c r="A180" s="179" t="s">
        <v>637</v>
      </c>
    </row>
    <row r="181" spans="1:1" x14ac:dyDescent="0.2">
      <c r="A181" s="157" t="s">
        <v>560</v>
      </c>
    </row>
  </sheetData>
  <mergeCells count="34">
    <mergeCell ref="A139:M141"/>
    <mergeCell ref="A5:M5"/>
    <mergeCell ref="A43:M46"/>
    <mergeCell ref="B1:M1"/>
    <mergeCell ref="B2:M2"/>
    <mergeCell ref="B3:M3"/>
    <mergeCell ref="D14:M15"/>
    <mergeCell ref="A14:B15"/>
    <mergeCell ref="A59:M61"/>
    <mergeCell ref="D17:M18"/>
    <mergeCell ref="A17:B18"/>
    <mergeCell ref="D20:M21"/>
    <mergeCell ref="A20:B21"/>
    <mergeCell ref="A48:M49"/>
    <mergeCell ref="A53:M54"/>
    <mergeCell ref="D25:M26"/>
    <mergeCell ref="A28:M29"/>
    <mergeCell ref="A72:M73"/>
    <mergeCell ref="A63:M68"/>
    <mergeCell ref="G110:H110"/>
    <mergeCell ref="A86:M87"/>
    <mergeCell ref="A91:M93"/>
    <mergeCell ref="D109:E109"/>
    <mergeCell ref="D110:E110"/>
    <mergeCell ref="G109:H109"/>
    <mergeCell ref="A115:M116"/>
    <mergeCell ref="A108:B108"/>
    <mergeCell ref="D108:E108"/>
    <mergeCell ref="G108:H108"/>
    <mergeCell ref="A109:B109"/>
    <mergeCell ref="A110:B110"/>
    <mergeCell ref="A111:B111"/>
    <mergeCell ref="D111:E111"/>
    <mergeCell ref="G111:H111"/>
  </mergeCells>
  <phoneticPr fontId="21" type="noConversion"/>
  <hyperlinks>
    <hyperlink ref="A180" r:id="rId1" xr:uid="{00000000-0004-0000-0000-000000000000}"/>
  </hyperlinks>
  <pageMargins left="0.7" right="0.7" top="0.75" bottom="0.75" header="0.3" footer="0.3"/>
  <pageSetup scale="75" orientation="portrait" r:id="rId2"/>
  <headerFooter alignWithMargins="0"/>
  <rowBreaks count="1" manualBreakCount="1">
    <brk id="65"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
  <sheetViews>
    <sheetView topLeftCell="A7"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F83"/>
  <sheetViews>
    <sheetView showGridLines="0" zoomScale="70" zoomScaleNormal="70" zoomScaleSheetLayoutView="100" workbookViewId="0">
      <selection activeCell="F20" sqref="F20:I20"/>
    </sheetView>
  </sheetViews>
  <sheetFormatPr defaultColWidth="9.140625" defaultRowHeight="12.75" customHeight="1" zeroHeight="1" x14ac:dyDescent="0.2"/>
  <cols>
    <col min="1" max="1" width="2.7109375" style="118" customWidth="1"/>
    <col min="2" max="2" width="23.7109375" style="118" customWidth="1"/>
    <col min="3" max="3" width="3.140625" style="118" customWidth="1"/>
    <col min="4" max="5" width="21.7109375" style="118" customWidth="1"/>
    <col min="6" max="7" width="15.7109375" style="118" customWidth="1"/>
    <col min="8" max="8" width="3.7109375" style="118" customWidth="1"/>
    <col min="9" max="9" width="15.140625" style="118" customWidth="1"/>
    <col min="10" max="10" width="2.28515625" style="118" customWidth="1"/>
    <col min="11" max="11" width="14" style="118" customWidth="1"/>
    <col min="12" max="12" width="2.7109375" style="118" customWidth="1"/>
    <col min="13" max="13" width="8.85546875" style="118" customWidth="1"/>
    <col min="14" max="14" width="2.28515625" style="118" customWidth="1"/>
    <col min="15" max="15" width="8.85546875" style="118" customWidth="1"/>
    <col min="16" max="16" width="2.28515625" style="118" customWidth="1"/>
    <col min="17" max="17" width="8.85546875" style="118" customWidth="1"/>
    <col min="18" max="18" width="2.5703125" style="118" customWidth="1"/>
    <col min="19" max="19" width="15.42578125" style="118" customWidth="1"/>
    <col min="20" max="20" width="2.42578125" style="118" customWidth="1"/>
    <col min="21" max="21" width="9.140625" style="118" customWidth="1"/>
    <col min="22" max="22" width="9.28515625" style="118" customWidth="1"/>
    <col min="23" max="23" width="4" style="118" customWidth="1"/>
    <col min="24" max="24" width="5.85546875" style="118" customWidth="1"/>
    <col min="25" max="25" width="3.28515625" style="118" hidden="1" customWidth="1"/>
    <col min="26" max="32" width="9.140625" style="118" hidden="1" customWidth="1"/>
    <col min="33" max="16384" width="9.140625" style="118"/>
  </cols>
  <sheetData>
    <row r="1" spans="1:31" ht="14.25" x14ac:dyDescent="0.2">
      <c r="B1" s="199"/>
      <c r="C1" s="199"/>
      <c r="D1" s="199"/>
      <c r="E1" s="199"/>
      <c r="F1" s="199"/>
      <c r="G1" s="199"/>
      <c r="H1" s="199"/>
      <c r="I1" s="199"/>
      <c r="J1" s="199"/>
      <c r="K1" s="199"/>
      <c r="L1" s="199"/>
      <c r="M1" s="199"/>
      <c r="N1" s="199"/>
      <c r="O1" s="199"/>
      <c r="P1" s="199"/>
      <c r="Q1" s="199"/>
      <c r="R1" s="199"/>
      <c r="S1" s="199"/>
      <c r="T1" s="199"/>
      <c r="Z1" s="36" t="s">
        <v>36</v>
      </c>
      <c r="AA1" s="36"/>
      <c r="AB1" s="36"/>
      <c r="AC1" s="36"/>
    </row>
    <row r="2" spans="1:31" ht="14.25" x14ac:dyDescent="0.2">
      <c r="B2" s="199"/>
      <c r="C2" s="199"/>
      <c r="D2" s="199"/>
      <c r="E2" s="199"/>
      <c r="F2" s="199"/>
      <c r="G2" s="199"/>
      <c r="H2" s="199"/>
      <c r="I2" s="199"/>
      <c r="J2" s="199"/>
      <c r="K2" s="199"/>
      <c r="L2" s="199"/>
      <c r="M2" s="199"/>
      <c r="N2" s="199"/>
      <c r="O2" s="199"/>
      <c r="P2" s="199"/>
      <c r="Q2" s="199"/>
      <c r="R2" s="199"/>
      <c r="S2" s="199"/>
      <c r="T2" s="199"/>
      <c r="Z2" s="36"/>
      <c r="AA2" s="36"/>
      <c r="AB2" s="36"/>
      <c r="AC2" s="36"/>
    </row>
    <row r="3" spans="1:31" ht="20.25" customHeight="1" x14ac:dyDescent="0.3">
      <c r="B3" s="381" t="s">
        <v>0</v>
      </c>
      <c r="C3" s="381"/>
      <c r="D3" s="382"/>
      <c r="E3" s="382"/>
      <c r="F3" s="382"/>
      <c r="G3" s="382"/>
      <c r="H3" s="382"/>
      <c r="I3" s="382"/>
      <c r="J3" s="382"/>
      <c r="K3" s="382"/>
      <c r="L3" s="382"/>
      <c r="M3" s="382"/>
      <c r="N3" s="382"/>
      <c r="O3" s="382"/>
      <c r="P3" s="382"/>
      <c r="Q3" s="382"/>
      <c r="R3" s="382"/>
      <c r="S3" s="382"/>
      <c r="T3" s="199"/>
      <c r="Z3" s="36" t="s">
        <v>33</v>
      </c>
      <c r="AA3" s="36" t="s">
        <v>34</v>
      </c>
      <c r="AB3" s="36" t="s">
        <v>35</v>
      </c>
      <c r="AC3" s="36" t="s">
        <v>28</v>
      </c>
      <c r="AD3" s="141" t="s">
        <v>318</v>
      </c>
      <c r="AE3" s="118" t="s">
        <v>333</v>
      </c>
    </row>
    <row r="4" spans="1:31" ht="20.25" x14ac:dyDescent="0.3">
      <c r="B4" s="381" t="s">
        <v>46</v>
      </c>
      <c r="C4" s="381"/>
      <c r="D4" s="382"/>
      <c r="E4" s="382"/>
      <c r="F4" s="382"/>
      <c r="G4" s="382"/>
      <c r="H4" s="382"/>
      <c r="I4" s="382"/>
      <c r="J4" s="382"/>
      <c r="K4" s="382"/>
      <c r="L4" s="382"/>
      <c r="M4" s="382"/>
      <c r="N4" s="382"/>
      <c r="O4" s="382"/>
      <c r="P4" s="382"/>
      <c r="Q4" s="382"/>
      <c r="R4" s="382"/>
      <c r="S4" s="382"/>
      <c r="T4" s="199"/>
      <c r="Z4" s="36">
        <v>1</v>
      </c>
      <c r="AA4" s="36">
        <v>4</v>
      </c>
      <c r="AB4" s="36">
        <f>IF(D20="urban",1,IF(D20="Rural",2,""))</f>
        <v>1</v>
      </c>
      <c r="AC4" s="36">
        <f>IF(F20="interstate",1,IF(F20="off system",3,2))</f>
        <v>2</v>
      </c>
      <c r="AD4" s="143" t="e">
        <f>MAX(#REF!)</f>
        <v>#REF!</v>
      </c>
      <c r="AE4" s="118">
        <v>0.05</v>
      </c>
    </row>
    <row r="5" spans="1:31" ht="18" x14ac:dyDescent="0.25">
      <c r="B5" s="383" t="s">
        <v>22</v>
      </c>
      <c r="C5" s="383"/>
      <c r="D5" s="384"/>
      <c r="E5" s="384"/>
      <c r="F5" s="384"/>
      <c r="G5" s="384"/>
      <c r="H5" s="384"/>
      <c r="I5" s="384"/>
      <c r="J5" s="384"/>
      <c r="K5" s="384"/>
      <c r="L5" s="384"/>
      <c r="M5" s="384"/>
      <c r="N5" s="384"/>
      <c r="O5" s="384"/>
      <c r="P5" s="384"/>
      <c r="Q5" s="384"/>
      <c r="R5" s="384"/>
      <c r="S5" s="384"/>
      <c r="T5" s="201"/>
    </row>
    <row r="6" spans="1:31" ht="18" x14ac:dyDescent="0.25">
      <c r="B6" s="200"/>
      <c r="C6" s="200"/>
      <c r="D6" s="201"/>
      <c r="E6" s="201"/>
      <c r="F6" s="201"/>
      <c r="G6" s="201"/>
      <c r="H6" s="201"/>
      <c r="I6" s="201"/>
      <c r="J6" s="201"/>
      <c r="K6" s="201"/>
      <c r="L6" s="201"/>
      <c r="M6" s="201"/>
      <c r="N6" s="201"/>
      <c r="O6" s="201"/>
      <c r="P6" s="201"/>
      <c r="Q6" s="201"/>
      <c r="R6" s="201"/>
      <c r="S6" s="201"/>
      <c r="T6" s="201"/>
    </row>
    <row r="7" spans="1:31" ht="10.5" customHeight="1" x14ac:dyDescent="0.25">
      <c r="B7" s="119"/>
      <c r="C7" s="119"/>
      <c r="D7" s="199"/>
      <c r="E7" s="199"/>
      <c r="F7" s="199"/>
      <c r="G7" s="199"/>
      <c r="H7" s="199"/>
      <c r="I7" s="199"/>
      <c r="J7" s="199"/>
      <c r="K7" s="199"/>
      <c r="L7" s="199"/>
      <c r="M7" s="199"/>
      <c r="N7" s="199"/>
      <c r="O7" s="199"/>
      <c r="P7" s="199"/>
      <c r="Q7" s="199"/>
      <c r="R7" s="199"/>
      <c r="S7" s="199"/>
      <c r="T7" s="199"/>
    </row>
    <row r="8" spans="1:31" ht="12" customHeight="1" x14ac:dyDescent="0.2">
      <c r="B8" s="120"/>
      <c r="C8" s="120"/>
      <c r="D8" s="120"/>
      <c r="E8" s="120"/>
      <c r="F8" s="120"/>
      <c r="G8" s="120"/>
      <c r="H8" s="120"/>
      <c r="I8" s="120"/>
      <c r="J8" s="120"/>
      <c r="K8" s="120"/>
      <c r="L8" s="120"/>
      <c r="M8" s="120"/>
      <c r="N8" s="120"/>
      <c r="O8" s="120"/>
      <c r="P8" s="120"/>
      <c r="Q8" s="120"/>
      <c r="R8" s="120"/>
      <c r="S8" s="120"/>
      <c r="T8" s="120"/>
    </row>
    <row r="9" spans="1:31" ht="12" customHeight="1" x14ac:dyDescent="0.2">
      <c r="B9" s="121"/>
      <c r="C9" s="121"/>
      <c r="D9" s="121"/>
      <c r="E9" s="121"/>
      <c r="F9" s="121"/>
      <c r="G9" s="121"/>
      <c r="H9" s="121"/>
      <c r="I9" s="121"/>
      <c r="J9" s="121"/>
      <c r="K9" s="121"/>
      <c r="L9" s="121"/>
      <c r="M9" s="121"/>
      <c r="N9" s="121"/>
      <c r="O9" s="121"/>
      <c r="P9" s="121"/>
      <c r="Q9" s="121"/>
      <c r="R9" s="121"/>
      <c r="S9" s="121"/>
      <c r="T9" s="121"/>
    </row>
    <row r="10" spans="1:31" s="36" customFormat="1" ht="22.5" customHeight="1" x14ac:dyDescent="0.2">
      <c r="B10" s="122" t="s">
        <v>12</v>
      </c>
      <c r="C10" s="122"/>
      <c r="D10" s="385"/>
      <c r="E10" s="385"/>
      <c r="F10" s="385"/>
      <c r="G10" s="385"/>
      <c r="H10" s="385"/>
      <c r="I10" s="385"/>
      <c r="J10" s="160"/>
      <c r="M10" s="123" t="s">
        <v>324</v>
      </c>
      <c r="N10" s="386"/>
      <c r="O10" s="386"/>
      <c r="P10" s="386"/>
      <c r="Q10" s="123"/>
      <c r="R10" s="123" t="s">
        <v>1</v>
      </c>
      <c r="S10" s="168"/>
      <c r="T10" s="15"/>
    </row>
    <row r="11" spans="1:31" s="36" customFormat="1" ht="10.5" customHeight="1" x14ac:dyDescent="0.2">
      <c r="B11" s="122"/>
      <c r="C11" s="122"/>
      <c r="D11" s="160"/>
      <c r="E11" s="160"/>
      <c r="F11" s="160"/>
      <c r="G11" s="160"/>
      <c r="H11" s="160"/>
      <c r="I11" s="160"/>
      <c r="J11" s="160"/>
      <c r="K11" s="123"/>
      <c r="L11" s="123"/>
      <c r="M11" s="161"/>
      <c r="N11" s="161"/>
      <c r="O11" s="161"/>
      <c r="P11" s="161"/>
      <c r="Q11" s="161"/>
      <c r="R11" s="124"/>
      <c r="S11" s="162"/>
      <c r="T11" s="15"/>
    </row>
    <row r="12" spans="1:31" s="36" customFormat="1" ht="22.5" customHeight="1" x14ac:dyDescent="0.2">
      <c r="A12" s="190"/>
      <c r="B12" s="125" t="s">
        <v>23</v>
      </c>
      <c r="C12" s="125"/>
      <c r="D12" s="163"/>
      <c r="E12" s="163"/>
      <c r="F12" s="126"/>
      <c r="G12" s="126"/>
      <c r="H12" s="126"/>
      <c r="I12" s="126"/>
      <c r="J12" s="126"/>
      <c r="K12" s="126"/>
      <c r="L12" s="126"/>
      <c r="M12" s="163"/>
      <c r="N12" s="163"/>
      <c r="O12" s="163"/>
      <c r="P12" s="163"/>
      <c r="Q12" s="163"/>
      <c r="R12" s="163"/>
      <c r="S12" s="163"/>
      <c r="T12" s="20"/>
    </row>
    <row r="13" spans="1:31" s="36" customFormat="1" ht="22.5" customHeight="1" x14ac:dyDescent="0.2">
      <c r="A13" s="191"/>
      <c r="B13" s="26" t="s">
        <v>13</v>
      </c>
      <c r="C13" s="26"/>
      <c r="D13" s="387" t="s">
        <v>545</v>
      </c>
      <c r="E13" s="387"/>
      <c r="F13" s="203" t="s">
        <v>576</v>
      </c>
      <c r="G13" s="387" t="s">
        <v>545</v>
      </c>
      <c r="H13" s="387"/>
      <c r="I13" s="387"/>
      <c r="J13" s="160"/>
      <c r="M13" s="123" t="s">
        <v>575</v>
      </c>
      <c r="N13" s="387" t="s">
        <v>545</v>
      </c>
      <c r="O13" s="387"/>
      <c r="P13" s="387"/>
      <c r="Q13" s="387"/>
      <c r="R13" s="387"/>
      <c r="S13" s="387"/>
      <c r="T13" s="28"/>
    </row>
    <row r="14" spans="1:31" s="36" customFormat="1" ht="11.25" customHeight="1" x14ac:dyDescent="0.2">
      <c r="A14" s="192"/>
      <c r="B14" s="127"/>
      <c r="C14" s="127"/>
      <c r="D14" s="164"/>
      <c r="E14" s="128"/>
      <c r="F14" s="164"/>
      <c r="G14" s="164"/>
      <c r="H14" s="164"/>
      <c r="I14" s="164"/>
      <c r="J14" s="164"/>
      <c r="K14" s="129"/>
      <c r="L14" s="129"/>
      <c r="M14" s="130"/>
      <c r="N14" s="130"/>
      <c r="O14" s="130"/>
      <c r="P14" s="130"/>
      <c r="Q14" s="130"/>
      <c r="R14" s="165"/>
      <c r="S14" s="165"/>
      <c r="T14" s="19"/>
    </row>
    <row r="15" spans="1:31" s="36" customFormat="1" ht="10.5" customHeight="1" x14ac:dyDescent="0.2">
      <c r="B15" s="26"/>
      <c r="C15" s="26"/>
      <c r="D15" s="160"/>
      <c r="E15" s="160"/>
      <c r="F15" s="164"/>
      <c r="G15" s="164"/>
      <c r="H15" s="164"/>
      <c r="I15" s="164"/>
      <c r="J15" s="160"/>
      <c r="M15" s="123"/>
      <c r="N15" s="123"/>
      <c r="O15" s="123"/>
      <c r="P15" s="123"/>
      <c r="Q15" s="123"/>
      <c r="R15" s="166"/>
      <c r="S15" s="166"/>
      <c r="T15" s="22"/>
    </row>
    <row r="16" spans="1:31" s="36" customFormat="1" ht="22.5" customHeight="1" x14ac:dyDescent="0.2">
      <c r="A16" s="190"/>
      <c r="B16" s="125" t="s">
        <v>16</v>
      </c>
      <c r="C16" s="125"/>
      <c r="D16" s="163"/>
      <c r="E16" s="163"/>
      <c r="F16" s="126"/>
      <c r="G16" s="126"/>
      <c r="H16" s="126"/>
      <c r="I16" s="126"/>
      <c r="J16" s="126"/>
      <c r="K16" s="126"/>
      <c r="L16" s="126"/>
      <c r="M16" s="163"/>
      <c r="N16" s="163"/>
      <c r="O16" s="163"/>
      <c r="P16" s="163"/>
      <c r="Q16" s="163"/>
      <c r="R16" s="163"/>
      <c r="S16" s="163"/>
      <c r="T16" s="20"/>
    </row>
    <row r="17" spans="1:20" s="36" customFormat="1" ht="22.5" customHeight="1" x14ac:dyDescent="0.2">
      <c r="A17" s="191"/>
      <c r="B17" s="26" t="s">
        <v>607</v>
      </c>
      <c r="C17" s="26"/>
      <c r="D17" s="210" t="s">
        <v>545</v>
      </c>
      <c r="E17" s="123" t="s">
        <v>604</v>
      </c>
      <c r="F17" s="226"/>
      <c r="G17" s="123" t="s">
        <v>605</v>
      </c>
      <c r="H17" s="393" t="s">
        <v>545</v>
      </c>
      <c r="I17" s="393"/>
      <c r="J17" s="393"/>
      <c r="K17" s="393"/>
      <c r="M17" s="123" t="s">
        <v>21</v>
      </c>
      <c r="N17" s="389"/>
      <c r="O17" s="389"/>
      <c r="P17" s="389"/>
      <c r="Q17" s="123"/>
      <c r="R17" s="123" t="s">
        <v>325</v>
      </c>
      <c r="S17" s="202"/>
      <c r="T17" s="28"/>
    </row>
    <row r="18" spans="1:20" s="36" customFormat="1" ht="7.5" customHeight="1" x14ac:dyDescent="0.2">
      <c r="A18" s="192"/>
      <c r="B18" s="127"/>
      <c r="C18" s="127"/>
      <c r="D18" s="164"/>
      <c r="E18" s="128"/>
      <c r="F18" s="164"/>
      <c r="G18" s="164"/>
      <c r="H18" s="164"/>
      <c r="I18" s="164"/>
      <c r="J18" s="164"/>
      <c r="K18" s="130"/>
      <c r="L18" s="130"/>
      <c r="M18" s="165"/>
      <c r="N18" s="165"/>
      <c r="O18" s="165"/>
      <c r="P18" s="165"/>
      <c r="Q18" s="165"/>
      <c r="R18" s="131"/>
      <c r="S18" s="165"/>
      <c r="T18" s="19"/>
    </row>
    <row r="19" spans="1:20" s="36" customFormat="1" ht="10.5" customHeight="1" x14ac:dyDescent="0.2">
      <c r="B19" s="26"/>
      <c r="C19" s="26"/>
      <c r="D19" s="160"/>
      <c r="E19" s="160"/>
      <c r="F19" s="160"/>
      <c r="G19" s="160"/>
      <c r="H19" s="160"/>
      <c r="I19" s="160"/>
      <c r="J19" s="160"/>
      <c r="M19" s="123"/>
      <c r="N19" s="123"/>
      <c r="O19" s="123"/>
      <c r="P19" s="123"/>
      <c r="Q19" s="123"/>
      <c r="R19" s="166"/>
      <c r="S19" s="166"/>
      <c r="T19" s="22"/>
    </row>
    <row r="20" spans="1:20" s="36" customFormat="1" ht="22.5" customHeight="1" x14ac:dyDescent="0.2">
      <c r="B20" s="26" t="s">
        <v>603</v>
      </c>
      <c r="C20" s="26"/>
      <c r="D20" s="159" t="s">
        <v>107</v>
      </c>
      <c r="E20" s="123" t="s">
        <v>606</v>
      </c>
      <c r="F20" s="390" t="s">
        <v>7</v>
      </c>
      <c r="G20" s="390"/>
      <c r="H20" s="390"/>
      <c r="I20" s="390"/>
      <c r="J20" s="166"/>
      <c r="K20" s="166"/>
      <c r="M20" s="123"/>
      <c r="N20" s="123"/>
      <c r="O20" s="123"/>
      <c r="P20" s="123"/>
      <c r="Q20" s="123" t="s">
        <v>680</v>
      </c>
      <c r="R20" s="166"/>
      <c r="S20" s="202"/>
      <c r="T20" s="22"/>
    </row>
    <row r="21" spans="1:20" s="36" customFormat="1" ht="10.5" customHeight="1" x14ac:dyDescent="0.2">
      <c r="B21" s="26"/>
      <c r="C21" s="26"/>
      <c r="D21" s="160"/>
      <c r="E21" s="160"/>
      <c r="F21" s="160"/>
      <c r="G21" s="160"/>
      <c r="H21" s="160"/>
      <c r="I21" s="160"/>
      <c r="J21" s="160"/>
      <c r="M21" s="123"/>
      <c r="N21" s="123"/>
      <c r="O21" s="123"/>
      <c r="P21" s="123"/>
      <c r="Q21" s="123"/>
      <c r="R21" s="166"/>
      <c r="S21" s="166"/>
      <c r="T21" s="22"/>
    </row>
    <row r="22" spans="1:20" s="36" customFormat="1" ht="22.5" customHeight="1" x14ac:dyDescent="0.2">
      <c r="B22" s="26" t="s">
        <v>602</v>
      </c>
      <c r="C22" s="26"/>
      <c r="D22" s="210" t="s">
        <v>545</v>
      </c>
      <c r="E22" s="123" t="s">
        <v>19</v>
      </c>
      <c r="F22" s="386"/>
      <c r="G22" s="386"/>
      <c r="H22" s="386"/>
      <c r="I22" s="386"/>
      <c r="J22" s="160"/>
      <c r="M22" s="123" t="s">
        <v>3</v>
      </c>
      <c r="N22" s="391">
        <v>42736</v>
      </c>
      <c r="O22" s="391"/>
      <c r="P22" s="391"/>
      <c r="Q22" s="123"/>
      <c r="R22" s="123" t="s">
        <v>325</v>
      </c>
      <c r="S22" s="211">
        <v>44561</v>
      </c>
      <c r="T22" s="25"/>
    </row>
    <row r="23" spans="1:20" ht="12" customHeight="1" x14ac:dyDescent="0.2">
      <c r="B23" s="121"/>
      <c r="C23" s="121"/>
      <c r="D23" s="121"/>
      <c r="E23" s="121"/>
      <c r="F23" s="121"/>
      <c r="G23" s="121"/>
      <c r="H23" s="121"/>
      <c r="I23" s="121"/>
      <c r="J23" s="121"/>
      <c r="K23" s="121"/>
      <c r="L23" s="121"/>
      <c r="M23" s="121"/>
      <c r="N23" s="121"/>
      <c r="O23" s="121"/>
      <c r="P23" s="121"/>
      <c r="Q23" s="121"/>
      <c r="R23" s="121"/>
      <c r="S23" s="121"/>
      <c r="T23" s="121"/>
    </row>
    <row r="24" spans="1:20" s="36" customFormat="1" ht="22.5" customHeight="1" x14ac:dyDescent="0.2">
      <c r="B24" s="36" t="s">
        <v>11</v>
      </c>
      <c r="D24" s="392"/>
      <c r="E24" s="392"/>
      <c r="F24" s="392"/>
      <c r="G24" s="392"/>
      <c r="H24" s="392"/>
      <c r="I24" s="392"/>
      <c r="J24" s="392"/>
      <c r="K24" s="392"/>
      <c r="L24" s="392"/>
      <c r="M24" s="392"/>
      <c r="N24" s="392"/>
      <c r="O24" s="392"/>
      <c r="P24" s="392"/>
      <c r="Q24" s="392"/>
      <c r="R24" s="392"/>
      <c r="S24" s="392"/>
      <c r="T24" s="26"/>
    </row>
    <row r="25" spans="1:20" s="36" customFormat="1" ht="10.5" customHeight="1" x14ac:dyDescent="0.2"/>
    <row r="26" spans="1:20" s="36" customFormat="1" ht="21" customHeight="1" x14ac:dyDescent="0.2">
      <c r="B26" s="26" t="s">
        <v>4</v>
      </c>
      <c r="C26" s="26"/>
      <c r="D26" s="388"/>
      <c r="E26" s="388"/>
      <c r="F26" s="388"/>
      <c r="H26" s="160"/>
      <c r="J26" s="123" t="s">
        <v>5</v>
      </c>
      <c r="K26" s="388"/>
      <c r="L26" s="388"/>
      <c r="M26" s="388"/>
      <c r="N26" s="388"/>
      <c r="O26" s="388"/>
      <c r="P26" s="388"/>
      <c r="Q26" s="388"/>
      <c r="R26" s="388"/>
      <c r="S26" s="388"/>
      <c r="T26" s="14"/>
    </row>
    <row r="27" spans="1:20" s="36" customFormat="1" ht="14.25" x14ac:dyDescent="0.2">
      <c r="A27" s="129"/>
      <c r="B27" s="129"/>
      <c r="C27" s="129"/>
      <c r="D27" s="129"/>
      <c r="E27" s="129"/>
      <c r="F27" s="129"/>
      <c r="G27" s="129"/>
      <c r="H27" s="129"/>
      <c r="I27" s="129"/>
      <c r="J27" s="129"/>
      <c r="K27" s="132" t="s">
        <v>44</v>
      </c>
      <c r="L27" s="132"/>
      <c r="M27" s="129"/>
      <c r="N27" s="129"/>
      <c r="O27" s="129"/>
      <c r="P27" s="129"/>
      <c r="Q27" s="129"/>
      <c r="R27" s="129"/>
      <c r="S27" s="132" t="s">
        <v>44</v>
      </c>
      <c r="T27" s="132"/>
    </row>
    <row r="28" spans="1:20" ht="27.75" customHeight="1" x14ac:dyDescent="0.2">
      <c r="F28" s="142"/>
      <c r="G28" s="142"/>
      <c r="H28" s="142"/>
      <c r="I28" s="142"/>
      <c r="J28" s="142"/>
      <c r="K28" s="142"/>
      <c r="L28" s="142"/>
      <c r="M28" s="142"/>
      <c r="N28" s="142"/>
      <c r="O28" s="142"/>
      <c r="P28" s="142"/>
      <c r="Q28" s="142"/>
      <c r="R28" s="142"/>
      <c r="S28" s="142"/>
    </row>
    <row r="29" spans="1:20" ht="12.75" hidden="1" customHeight="1" x14ac:dyDescent="0.2">
      <c r="B29" s="135" t="s">
        <v>56</v>
      </c>
      <c r="C29" s="136"/>
      <c r="D29" s="137"/>
      <c r="E29" s="138"/>
    </row>
    <row r="30" spans="1:20" x14ac:dyDescent="0.2"/>
    <row r="31" spans="1:20" ht="12.75" customHeight="1" x14ac:dyDescent="0.2"/>
    <row r="32" spans="1:2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sheetData>
  <sheetProtection sheet="1" objects="1" scenarios="1" selectLockedCells="1"/>
  <mergeCells count="16">
    <mergeCell ref="D13:E13"/>
    <mergeCell ref="G13:I13"/>
    <mergeCell ref="D26:F26"/>
    <mergeCell ref="K26:S26"/>
    <mergeCell ref="N17:P17"/>
    <mergeCell ref="F20:I20"/>
    <mergeCell ref="F22:I22"/>
    <mergeCell ref="N22:P22"/>
    <mergeCell ref="D24:S24"/>
    <mergeCell ref="H17:K17"/>
    <mergeCell ref="N13:S13"/>
    <mergeCell ref="B3:S3"/>
    <mergeCell ref="B4:S4"/>
    <mergeCell ref="B5:S5"/>
    <mergeCell ref="D10:I10"/>
    <mergeCell ref="N10:P10"/>
  </mergeCells>
  <dataValidations count="1">
    <dataValidation allowBlank="1" showInputMessage="1" showErrorMessage="1" promptTitle="Important" prompt="Enter data in MM/DD/YYYY format" sqref="N22:P22 S22" xr:uid="{00000000-0002-0000-0100-000000000000}"/>
  </dataValidations>
  <pageMargins left="0.7" right="0.2" top="0.75" bottom="0.5" header="0.05" footer="0.05"/>
  <pageSetup scale="50" orientation="portrait" r:id="rId1"/>
  <headerFooter alignWithMargins="0">
    <oddFooter>&amp;L&amp;F,&amp;A&amp;R&amp;D  &amp;T</oddFooter>
  </headerFooter>
  <drawing r:id="rId2"/>
  <legacyDrawing r:id="rId3"/>
  <controls>
    <mc:AlternateContent xmlns:mc="http://schemas.openxmlformats.org/markup-compatibility/2006">
      <mc:Choice Requires="x14">
        <control shapeId="7171" r:id="rId4" name="CommandButton4">
          <controlPr defaultSize="0" print="0" autoLine="0" r:id="rId5">
            <anchor moveWithCells="1" sizeWithCells="1">
              <from>
                <xdr:col>16</xdr:col>
                <xdr:colOff>514350</xdr:colOff>
                <xdr:row>3</xdr:row>
                <xdr:rowOff>95250</xdr:rowOff>
              </from>
              <to>
                <xdr:col>18</xdr:col>
                <xdr:colOff>533400</xdr:colOff>
                <xdr:row>4</xdr:row>
                <xdr:rowOff>161925</xdr:rowOff>
              </to>
            </anchor>
          </controlPr>
        </control>
      </mc:Choice>
      <mc:Fallback>
        <control shapeId="7171" r:id="rId4" name="CommandButton4"/>
      </mc:Fallback>
    </mc:AlternateContent>
    <mc:AlternateContent xmlns:mc="http://schemas.openxmlformats.org/markup-compatibility/2006">
      <mc:Choice Requires="x14">
        <control shapeId="7170" r:id="rId6" name="CommandButton3">
          <controlPr defaultSize="0" print="0" autoLine="0" r:id="rId7">
            <anchor moveWithCells="1" sizeWithCells="1">
              <from>
                <xdr:col>14</xdr:col>
                <xdr:colOff>361950</xdr:colOff>
                <xdr:row>3</xdr:row>
                <xdr:rowOff>95250</xdr:rowOff>
              </from>
              <to>
                <xdr:col>16</xdr:col>
                <xdr:colOff>381000</xdr:colOff>
                <xdr:row>4</xdr:row>
                <xdr:rowOff>161925</xdr:rowOff>
              </to>
            </anchor>
          </controlPr>
        </control>
      </mc:Choice>
      <mc:Fallback>
        <control shapeId="7170" r:id="rId6" name="CommandButton3"/>
      </mc:Fallback>
    </mc:AlternateContent>
    <mc:AlternateContent xmlns:mc="http://schemas.openxmlformats.org/markup-compatibility/2006">
      <mc:Choice Requires="x14">
        <control shapeId="7169" r:id="rId8" name="CommandButton2">
          <controlPr defaultSize="0" print="0" autoLine="0" r:id="rId9">
            <anchor moveWithCells="1" sizeWithCells="1">
              <from>
                <xdr:col>12</xdr:col>
                <xdr:colOff>238125</xdr:colOff>
                <xdr:row>3</xdr:row>
                <xdr:rowOff>95250</xdr:rowOff>
              </from>
              <to>
                <xdr:col>14</xdr:col>
                <xdr:colOff>257175</xdr:colOff>
                <xdr:row>4</xdr:row>
                <xdr:rowOff>161925</xdr:rowOff>
              </to>
            </anchor>
          </controlPr>
        </control>
      </mc:Choice>
      <mc:Fallback>
        <control shapeId="7169" r:id="rId8" name="CommandButton2"/>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Fields!$F$2:$F$5</xm:f>
          </x14:formula1>
          <xm:sqref>F20:I20</xm:sqref>
        </x14:dataValidation>
        <x14:dataValidation type="list" allowBlank="1" showInputMessage="1" showErrorMessage="1" xr:uid="{00000000-0002-0000-0100-000002000000}">
          <x14:formula1>
            <xm:f>Fields!$E$2:$E$4</xm:f>
          </x14:formula1>
          <xm:sqref>D20</xm:sqref>
        </x14:dataValidation>
        <x14:dataValidation type="list" allowBlank="1" showInputMessage="1" showErrorMessage="1" xr:uid="{00000000-0002-0000-0100-000003000000}">
          <x14:formula1>
            <xm:f>Fields!$A$2:$A$38</xm:f>
          </x14:formula1>
          <xm:sqref>D22</xm:sqref>
        </x14:dataValidation>
        <x14:dataValidation type="list" allowBlank="1" showInputMessage="1" showErrorMessage="1" xr:uid="{00000000-0002-0000-0100-000004000000}">
          <x14:formula1>
            <xm:f>Fields!$B$2:$B$153</xm:f>
          </x14:formula1>
          <xm:sqref>D17</xm:sqref>
        </x14:dataValidation>
        <x14:dataValidation type="list" allowBlank="1" showInputMessage="1" showErrorMessage="1" xr:uid="{00000000-0002-0000-0100-000005000000}">
          <x14:formula1>
            <xm:f>Fields!$C$2:$C$206</xm:f>
          </x14:formula1>
          <xm:sqref>F17</xm:sqref>
        </x14:dataValidation>
        <x14:dataValidation type="list" allowBlank="1" showInputMessage="1" showErrorMessage="1" xr:uid="{00000000-0002-0000-0100-000006000000}">
          <x14:formula1>
            <xm:f>Fields!$D$2:$D$201</xm:f>
          </x14:formula1>
          <xm:sqref>H17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K83"/>
  <sheetViews>
    <sheetView showGridLines="0" view="pageBreakPreview" topLeftCell="A34" zoomScale="80" zoomScaleNormal="100" zoomScaleSheetLayoutView="80" workbookViewId="0">
      <selection activeCell="D32" sqref="D32:G32"/>
    </sheetView>
  </sheetViews>
  <sheetFormatPr defaultColWidth="9.140625" defaultRowHeight="12.75" zeroHeight="1" x14ac:dyDescent="0.2"/>
  <cols>
    <col min="1" max="1" width="2.7109375" style="118" customWidth="1"/>
    <col min="2" max="2" width="23.7109375" style="118" customWidth="1"/>
    <col min="3" max="3" width="3.140625" style="118" customWidth="1"/>
    <col min="4" max="5" width="21.7109375" style="118" customWidth="1"/>
    <col min="6" max="7" width="15.7109375" style="118" customWidth="1"/>
    <col min="8" max="8" width="3.7109375" style="118" customWidth="1"/>
    <col min="9" max="9" width="15.140625" style="118" customWidth="1"/>
    <col min="10" max="10" width="2.28515625" style="118" customWidth="1"/>
    <col min="11" max="11" width="14" style="118" customWidth="1"/>
    <col min="12" max="12" width="2.7109375" style="118" customWidth="1"/>
    <col min="13" max="13" width="8.85546875" style="118" customWidth="1"/>
    <col min="14" max="14" width="2.28515625" style="118" customWidth="1"/>
    <col min="15" max="15" width="8.85546875" style="118" customWidth="1"/>
    <col min="16" max="16" width="2.28515625" style="118" customWidth="1"/>
    <col min="17" max="17" width="8.85546875" style="118" customWidth="1"/>
    <col min="18" max="18" width="2.5703125" style="118" customWidth="1"/>
    <col min="19" max="19" width="15.42578125" style="118" customWidth="1"/>
    <col min="20" max="20" width="2.42578125" style="118" customWidth="1"/>
    <col min="21" max="21" width="9.140625" style="118" customWidth="1"/>
    <col min="22" max="22" width="9.28515625" style="118" customWidth="1"/>
    <col min="23" max="23" width="4" style="118" customWidth="1"/>
    <col min="24" max="24" width="5.85546875" style="118" customWidth="1"/>
    <col min="25" max="25" width="3.28515625" style="118" customWidth="1"/>
    <col min="26" max="32" width="9.140625" style="118" hidden="1" customWidth="1"/>
    <col min="33" max="16384" width="9.140625" style="118"/>
  </cols>
  <sheetData>
    <row r="1" spans="1:31" ht="14.25" x14ac:dyDescent="0.2">
      <c r="A1"/>
      <c r="B1" s="1"/>
      <c r="C1" s="1"/>
      <c r="D1" s="1"/>
      <c r="E1" s="1"/>
      <c r="F1" s="1"/>
      <c r="G1" s="1"/>
      <c r="H1" s="1"/>
      <c r="I1" s="1"/>
      <c r="J1" s="1"/>
      <c r="K1" s="1"/>
      <c r="L1" s="1"/>
      <c r="M1" s="1"/>
      <c r="N1" s="1"/>
      <c r="O1" s="1"/>
      <c r="P1" s="1"/>
      <c r="Q1" s="1"/>
      <c r="R1" s="1"/>
      <c r="S1" s="1"/>
      <c r="T1" s="1"/>
      <c r="Z1" s="36" t="s">
        <v>36</v>
      </c>
      <c r="AA1" s="36"/>
      <c r="AB1" s="36"/>
      <c r="AC1" s="36"/>
    </row>
    <row r="2" spans="1:31" ht="14.25" x14ac:dyDescent="0.2">
      <c r="A2"/>
      <c r="B2" s="1"/>
      <c r="C2" s="1"/>
      <c r="D2" s="1"/>
      <c r="E2" s="1"/>
      <c r="F2" s="1"/>
      <c r="G2" s="1"/>
      <c r="H2" s="1"/>
      <c r="I2" s="1"/>
      <c r="J2" s="1"/>
      <c r="K2" s="1"/>
      <c r="L2" s="1"/>
      <c r="M2" s="1"/>
      <c r="N2" s="1"/>
      <c r="O2" s="1"/>
      <c r="P2" s="1"/>
      <c r="Q2" s="1"/>
      <c r="R2" s="1"/>
      <c r="S2" s="1"/>
      <c r="T2" s="1"/>
      <c r="Z2" s="36"/>
      <c r="AA2" s="36"/>
      <c r="AB2" s="36"/>
      <c r="AC2" s="36"/>
    </row>
    <row r="3" spans="1:31" ht="20.25" customHeight="1" x14ac:dyDescent="0.3">
      <c r="A3"/>
      <c r="B3" s="374" t="s">
        <v>0</v>
      </c>
      <c r="C3" s="374"/>
      <c r="D3" s="366"/>
      <c r="E3" s="366"/>
      <c r="F3" s="366"/>
      <c r="G3" s="366"/>
      <c r="H3" s="366"/>
      <c r="I3" s="366"/>
      <c r="J3" s="366"/>
      <c r="K3" s="366"/>
      <c r="L3" s="366"/>
      <c r="M3" s="366"/>
      <c r="N3" s="366"/>
      <c r="O3" s="366"/>
      <c r="P3" s="366"/>
      <c r="Q3" s="366"/>
      <c r="R3" s="366"/>
      <c r="S3" s="366"/>
      <c r="T3" s="1"/>
      <c r="Z3" s="36" t="s">
        <v>33</v>
      </c>
      <c r="AA3" s="36" t="s">
        <v>34</v>
      </c>
      <c r="AB3" s="36" t="s">
        <v>35</v>
      </c>
      <c r="AC3" s="36" t="s">
        <v>28</v>
      </c>
      <c r="AD3" s="141" t="s">
        <v>318</v>
      </c>
      <c r="AE3" s="118" t="s">
        <v>333</v>
      </c>
    </row>
    <row r="4" spans="1:31" ht="20.25" x14ac:dyDescent="0.3">
      <c r="A4"/>
      <c r="B4" s="374" t="s">
        <v>46</v>
      </c>
      <c r="C4" s="374"/>
      <c r="D4" s="366"/>
      <c r="E4" s="366"/>
      <c r="F4" s="366"/>
      <c r="G4" s="366"/>
      <c r="H4" s="366"/>
      <c r="I4" s="366"/>
      <c r="J4" s="366"/>
      <c r="K4" s="366"/>
      <c r="L4" s="366"/>
      <c r="M4" s="366"/>
      <c r="N4" s="366"/>
      <c r="O4" s="366"/>
      <c r="P4" s="366"/>
      <c r="Q4" s="366"/>
      <c r="R4" s="366"/>
      <c r="S4" s="366"/>
      <c r="T4" s="1"/>
      <c r="Z4" s="36">
        <v>1</v>
      </c>
      <c r="AA4" s="36">
        <v>4</v>
      </c>
      <c r="AB4" s="36">
        <f>IF(D20="urban",1,IF(D20="Rural",2,""))</f>
        <v>1</v>
      </c>
      <c r="AC4" s="36">
        <f>IF(F20="interstate",1,IF(F20="off system",3,2))</f>
        <v>2</v>
      </c>
      <c r="AD4" s="143">
        <f>MAX(S32:S38)</f>
        <v>20</v>
      </c>
      <c r="AE4" s="118">
        <v>0.05</v>
      </c>
    </row>
    <row r="5" spans="1:31" ht="18" x14ac:dyDescent="0.25">
      <c r="A5"/>
      <c r="B5" s="375" t="s">
        <v>22</v>
      </c>
      <c r="C5" s="375"/>
      <c r="D5" s="376"/>
      <c r="E5" s="376"/>
      <c r="F5" s="376"/>
      <c r="G5" s="376"/>
      <c r="H5" s="376"/>
      <c r="I5" s="376"/>
      <c r="J5" s="376"/>
      <c r="K5" s="376"/>
      <c r="L5" s="376"/>
      <c r="M5" s="376"/>
      <c r="N5" s="376"/>
      <c r="O5" s="376"/>
      <c r="P5" s="376"/>
      <c r="Q5" s="376"/>
      <c r="R5" s="376"/>
      <c r="S5" s="376"/>
      <c r="T5" s="156"/>
    </row>
    <row r="6" spans="1:31" ht="18" x14ac:dyDescent="0.25">
      <c r="A6"/>
      <c r="B6" s="155"/>
      <c r="C6" s="155"/>
      <c r="D6" s="156"/>
      <c r="E6" s="156"/>
      <c r="F6" s="156"/>
      <c r="G6" s="156"/>
      <c r="H6" s="156"/>
      <c r="I6" s="156"/>
      <c r="J6" s="156"/>
      <c r="K6" s="156"/>
      <c r="L6" s="156"/>
      <c r="M6" s="156"/>
      <c r="N6" s="156"/>
      <c r="O6" s="156"/>
      <c r="P6" s="156"/>
      <c r="Q6" s="156"/>
      <c r="R6" s="156"/>
      <c r="S6" s="156"/>
      <c r="T6" s="156"/>
    </row>
    <row r="7" spans="1:31" ht="10.5" customHeight="1" x14ac:dyDescent="0.25">
      <c r="A7"/>
      <c r="B7" s="3"/>
      <c r="C7" s="3"/>
      <c r="D7" s="1"/>
      <c r="E7" s="1"/>
      <c r="F7" s="1"/>
      <c r="G7" s="1"/>
      <c r="H7" s="1"/>
      <c r="I7" s="1"/>
      <c r="J7" s="1"/>
      <c r="K7" s="1"/>
      <c r="L7" s="1"/>
      <c r="M7" s="1"/>
      <c r="N7" s="1"/>
      <c r="O7" s="1"/>
      <c r="P7" s="1"/>
      <c r="Q7" s="1"/>
      <c r="R7" s="1"/>
      <c r="S7" s="1"/>
      <c r="T7" s="1"/>
    </row>
    <row r="8" spans="1:31" ht="12" customHeight="1" x14ac:dyDescent="0.2">
      <c r="B8" s="10"/>
      <c r="C8" s="10"/>
      <c r="D8" s="10"/>
      <c r="E8" s="10"/>
      <c r="F8" s="10"/>
      <c r="G8" s="10"/>
      <c r="H8" s="10"/>
      <c r="I8" s="10"/>
      <c r="J8" s="10"/>
      <c r="K8" s="10"/>
      <c r="L8" s="10"/>
      <c r="M8" s="10"/>
      <c r="N8" s="10"/>
      <c r="O8" s="10"/>
      <c r="P8" s="10"/>
      <c r="Q8" s="10"/>
      <c r="R8" s="10"/>
      <c r="S8" s="10"/>
      <c r="T8" s="10"/>
    </row>
    <row r="9" spans="1:31" ht="12" customHeight="1" x14ac:dyDescent="0.2">
      <c r="B9" s="11"/>
      <c r="C9" s="11"/>
      <c r="D9" s="11"/>
      <c r="E9" s="11"/>
      <c r="F9" s="11"/>
      <c r="G9" s="11"/>
      <c r="H9" s="11"/>
      <c r="I9" s="11"/>
      <c r="J9" s="11"/>
      <c r="K9" s="11"/>
      <c r="L9" s="11"/>
      <c r="M9" s="11"/>
      <c r="N9" s="11"/>
      <c r="O9" s="11"/>
      <c r="P9" s="11"/>
      <c r="Q9" s="11"/>
      <c r="R9" s="11"/>
      <c r="S9" s="11"/>
      <c r="T9" s="11"/>
    </row>
    <row r="10" spans="1:31" s="36" customFormat="1" ht="22.5" customHeight="1" x14ac:dyDescent="0.2">
      <c r="B10" s="4" t="s">
        <v>12</v>
      </c>
      <c r="C10" s="4"/>
      <c r="D10" s="409" t="str">
        <f>IF(Cover!D10="","",Cover!D10)</f>
        <v/>
      </c>
      <c r="E10" s="409"/>
      <c r="F10" s="409"/>
      <c r="G10" s="409"/>
      <c r="H10" s="409"/>
      <c r="I10" s="409"/>
      <c r="J10" s="174"/>
      <c r="K10" s="8"/>
      <c r="L10" s="8"/>
      <c r="M10" s="5" t="s">
        <v>324</v>
      </c>
      <c r="N10" s="412" t="str">
        <f>IF(Cover!N10="","",Cover!N10)</f>
        <v/>
      </c>
      <c r="O10" s="412"/>
      <c r="P10" s="412"/>
      <c r="Q10" s="5"/>
      <c r="R10" s="5" t="s">
        <v>1</v>
      </c>
      <c r="S10" s="241" t="str">
        <f>IF(Cover!S10="","",Cover!S10)</f>
        <v/>
      </c>
      <c r="T10" s="49"/>
    </row>
    <row r="11" spans="1:31" s="36" customFormat="1" ht="10.5" customHeight="1" x14ac:dyDescent="0.2">
      <c r="B11" s="4"/>
      <c r="C11" s="4"/>
      <c r="D11" s="174"/>
      <c r="E11" s="174"/>
      <c r="F11" s="174"/>
      <c r="G11" s="174"/>
      <c r="H11" s="174"/>
      <c r="I11" s="174"/>
      <c r="J11" s="174"/>
      <c r="K11" s="5"/>
      <c r="L11" s="5"/>
      <c r="M11" s="198"/>
      <c r="N11" s="198"/>
      <c r="O11" s="198"/>
      <c r="P11" s="198"/>
      <c r="Q11" s="198"/>
      <c r="R11" s="6"/>
      <c r="S11" s="266"/>
      <c r="T11" s="49"/>
    </row>
    <row r="12" spans="1:31" s="36" customFormat="1" ht="22.5" customHeight="1" x14ac:dyDescent="0.2">
      <c r="A12" s="190"/>
      <c r="B12" s="51" t="s">
        <v>23</v>
      </c>
      <c r="C12" s="51"/>
      <c r="D12" s="240"/>
      <c r="E12" s="240"/>
      <c r="F12" s="16"/>
      <c r="G12" s="16"/>
      <c r="H12" s="16"/>
      <c r="I12" s="16"/>
      <c r="J12" s="16"/>
      <c r="K12" s="16"/>
      <c r="L12" s="16"/>
      <c r="M12" s="240"/>
      <c r="N12" s="240"/>
      <c r="O12" s="240"/>
      <c r="P12" s="240"/>
      <c r="Q12" s="240"/>
      <c r="R12" s="240"/>
      <c r="S12" s="240"/>
      <c r="T12" s="53"/>
    </row>
    <row r="13" spans="1:31" s="36" customFormat="1" ht="22.5" customHeight="1" x14ac:dyDescent="0.2">
      <c r="A13" s="191"/>
      <c r="B13" s="7" t="s">
        <v>13</v>
      </c>
      <c r="C13" s="7"/>
      <c r="D13" s="416" t="str">
        <f>IF(Cover!D13="","",Cover!D13)</f>
        <v/>
      </c>
      <c r="E13" s="416"/>
      <c r="F13" s="239" t="s">
        <v>576</v>
      </c>
      <c r="G13" s="416" t="str">
        <f>IF(Cover!G13="","",Cover!G13)</f>
        <v/>
      </c>
      <c r="H13" s="416"/>
      <c r="I13" s="416"/>
      <c r="J13" s="174"/>
      <c r="K13" s="8"/>
      <c r="L13" s="8"/>
      <c r="M13" s="5" t="s">
        <v>575</v>
      </c>
      <c r="N13" s="416" t="str">
        <f>IF(Cover!N13="","",Cover!N13)</f>
        <v/>
      </c>
      <c r="O13" s="416"/>
      <c r="P13" s="416"/>
      <c r="Q13" s="416"/>
      <c r="R13" s="416"/>
      <c r="S13" s="416"/>
      <c r="T13" s="54"/>
    </row>
    <row r="14" spans="1:31" s="36" customFormat="1" ht="11.25" customHeight="1" x14ac:dyDescent="0.2">
      <c r="A14" s="192"/>
      <c r="B14" s="55"/>
      <c r="C14" s="55"/>
      <c r="D14" s="238"/>
      <c r="E14" s="12"/>
      <c r="F14" s="238"/>
      <c r="G14" s="238"/>
      <c r="H14" s="238"/>
      <c r="I14" s="238"/>
      <c r="J14" s="238"/>
      <c r="K14" s="9"/>
      <c r="L14" s="9"/>
      <c r="M14" s="18"/>
      <c r="N14" s="18"/>
      <c r="O14" s="18"/>
      <c r="P14" s="18"/>
      <c r="Q14" s="18"/>
      <c r="R14" s="265"/>
      <c r="S14" s="265"/>
      <c r="T14" s="59"/>
    </row>
    <row r="15" spans="1:31" s="36" customFormat="1" ht="10.5" customHeight="1" x14ac:dyDescent="0.2">
      <c r="B15" s="7"/>
      <c r="C15" s="7"/>
      <c r="D15" s="174"/>
      <c r="E15" s="174"/>
      <c r="F15" s="238"/>
      <c r="G15" s="238"/>
      <c r="H15" s="238"/>
      <c r="I15" s="238"/>
      <c r="J15" s="174"/>
      <c r="K15" s="8"/>
      <c r="L15" s="8"/>
      <c r="M15" s="5"/>
      <c r="N15" s="5"/>
      <c r="O15" s="5"/>
      <c r="P15" s="5"/>
      <c r="Q15" s="5"/>
      <c r="R15" s="237"/>
      <c r="S15" s="237"/>
      <c r="T15" s="60"/>
    </row>
    <row r="16" spans="1:31" s="36" customFormat="1" ht="22.5" customHeight="1" x14ac:dyDescent="0.2">
      <c r="A16" s="190"/>
      <c r="B16" s="51" t="s">
        <v>16</v>
      </c>
      <c r="C16" s="51"/>
      <c r="D16" s="240"/>
      <c r="E16" s="240"/>
      <c r="F16" s="16"/>
      <c r="G16" s="16"/>
      <c r="H16" s="16"/>
      <c r="I16" s="16"/>
      <c r="J16" s="16"/>
      <c r="K16" s="16"/>
      <c r="L16" s="16"/>
      <c r="M16" s="240"/>
      <c r="N16" s="240"/>
      <c r="O16" s="240"/>
      <c r="P16" s="240"/>
      <c r="Q16" s="240"/>
      <c r="R16" s="240"/>
      <c r="S16" s="240"/>
      <c r="T16" s="53"/>
    </row>
    <row r="17" spans="1:37" s="36" customFormat="1" ht="22.5" customHeight="1" x14ac:dyDescent="0.2">
      <c r="A17" s="191"/>
      <c r="B17" s="7" t="s">
        <v>14</v>
      </c>
      <c r="C17" s="7"/>
      <c r="D17" s="236" t="str">
        <f>IF(Cover!D17="","",Cover!D17)</f>
        <v/>
      </c>
      <c r="E17" s="5" t="s">
        <v>577</v>
      </c>
      <c r="F17" s="235" t="str">
        <f>IF(Cover!F17="","",Cover!F17)</f>
        <v/>
      </c>
      <c r="G17" s="5" t="s">
        <v>17</v>
      </c>
      <c r="H17" s="412" t="str">
        <f>IF(Cover!H17="","",Cover!H17)</f>
        <v/>
      </c>
      <c r="I17" s="412"/>
      <c r="J17" s="412"/>
      <c r="K17" s="412"/>
      <c r="L17" s="8"/>
      <c r="M17" s="5" t="s">
        <v>21</v>
      </c>
      <c r="N17" s="414" t="str">
        <f>IF(Cover!N17="","",Cover!N17)</f>
        <v/>
      </c>
      <c r="O17" s="414"/>
      <c r="P17" s="414"/>
      <c r="Q17" s="5"/>
      <c r="R17" s="5" t="s">
        <v>325</v>
      </c>
      <c r="S17" s="234" t="str">
        <f>IF(Cover!S17="","",Cover!S17)</f>
        <v/>
      </c>
      <c r="T17" s="54"/>
    </row>
    <row r="18" spans="1:37" s="36" customFormat="1" ht="7.5" customHeight="1" x14ac:dyDescent="0.2">
      <c r="A18" s="192"/>
      <c r="B18" s="55"/>
      <c r="C18" s="55"/>
      <c r="D18" s="238"/>
      <c r="E18" s="12"/>
      <c r="F18" s="238"/>
      <c r="G18" s="238"/>
      <c r="H18" s="238"/>
      <c r="I18" s="238"/>
      <c r="J18" s="238"/>
      <c r="K18" s="18"/>
      <c r="L18" s="18"/>
      <c r="M18" s="265"/>
      <c r="N18" s="265"/>
      <c r="O18" s="265"/>
      <c r="P18" s="265"/>
      <c r="Q18" s="265"/>
      <c r="R18" s="154"/>
      <c r="S18" s="265"/>
      <c r="T18" s="59"/>
    </row>
    <row r="19" spans="1:37" s="36" customFormat="1" ht="10.5" customHeight="1" x14ac:dyDescent="0.2">
      <c r="B19" s="7"/>
      <c r="C19" s="7"/>
      <c r="D19" s="174"/>
      <c r="E19" s="174"/>
      <c r="F19" s="174"/>
      <c r="G19" s="174"/>
      <c r="H19" s="174"/>
      <c r="I19" s="174"/>
      <c r="J19" s="174"/>
      <c r="K19" s="8"/>
      <c r="L19" s="8"/>
      <c r="M19" s="5"/>
      <c r="N19" s="5"/>
      <c r="O19" s="5"/>
      <c r="P19" s="5"/>
      <c r="Q19" s="5"/>
      <c r="R19" s="237"/>
      <c r="S19" s="237"/>
      <c r="T19" s="60"/>
    </row>
    <row r="20" spans="1:37" s="36" customFormat="1" ht="22.5" customHeight="1" x14ac:dyDescent="0.2">
      <c r="B20" s="7" t="s">
        <v>37</v>
      </c>
      <c r="C20" s="7"/>
      <c r="D20" s="236" t="str">
        <f>IF(Cover!D20="","",Cover!D20)</f>
        <v>Urban</v>
      </c>
      <c r="E20" s="5" t="s">
        <v>45</v>
      </c>
      <c r="F20" s="412" t="str">
        <f>IF(Cover!F20="","",Cover!F20)</f>
        <v>Other State Highway</v>
      </c>
      <c r="G20" s="412"/>
      <c r="H20" s="412"/>
      <c r="I20" s="412"/>
      <c r="J20" s="237"/>
      <c r="K20" s="237"/>
      <c r="L20" s="8"/>
      <c r="M20" s="5"/>
      <c r="N20" s="5"/>
      <c r="O20" s="5"/>
      <c r="P20" s="5"/>
      <c r="Q20" s="5"/>
      <c r="R20" s="237"/>
      <c r="S20" s="237"/>
      <c r="T20" s="60"/>
    </row>
    <row r="21" spans="1:37" s="36" customFormat="1" ht="10.5" customHeight="1" x14ac:dyDescent="0.2">
      <c r="B21" s="7"/>
      <c r="C21" s="7"/>
      <c r="D21" s="174"/>
      <c r="E21" s="174"/>
      <c r="F21" s="174"/>
      <c r="G21" s="174"/>
      <c r="H21" s="174"/>
      <c r="I21" s="174"/>
      <c r="J21" s="174"/>
      <c r="K21" s="8"/>
      <c r="L21" s="8"/>
      <c r="M21" s="5"/>
      <c r="N21" s="5"/>
      <c r="O21" s="5"/>
      <c r="P21" s="5"/>
      <c r="Q21" s="5"/>
      <c r="R21" s="237"/>
      <c r="S21" s="237"/>
      <c r="T21" s="60"/>
    </row>
    <row r="22" spans="1:37" s="36" customFormat="1" ht="22.5" customHeight="1" x14ac:dyDescent="0.2">
      <c r="B22" s="7" t="s">
        <v>20</v>
      </c>
      <c r="C22" s="7"/>
      <c r="D22" s="236" t="str">
        <f>IF(Cover!D22="","",Cover!D22)</f>
        <v/>
      </c>
      <c r="E22" s="5" t="s">
        <v>19</v>
      </c>
      <c r="F22" s="412" t="str">
        <f>IF(Cover!F22="","",Cover!F22)</f>
        <v/>
      </c>
      <c r="G22" s="412"/>
      <c r="H22" s="412"/>
      <c r="I22" s="412"/>
      <c r="J22" s="174"/>
      <c r="K22" s="8"/>
      <c r="L22" s="8"/>
      <c r="M22" s="5" t="s">
        <v>3</v>
      </c>
      <c r="N22" s="415">
        <f>IF(Cover!N22="","",Cover!N22)</f>
        <v>42736</v>
      </c>
      <c r="O22" s="415"/>
      <c r="P22" s="415"/>
      <c r="Q22" s="5"/>
      <c r="R22" s="5" t="s">
        <v>325</v>
      </c>
      <c r="S22" s="233">
        <f>IF(Cover!S22="","",Cover!S22)</f>
        <v>44561</v>
      </c>
      <c r="T22" s="61"/>
    </row>
    <row r="23" spans="1:37" ht="12" customHeight="1" x14ac:dyDescent="0.2">
      <c r="B23" s="11"/>
      <c r="C23" s="11"/>
      <c r="D23" s="11"/>
      <c r="E23" s="11"/>
      <c r="F23" s="11"/>
      <c r="G23" s="11"/>
      <c r="H23" s="11"/>
      <c r="I23" s="11"/>
      <c r="J23" s="11"/>
      <c r="K23" s="11"/>
      <c r="L23" s="11"/>
      <c r="M23" s="11"/>
      <c r="N23" s="11"/>
      <c r="O23" s="11"/>
      <c r="P23" s="11"/>
      <c r="Q23" s="11"/>
      <c r="R23" s="11"/>
      <c r="S23" s="11"/>
      <c r="T23" s="11"/>
    </row>
    <row r="24" spans="1:37" s="36" customFormat="1" ht="22.5" customHeight="1" x14ac:dyDescent="0.2">
      <c r="B24" s="8" t="s">
        <v>11</v>
      </c>
      <c r="C24" s="8"/>
      <c r="D24" s="411" t="str">
        <f>IF(Cover!D24="","",Cover!D24)</f>
        <v/>
      </c>
      <c r="E24" s="411"/>
      <c r="F24" s="411"/>
      <c r="G24" s="411"/>
      <c r="H24" s="411"/>
      <c r="I24" s="411"/>
      <c r="J24" s="411"/>
      <c r="K24" s="411"/>
      <c r="L24" s="411"/>
      <c r="M24" s="411"/>
      <c r="N24" s="411"/>
      <c r="O24" s="411"/>
      <c r="P24" s="411"/>
      <c r="Q24" s="411"/>
      <c r="R24" s="411"/>
      <c r="S24" s="411"/>
      <c r="T24" s="7"/>
    </row>
    <row r="25" spans="1:37" s="36" customFormat="1" ht="10.5" customHeight="1" x14ac:dyDescent="0.2">
      <c r="B25" s="8"/>
      <c r="C25" s="8"/>
      <c r="D25" s="8"/>
      <c r="E25" s="8"/>
      <c r="F25" s="8"/>
      <c r="G25" s="8"/>
      <c r="H25" s="8"/>
      <c r="I25" s="8"/>
      <c r="J25" s="8"/>
      <c r="K25" s="8"/>
      <c r="L25" s="8"/>
      <c r="M25" s="8"/>
      <c r="N25" s="8"/>
      <c r="O25" s="8"/>
      <c r="P25" s="8"/>
      <c r="Q25" s="8"/>
      <c r="R25" s="8"/>
      <c r="S25" s="8"/>
      <c r="T25" s="8"/>
    </row>
    <row r="26" spans="1:37" s="36" customFormat="1" ht="21" customHeight="1" x14ac:dyDescent="0.2">
      <c r="B26" s="7" t="s">
        <v>4</v>
      </c>
      <c r="C26" s="7"/>
      <c r="D26" s="410" t="str">
        <f>IF(Cover!D26="","",Cover!D26)</f>
        <v/>
      </c>
      <c r="E26" s="410"/>
      <c r="F26" s="410"/>
      <c r="G26" s="8"/>
      <c r="H26" s="174"/>
      <c r="I26" s="8"/>
      <c r="J26" s="5" t="s">
        <v>5</v>
      </c>
      <c r="K26" s="410" t="str">
        <f>IF(Cover!K26="","",Cover!K26)</f>
        <v/>
      </c>
      <c r="L26" s="410"/>
      <c r="M26" s="410"/>
      <c r="N26" s="410"/>
      <c r="O26" s="410"/>
      <c r="P26" s="410"/>
      <c r="Q26" s="410"/>
      <c r="R26" s="410"/>
      <c r="S26" s="410"/>
      <c r="T26" s="48"/>
    </row>
    <row r="27" spans="1:37" s="36" customFormat="1" ht="14.25" x14ac:dyDescent="0.2">
      <c r="A27" s="129"/>
      <c r="B27" s="9"/>
      <c r="C27" s="9"/>
      <c r="D27" s="9"/>
      <c r="E27" s="9"/>
      <c r="F27" s="9"/>
      <c r="G27" s="9"/>
      <c r="H27" s="9"/>
      <c r="I27" s="9"/>
      <c r="J27" s="9"/>
      <c r="K27" s="24" t="s">
        <v>44</v>
      </c>
      <c r="L27" s="24"/>
      <c r="M27" s="9"/>
      <c r="N27" s="9"/>
      <c r="O27" s="9"/>
      <c r="P27" s="9"/>
      <c r="Q27" s="9"/>
      <c r="R27" s="9"/>
      <c r="S27" s="24" t="s">
        <v>44</v>
      </c>
      <c r="T27" s="24"/>
    </row>
    <row r="28" spans="1:37" s="36" customFormat="1" ht="25.5" customHeight="1" x14ac:dyDescent="0.2">
      <c r="B28" s="8"/>
      <c r="C28" s="8"/>
      <c r="D28" s="8"/>
      <c r="E28" s="8"/>
      <c r="F28" s="8"/>
      <c r="G28" s="8"/>
      <c r="H28" s="8"/>
      <c r="I28" s="8"/>
      <c r="J28" s="8"/>
      <c r="K28" s="62"/>
      <c r="L28" s="62"/>
      <c r="M28" s="8"/>
      <c r="N28" s="8"/>
      <c r="O28" s="8"/>
      <c r="P28" s="8"/>
      <c r="Q28" s="8"/>
      <c r="R28" s="8"/>
      <c r="S28" s="62"/>
      <c r="T28" s="62"/>
    </row>
    <row r="29" spans="1:37" s="36" customFormat="1" ht="29.25" customHeight="1" x14ac:dyDescent="0.25">
      <c r="B29" s="8"/>
      <c r="C29" s="8"/>
      <c r="D29" s="397" t="s">
        <v>561</v>
      </c>
      <c r="E29" s="397"/>
      <c r="F29" s="397"/>
      <c r="G29" s="397"/>
      <c r="H29" s="180"/>
      <c r="I29" s="405" t="s">
        <v>320</v>
      </c>
      <c r="J29" s="180"/>
      <c r="K29" s="405" t="s">
        <v>321</v>
      </c>
      <c r="L29" s="254"/>
      <c r="M29" s="413" t="s">
        <v>562</v>
      </c>
      <c r="N29" s="413"/>
      <c r="O29" s="413"/>
      <c r="P29" s="413"/>
      <c r="Q29" s="413"/>
      <c r="R29" s="180"/>
      <c r="S29" s="405" t="s">
        <v>323</v>
      </c>
      <c r="T29" s="62"/>
    </row>
    <row r="30" spans="1:37" s="36" customFormat="1" ht="20.100000000000001" customHeight="1" x14ac:dyDescent="0.25">
      <c r="B30" s="8"/>
      <c r="C30" s="8"/>
      <c r="D30" s="397"/>
      <c r="E30" s="397"/>
      <c r="F30" s="397"/>
      <c r="G30" s="397"/>
      <c r="H30" s="180"/>
      <c r="I30" s="405"/>
      <c r="J30" s="180"/>
      <c r="K30" s="405"/>
      <c r="L30" s="254"/>
      <c r="M30" s="254" t="s">
        <v>327</v>
      </c>
      <c r="N30" s="254"/>
      <c r="O30" s="254" t="s">
        <v>328</v>
      </c>
      <c r="P30" s="254"/>
      <c r="Q30" s="254" t="s">
        <v>329</v>
      </c>
      <c r="R30" s="180"/>
      <c r="S30" s="405"/>
      <c r="T30" s="62"/>
    </row>
    <row r="31" spans="1:37" s="36" customFormat="1" ht="12" customHeight="1" x14ac:dyDescent="0.25">
      <c r="B31" s="8"/>
      <c r="C31" s="8"/>
      <c r="D31" s="397"/>
      <c r="E31" s="397"/>
      <c r="F31" s="397"/>
      <c r="G31" s="397"/>
      <c r="H31" s="181"/>
      <c r="I31" s="181"/>
      <c r="J31" s="181"/>
      <c r="K31" s="181"/>
      <c r="L31" s="181"/>
      <c r="M31" s="181"/>
      <c r="N31" s="181"/>
      <c r="O31" s="181"/>
      <c r="P31" s="181"/>
      <c r="Q31" s="181"/>
      <c r="R31" s="180"/>
      <c r="S31" s="180"/>
      <c r="T31" s="8"/>
    </row>
    <row r="32" spans="1:37" s="36" customFormat="1" ht="45" customHeight="1" x14ac:dyDescent="0.2">
      <c r="B32" s="147" t="s">
        <v>620</v>
      </c>
      <c r="C32" s="63"/>
      <c r="D32" s="406" t="s">
        <v>916</v>
      </c>
      <c r="E32" s="406"/>
      <c r="F32" s="406"/>
      <c r="G32" s="406"/>
      <c r="H32" s="232"/>
      <c r="I32" s="307" t="str">
        <f>IF(D32="","",VLOOKUP(D32,Fields!$P$2:$R$167,2,FALSE))</f>
        <v>All</v>
      </c>
      <c r="J32" s="309"/>
      <c r="K32" s="307" t="str">
        <f>IF(D32="","",VLOOKUP(D32,Fields!$P$2:$R$167,3,FALSE))</f>
        <v>All Injury (Excludes PDO's)</v>
      </c>
      <c r="L32" s="6"/>
      <c r="M32" s="304">
        <f>IF(D32="","",VLOOKUP(D32,Fields!$P$2:$X$167,7,FALSE))</f>
        <v>0.3</v>
      </c>
      <c r="N32" s="308"/>
      <c r="O32" s="304">
        <f>IF(D32="","",VLOOKUP(D32,Fields!$P$2:$X$167,8,FALSE))</f>
        <v>0.3</v>
      </c>
      <c r="P32" s="308"/>
      <c r="Q32" s="304">
        <f>IF(D32="","",VLOOKUP(D32,Fields!$P$2:$X$167,9,FALSE))</f>
        <v>0</v>
      </c>
      <c r="R32" s="216"/>
      <c r="S32" s="303">
        <f>IF(D32="","",VLOOKUP(D32,Fields!$P$2:$X$167,4,FALSE))</f>
        <v>20</v>
      </c>
      <c r="T32" s="276"/>
      <c r="U32" s="395" t="str">
        <f>IF(OR(D32="H22: Install Urban Traffic Signal (Rear End)",D34="H22: Install Urban Traffic Signal (Rear End)",D36="H22: Install Urban Traffic Signal (Rear End)",D38="H22: Install Urban Traffic Signal (Rear End)",D32="H24: Install Rural Traffic Signal (Rear End)",D34="H24: Install Rural Traffic Signal (Rear End)",D36="H24: Install Rural Traffic Signal (Rear End)",D38="H24: Install Rural Traffic Signal (Rear End)"),"",IF(OR(D31="H22: Install Urban Traffic Signal",D32="H22: Install Urban Traffic Signal",D34="H22: Install Urban Traffic Signal",D36="H22: Install Urban Traffic Signal",D31="H24: Install Rural Traffic Signal",D32="H24: Install Rural Traffic Signal",D34="H24: Install Rural Traffic Signal",D36="H24: Install Rural Traffic Signal"),"Warning: You must ALSO pick the countermeasure from the drop-down list for rear-end negative CRF",""))</f>
        <v/>
      </c>
      <c r="V32" s="395"/>
      <c r="W32" s="395"/>
      <c r="X32" s="395"/>
      <c r="Y32" s="395"/>
      <c r="Z32" s="395"/>
      <c r="AA32" s="395"/>
      <c r="AB32" s="395"/>
      <c r="AC32" s="395"/>
      <c r="AD32" s="395"/>
      <c r="AE32" s="395"/>
      <c r="AF32" s="395"/>
      <c r="AG32" s="395"/>
      <c r="AH32" s="395"/>
      <c r="AI32" s="222"/>
      <c r="AJ32" s="222"/>
      <c r="AK32" s="222"/>
    </row>
    <row r="33" spans="2:37" s="36" customFormat="1" ht="3.95" customHeight="1" x14ac:dyDescent="0.2">
      <c r="B33" s="147"/>
      <c r="C33" s="63"/>
      <c r="D33" s="194"/>
      <c r="E33" s="194"/>
      <c r="F33" s="194"/>
      <c r="G33" s="194"/>
      <c r="H33" s="64"/>
      <c r="I33" s="298"/>
      <c r="J33" s="297"/>
      <c r="K33" s="298"/>
      <c r="L33" s="6"/>
      <c r="M33" s="279"/>
      <c r="N33" s="279"/>
      <c r="O33" s="279"/>
      <c r="P33" s="279"/>
      <c r="Q33" s="279"/>
      <c r="R33" s="216"/>
      <c r="S33" s="299"/>
      <c r="T33" s="276"/>
      <c r="U33" s="395"/>
      <c r="V33" s="395"/>
      <c r="W33" s="395"/>
      <c r="X33" s="395"/>
      <c r="Y33" s="395"/>
      <c r="Z33" s="395"/>
      <c r="AA33" s="395"/>
      <c r="AB33" s="395"/>
      <c r="AC33" s="395"/>
      <c r="AD33" s="395"/>
      <c r="AE33" s="395"/>
      <c r="AF33" s="395"/>
      <c r="AG33" s="395"/>
      <c r="AH33" s="395"/>
      <c r="AI33" s="222"/>
      <c r="AJ33" s="222"/>
      <c r="AK33" s="222"/>
    </row>
    <row r="34" spans="2:37" s="36" customFormat="1" ht="45" customHeight="1" x14ac:dyDescent="0.2">
      <c r="B34" s="147" t="s">
        <v>621</v>
      </c>
      <c r="C34" s="63"/>
      <c r="D34" s="407"/>
      <c r="E34" s="407"/>
      <c r="F34" s="407"/>
      <c r="G34" s="407"/>
      <c r="H34" s="232"/>
      <c r="I34" s="307" t="str">
        <f>IF(D34="","",VLOOKUP(D34,Fields!$P$2:$R$167,2,FALSE))</f>
        <v/>
      </c>
      <c r="J34" s="306"/>
      <c r="K34" s="307" t="str">
        <f>IF(D34="","",VLOOKUP(D34,Fields!$P$2:$R$167,3,FALSE))</f>
        <v/>
      </c>
      <c r="L34" s="7"/>
      <c r="M34" s="304" t="str">
        <f>IF(D34="","",VLOOKUP(D34,Fields!$P$2:$X$167,7,FALSE))</f>
        <v/>
      </c>
      <c r="N34" s="308"/>
      <c r="O34" s="304" t="str">
        <f>IF(D34="","",VLOOKUP(D34,Fields!$P$2:$X$167,8,FALSE))</f>
        <v/>
      </c>
      <c r="P34" s="308"/>
      <c r="Q34" s="304" t="str">
        <f>IF(D34="","",VLOOKUP(D34,Fields!$P$2:$X$167,9,FALSE))</f>
        <v/>
      </c>
      <c r="R34" s="7"/>
      <c r="S34" s="303" t="str">
        <f>IF(D34="","",VLOOKUP(D34,Fields!$P$2:$X$167,4,FALSE))</f>
        <v/>
      </c>
      <c r="T34" s="276"/>
      <c r="U34" s="395"/>
      <c r="V34" s="395"/>
      <c r="W34" s="395"/>
      <c r="X34" s="395"/>
      <c r="Y34" s="395"/>
      <c r="Z34" s="395"/>
      <c r="AA34" s="395"/>
      <c r="AB34" s="395"/>
      <c r="AC34" s="395"/>
      <c r="AD34" s="395"/>
      <c r="AE34" s="395"/>
      <c r="AF34" s="395"/>
      <c r="AG34" s="395"/>
      <c r="AH34" s="395"/>
      <c r="AI34" s="222"/>
      <c r="AJ34" s="222"/>
      <c r="AK34" s="222"/>
    </row>
    <row r="35" spans="2:37" s="36" customFormat="1" ht="3.95" customHeight="1" x14ac:dyDescent="0.2">
      <c r="B35" s="147"/>
      <c r="C35" s="63"/>
      <c r="D35" s="195"/>
      <c r="E35" s="195"/>
      <c r="F35" s="195"/>
      <c r="G35" s="195"/>
      <c r="H35" s="64"/>
      <c r="I35" s="298"/>
      <c r="J35" s="298"/>
      <c r="K35" s="298"/>
      <c r="L35" s="7"/>
      <c r="M35" s="279"/>
      <c r="N35" s="279"/>
      <c r="O35" s="279"/>
      <c r="P35" s="279"/>
      <c r="Q35" s="279"/>
      <c r="R35" s="7"/>
      <c r="S35" s="299"/>
      <c r="T35" s="276"/>
      <c r="U35" s="197"/>
      <c r="V35" s="197"/>
      <c r="W35" s="197"/>
      <c r="X35" s="197"/>
      <c r="Y35" s="197"/>
      <c r="Z35" s="197"/>
      <c r="AA35" s="197"/>
      <c r="AB35" s="197"/>
      <c r="AC35" s="197"/>
      <c r="AD35" s="197"/>
      <c r="AE35" s="197"/>
      <c r="AF35" s="197"/>
      <c r="AG35" s="197"/>
      <c r="AH35" s="197"/>
      <c r="AI35" s="196"/>
      <c r="AJ35" s="196"/>
      <c r="AK35" s="196"/>
    </row>
    <row r="36" spans="2:37" s="36" customFormat="1" ht="45" customHeight="1" x14ac:dyDescent="0.2">
      <c r="B36" s="147" t="s">
        <v>622</v>
      </c>
      <c r="C36" s="63"/>
      <c r="D36" s="407"/>
      <c r="E36" s="407"/>
      <c r="F36" s="407"/>
      <c r="G36" s="407"/>
      <c r="H36" s="232"/>
      <c r="I36" s="307" t="str">
        <f>IF(D36="","",VLOOKUP(D36,Fields!$P$2:$R$167,2,FALSE))</f>
        <v/>
      </c>
      <c r="J36" s="309"/>
      <c r="K36" s="307" t="str">
        <f>IF(D36="","",VLOOKUP(D36,Fields!$P$2:$R$167,3,FALSE))</f>
        <v/>
      </c>
      <c r="L36" s="6"/>
      <c r="M36" s="304" t="str">
        <f>IF(D36="","",VLOOKUP(D36,Fields!$P$2:$X$167,7,FALSE))</f>
        <v/>
      </c>
      <c r="N36" s="308"/>
      <c r="O36" s="304" t="str">
        <f>IF(D36="","",VLOOKUP(D36,Fields!$P$2:$X$167,8,FALSE))</f>
        <v/>
      </c>
      <c r="P36" s="308"/>
      <c r="Q36" s="304" t="str">
        <f>IF(D36="","",VLOOKUP(D36,Fields!$P$2:$X$167,9,FALSE))</f>
        <v/>
      </c>
      <c r="R36" s="7"/>
      <c r="S36" s="303" t="str">
        <f>IF(D36="","",VLOOKUP(D36,Fields!$P$2:$X$167,4,FALSE))</f>
        <v/>
      </c>
      <c r="T36" s="276"/>
      <c r="U36" s="8"/>
      <c r="V36" s="8"/>
      <c r="W36" s="8"/>
      <c r="X36" s="8"/>
      <c r="Y36" s="8"/>
      <c r="Z36" s="8"/>
      <c r="AA36" s="8"/>
      <c r="AB36" s="8"/>
      <c r="AC36" s="8"/>
      <c r="AD36" s="8"/>
      <c r="AE36" s="8"/>
      <c r="AF36" s="8"/>
      <c r="AG36" s="8"/>
      <c r="AH36" s="8"/>
    </row>
    <row r="37" spans="2:37" s="36" customFormat="1" ht="3.95" customHeight="1" x14ac:dyDescent="0.2">
      <c r="B37" s="147"/>
      <c r="C37" s="63"/>
      <c r="D37" s="195"/>
      <c r="E37" s="195"/>
      <c r="F37" s="195"/>
      <c r="G37" s="195"/>
      <c r="H37" s="64"/>
      <c r="I37" s="298"/>
      <c r="J37" s="297"/>
      <c r="K37" s="298"/>
      <c r="L37" s="6"/>
      <c r="M37" s="279"/>
      <c r="N37" s="279"/>
      <c r="O37" s="279"/>
      <c r="P37" s="279"/>
      <c r="Q37" s="279"/>
      <c r="R37" s="7"/>
      <c r="S37" s="299"/>
      <c r="T37" s="276"/>
      <c r="U37" s="8"/>
      <c r="V37" s="8"/>
      <c r="W37" s="8"/>
      <c r="X37" s="8"/>
      <c r="Y37" s="8"/>
      <c r="Z37" s="8"/>
      <c r="AA37" s="8"/>
      <c r="AB37" s="8"/>
      <c r="AC37" s="8"/>
      <c r="AD37" s="8"/>
      <c r="AE37" s="8"/>
      <c r="AF37" s="8"/>
      <c r="AG37" s="8"/>
      <c r="AH37" s="8"/>
    </row>
    <row r="38" spans="2:37" s="36" customFormat="1" ht="45" customHeight="1" x14ac:dyDescent="0.25">
      <c r="B38" s="147" t="s">
        <v>623</v>
      </c>
      <c r="C38" s="63"/>
      <c r="D38" s="407"/>
      <c r="E38" s="407"/>
      <c r="F38" s="407"/>
      <c r="G38" s="407"/>
      <c r="H38" s="232"/>
      <c r="I38" s="307" t="str">
        <f>IF(D38="","",VLOOKUP(D38,Fields!$P$2:$R$167,2,FALSE))</f>
        <v/>
      </c>
      <c r="J38" s="301"/>
      <c r="K38" s="307" t="str">
        <f>IF(D38="","",VLOOKUP(D38,Fields!$P$2:$R$167,3,FALSE))</f>
        <v/>
      </c>
      <c r="L38" s="62"/>
      <c r="M38" s="304" t="str">
        <f>IF(D38="","",VLOOKUP(D38,Fields!$P$2:$X$167,7,FALSE))</f>
        <v/>
      </c>
      <c r="N38" s="308"/>
      <c r="O38" s="304" t="str">
        <f>IF(D38="","",VLOOKUP(D38,Fields!$P$2:$X$167,8,FALSE))</f>
        <v/>
      </c>
      <c r="P38" s="308"/>
      <c r="Q38" s="304" t="str">
        <f>IF(D38="","",VLOOKUP(D38,Fields!$P$2:$X$167,9,FALSE))</f>
        <v/>
      </c>
      <c r="R38" s="65"/>
      <c r="S38" s="303" t="str">
        <f>IF(D38="","",VLOOKUP(D38,Fields!$P$2:$X$167,4,FALSE))</f>
        <v/>
      </c>
      <c r="T38" s="276"/>
      <c r="U38" s="8"/>
      <c r="V38" s="8"/>
      <c r="W38" s="8"/>
      <c r="X38" s="8"/>
      <c r="Y38" s="8"/>
      <c r="Z38" s="8"/>
      <c r="AA38" s="8"/>
      <c r="AB38" s="8"/>
      <c r="AC38" s="8"/>
      <c r="AD38" s="8"/>
      <c r="AE38" s="8"/>
      <c r="AF38" s="8"/>
      <c r="AG38" s="8"/>
      <c r="AH38" s="8"/>
    </row>
    <row r="39" spans="2:37" s="36" customFormat="1" ht="17.25" x14ac:dyDescent="0.25">
      <c r="B39" s="63"/>
      <c r="C39" s="63"/>
      <c r="D39" s="66"/>
      <c r="E39" s="66"/>
      <c r="F39"/>
      <c r="G39"/>
      <c r="H39" s="64"/>
      <c r="I39" s="277"/>
      <c r="J39" s="310"/>
      <c r="K39" s="277"/>
      <c r="L39" s="62"/>
      <c r="M39" s="277"/>
      <c r="N39" s="277"/>
      <c r="O39" s="277"/>
      <c r="P39" s="277"/>
      <c r="Q39" s="277"/>
      <c r="R39" s="65"/>
      <c r="S39" s="276"/>
      <c r="T39" s="276"/>
    </row>
    <row r="40" spans="2:37" s="36" customFormat="1" ht="17.25" x14ac:dyDescent="0.25">
      <c r="B40" s="63"/>
      <c r="C40" s="63"/>
      <c r="D40" s="231"/>
      <c r="E40" s="66"/>
      <c r="F40"/>
      <c r="G40"/>
      <c r="H40" s="64"/>
      <c r="I40"/>
      <c r="J40"/>
      <c r="K40" s="243" t="s">
        <v>554</v>
      </c>
      <c r="L40" s="77"/>
      <c r="M40" s="300">
        <f>IF(M32="","",(M32+IF(M34="",0,(1-M32)*M34)+IF(M36="",0,(1-M32)*(1-M34)*M36)+IF(M38="",0,(1-M32)*(1-M34)*(1-M36)*M38)))</f>
        <v>0.3</v>
      </c>
      <c r="N40" s="276"/>
      <c r="O40" s="300">
        <f>IF(O32="","",(O32+IF(O34="",0,(1-O32)*O34)+IF(O36="",0,(1-O32)*(1-O34)*O36)+IF(O38="",0,(1-O32)*(1-O34)*(1-O36)*O38)))</f>
        <v>0.3</v>
      </c>
      <c r="P40" s="276"/>
      <c r="Q40" s="300">
        <f>IF(Q32="","",(Q32+IF(Q34="",0,(1-Q32)*Q34)+IF(Q36="",0,(1-Q32)*(1-Q34)*Q36)+IF(Q38="",0,(1-Q32)*(1-Q34)*(1-Q36)*Q38)))</f>
        <v>0</v>
      </c>
      <c r="R40" s="259"/>
      <c r="S40" s="276"/>
      <c r="T40" s="276"/>
    </row>
    <row r="41" spans="2:37" s="36" customFormat="1" ht="17.25" x14ac:dyDescent="0.25">
      <c r="B41" s="63"/>
      <c r="C41" s="63"/>
      <c r="D41" s="231"/>
      <c r="E41" s="66"/>
      <c r="F41"/>
      <c r="G41"/>
      <c r="H41" s="64"/>
      <c r="I41"/>
      <c r="J41"/>
      <c r="K41"/>
      <c r="L41" s="259"/>
      <c r="M41" s="257"/>
      <c r="N41" s="257"/>
      <c r="O41" s="257"/>
      <c r="P41" s="257"/>
      <c r="Q41" s="257"/>
      <c r="R41" s="259"/>
      <c r="S41" s="276"/>
      <c r="T41" s="276"/>
    </row>
    <row r="42" spans="2:37" s="36" customFormat="1" ht="17.25" x14ac:dyDescent="0.25">
      <c r="B42" s="63"/>
      <c r="C42" s="63"/>
      <c r="D42" s="63"/>
      <c r="E42" s="63"/>
      <c r="F42"/>
      <c r="G42"/>
      <c r="H42" s="64"/>
      <c r="I42" s="277"/>
      <c r="J42" s="310"/>
      <c r="K42" s="277"/>
      <c r="L42" s="62"/>
      <c r="M42" s="277"/>
      <c r="N42" s="277"/>
      <c r="O42" s="277"/>
      <c r="P42" s="277"/>
      <c r="Q42" s="277"/>
      <c r="R42" s="65"/>
      <c r="S42" s="276"/>
      <c r="T42" s="276"/>
    </row>
    <row r="43" spans="2:37" s="36" customFormat="1" ht="45" x14ac:dyDescent="0.25">
      <c r="B43" s="63"/>
      <c r="C43" s="63"/>
      <c r="D43" s="63"/>
      <c r="E43" s="63"/>
      <c r="F43" s="8"/>
      <c r="G43" s="250" t="s">
        <v>612</v>
      </c>
      <c r="H43" s="251"/>
      <c r="I43" s="251" t="s">
        <v>18</v>
      </c>
      <c r="J43" s="180"/>
      <c r="K43" s="251" t="s">
        <v>546</v>
      </c>
      <c r="L43" s="180"/>
      <c r="M43" s="405" t="s">
        <v>40</v>
      </c>
      <c r="N43" s="405"/>
      <c r="O43" s="405"/>
      <c r="P43" s="264"/>
      <c r="Q43" s="264"/>
      <c r="R43" s="65"/>
      <c r="S43" s="257"/>
      <c r="T43" s="276"/>
      <c r="Z43" s="145"/>
    </row>
    <row r="44" spans="2:37" s="36" customFormat="1" ht="17.25" x14ac:dyDescent="0.25">
      <c r="B44" s="63"/>
      <c r="C44" s="63"/>
      <c r="D44" s="66"/>
      <c r="E44" s="66"/>
      <c r="F44" s="277"/>
      <c r="G44" s="277"/>
      <c r="H44" s="310"/>
      <c r="I44" s="277"/>
      <c r="J44" s="62"/>
      <c r="K44" s="277"/>
      <c r="L44" s="62"/>
      <c r="M44" s="277"/>
      <c r="N44" s="277"/>
      <c r="O44" s="277"/>
      <c r="P44" s="277"/>
      <c r="Q44" s="277"/>
      <c r="R44" s="65"/>
      <c r="S44" s="276"/>
      <c r="T44" s="276"/>
    </row>
    <row r="45" spans="2:37" s="36" customFormat="1" ht="18" customHeight="1" x14ac:dyDescent="0.2">
      <c r="B45" s="8"/>
      <c r="C45" s="8"/>
      <c r="D45" s="8"/>
      <c r="E45" s="8"/>
      <c r="F45" s="262" t="s">
        <v>51</v>
      </c>
      <c r="G45" s="220">
        <v>1</v>
      </c>
      <c r="H45" s="242"/>
      <c r="I45" s="322">
        <f>IF(G45="","-",G45*$M$40)</f>
        <v>0.3</v>
      </c>
      <c r="J45" s="62"/>
      <c r="K45" s="256">
        <f>IF(OR($D$20="",$F$20=""),"-",INDEX(Fields!$G$3:$H$5,$AC$4,$AB$4))</f>
        <v>3691600</v>
      </c>
      <c r="L45" s="62"/>
      <c r="M45" s="396">
        <f>IF(G45="","-",+ROUND(I45*K45,-3))</f>
        <v>1107000</v>
      </c>
      <c r="N45" s="396"/>
      <c r="O45" s="396"/>
      <c r="P45" s="8"/>
      <c r="Q45" s="8"/>
      <c r="R45" s="8"/>
      <c r="S45" s="8"/>
      <c r="T45" s="8"/>
    </row>
    <row r="46" spans="2:37" s="36" customFormat="1" ht="18" customHeight="1" x14ac:dyDescent="0.2">
      <c r="B46" s="8"/>
      <c r="C46" s="8"/>
      <c r="D46" s="8"/>
      <c r="E46" s="8"/>
      <c r="F46" s="262" t="s">
        <v>52</v>
      </c>
      <c r="G46" s="220"/>
      <c r="H46" s="242"/>
      <c r="I46" s="322" t="str">
        <f>IF(G46="","-",G46*$M$40)</f>
        <v>-</v>
      </c>
      <c r="J46" s="62"/>
      <c r="K46" s="256">
        <f>IF(OR($D$20="",$F$20=""),"-",INDEX(Fields!$G$3:$H$5,$AC$4,$AB$4))</f>
        <v>3691600</v>
      </c>
      <c r="L46" s="62"/>
      <c r="M46" s="396" t="str">
        <f t="shared" ref="M46:M49" si="0">IF(G46="","-",+ROUND(I46*K46,-3))</f>
        <v>-</v>
      </c>
      <c r="N46" s="396"/>
      <c r="O46" s="396"/>
      <c r="P46" s="8"/>
      <c r="Q46" s="8"/>
      <c r="R46" s="8"/>
      <c r="S46" s="8"/>
      <c r="T46" s="8"/>
    </row>
    <row r="47" spans="2:37" s="36" customFormat="1" ht="18" customHeight="1" x14ac:dyDescent="0.2">
      <c r="B47" s="8"/>
      <c r="C47" s="8"/>
      <c r="D47" s="8"/>
      <c r="E47" s="8"/>
      <c r="F47" s="262" t="s">
        <v>53</v>
      </c>
      <c r="G47" s="220"/>
      <c r="H47" s="258"/>
      <c r="I47" s="322" t="str">
        <f>IF(G47="","-",G47*$O$40)</f>
        <v>-</v>
      </c>
      <c r="J47" s="62"/>
      <c r="K47" s="256">
        <f>IF(OR($D$20="",$F$20=""),"-",INDEX(Fields!$I$3:$J$5,$AC$4,$AB$4))</f>
        <v>182400</v>
      </c>
      <c r="L47" s="62"/>
      <c r="M47" s="396" t="str">
        <f t="shared" si="0"/>
        <v>-</v>
      </c>
      <c r="N47" s="396"/>
      <c r="O47" s="396"/>
      <c r="P47" s="8"/>
      <c r="Q47" s="8"/>
      <c r="R47" s="62" t="s">
        <v>44</v>
      </c>
      <c r="S47" s="8"/>
      <c r="T47" s="8"/>
    </row>
    <row r="48" spans="2:37" s="36" customFormat="1" ht="18" customHeight="1" x14ac:dyDescent="0.2">
      <c r="B48" s="8"/>
      <c r="C48" s="8"/>
      <c r="D48" s="8"/>
      <c r="E48" s="8"/>
      <c r="F48" s="262" t="s">
        <v>54</v>
      </c>
      <c r="G48" s="220"/>
      <c r="H48" s="27"/>
      <c r="I48" s="322" t="str">
        <f>IF(G48="","-",G48*$O$40)</f>
        <v>-</v>
      </c>
      <c r="J48" s="62"/>
      <c r="K48" s="256">
        <f>IF(OR($D$20="",$F$20=""),"-",INDEX(Fields!$I$3:$J$5,$AC$4,$AB$4))</f>
        <v>182400</v>
      </c>
      <c r="L48" s="62"/>
      <c r="M48" s="396" t="str">
        <f t="shared" si="0"/>
        <v>-</v>
      </c>
      <c r="N48" s="396"/>
      <c r="O48" s="396"/>
      <c r="P48" s="8"/>
      <c r="Q48" s="8"/>
      <c r="R48" s="8"/>
      <c r="S48" s="8"/>
      <c r="T48" s="8"/>
    </row>
    <row r="49" spans="2:20" s="36" customFormat="1" ht="18" customHeight="1" x14ac:dyDescent="0.2">
      <c r="B49" s="8"/>
      <c r="C49" s="8"/>
      <c r="D49" s="8"/>
      <c r="E49" s="8"/>
      <c r="F49" s="262" t="s">
        <v>24</v>
      </c>
      <c r="G49" s="220"/>
      <c r="H49" s="8"/>
      <c r="I49" s="322" t="str">
        <f>IF(G49="","-",G49*$Q$40)</f>
        <v>-</v>
      </c>
      <c r="J49" s="62"/>
      <c r="K49" s="256">
        <f>IF(OR($D$20="",$F$20=""),"-",27000)</f>
        <v>27000</v>
      </c>
      <c r="L49" s="62"/>
      <c r="M49" s="396" t="str">
        <f t="shared" si="0"/>
        <v>-</v>
      </c>
      <c r="N49" s="396"/>
      <c r="O49" s="396"/>
      <c r="P49" s="8"/>
      <c r="Q49" s="8"/>
      <c r="R49" s="8"/>
      <c r="S49" s="8"/>
      <c r="T49" s="8"/>
    </row>
    <row r="50" spans="2:20" s="36" customFormat="1" ht="14.25" x14ac:dyDescent="0.2">
      <c r="B50" s="8"/>
      <c r="C50" s="8"/>
      <c r="D50" s="8"/>
      <c r="E50" s="8"/>
      <c r="F50" s="8"/>
      <c r="G50" s="8"/>
      <c r="H50" s="8"/>
      <c r="I50" s="8"/>
      <c r="J50" s="8"/>
      <c r="K50" s="67"/>
      <c r="L50" s="8"/>
      <c r="M50" s="8"/>
      <c r="N50" s="8"/>
      <c r="O50" s="8"/>
      <c r="P50" s="8"/>
      <c r="Q50" s="8"/>
      <c r="R50" s="8"/>
      <c r="S50" s="8"/>
      <c r="T50" s="8"/>
    </row>
    <row r="51" spans="2:20" s="36" customFormat="1" ht="15.75" customHeight="1" x14ac:dyDescent="0.2">
      <c r="B51" s="8"/>
      <c r="C51" s="8"/>
      <c r="D51" s="8"/>
      <c r="E51" s="8"/>
      <c r="F51" s="8"/>
      <c r="G51"/>
      <c r="H51"/>
      <c r="I51"/>
      <c r="J51"/>
      <c r="K51"/>
      <c r="L51"/>
      <c r="M51"/>
      <c r="N51"/>
      <c r="O51"/>
      <c r="P51"/>
      <c r="Q51"/>
      <c r="R51"/>
      <c r="S51"/>
      <c r="T51" s="8"/>
    </row>
    <row r="52" spans="2:20" s="36" customFormat="1" ht="18" customHeight="1" x14ac:dyDescent="0.25">
      <c r="B52" s="8"/>
      <c r="C52" s="8"/>
      <c r="D52" s="8"/>
      <c r="E52" s="8"/>
      <c r="F52" s="8"/>
      <c r="G52"/>
      <c r="H52" s="8"/>
      <c r="I52" s="8"/>
      <c r="J52" s="77" t="s">
        <v>41</v>
      </c>
      <c r="K52" s="302">
        <v>60</v>
      </c>
      <c r="L52" s="180" t="s">
        <v>609</v>
      </c>
      <c r="M52" s="8"/>
      <c r="N52" s="77" t="s">
        <v>608</v>
      </c>
      <c r="O52" s="396">
        <f>SUM(M45:O49)</f>
        <v>1107000</v>
      </c>
      <c r="P52" s="396"/>
      <c r="Q52" s="396"/>
      <c r="R52"/>
      <c r="S52"/>
      <c r="T52" s="8"/>
    </row>
    <row r="53" spans="2:20" s="36" customFormat="1" ht="17.25" customHeight="1" thickBot="1" x14ac:dyDescent="0.25">
      <c r="B53" s="399" t="s">
        <v>332</v>
      </c>
      <c r="C53" s="399"/>
      <c r="D53" s="399"/>
      <c r="E53" s="399"/>
      <c r="F53" s="8"/>
      <c r="G53"/>
      <c r="H53" s="8"/>
      <c r="I53" s="8"/>
      <c r="J53" s="8"/>
      <c r="K53" s="8"/>
      <c r="L53" s="8"/>
      <c r="M53" s="8"/>
      <c r="N53" s="8"/>
      <c r="O53" s="8"/>
      <c r="P53" s="8"/>
      <c r="Q53" s="8"/>
      <c r="R53"/>
      <c r="S53"/>
      <c r="T53" s="276"/>
    </row>
    <row r="54" spans="2:20" s="36" customFormat="1" ht="15.75" customHeight="1" thickTop="1" x14ac:dyDescent="0.2">
      <c r="B54" s="68" t="s">
        <v>50</v>
      </c>
      <c r="C54" s="69"/>
      <c r="D54" s="70" t="s">
        <v>25</v>
      </c>
      <c r="E54" s="71" t="s">
        <v>6</v>
      </c>
      <c r="F54" s="8"/>
      <c r="G54"/>
      <c r="H54" s="8"/>
      <c r="I54" s="8"/>
      <c r="J54" s="8"/>
      <c r="K54" s="8"/>
      <c r="L54" s="8"/>
      <c r="M54" s="8"/>
      <c r="N54" s="8"/>
      <c r="O54" s="8"/>
      <c r="P54" s="8"/>
      <c r="Q54" s="8"/>
      <c r="R54"/>
      <c r="S54"/>
      <c r="T54" s="8"/>
    </row>
    <row r="55" spans="2:20" s="36" customFormat="1" ht="18" customHeight="1" x14ac:dyDescent="0.25">
      <c r="B55" s="263" t="s">
        <v>329</v>
      </c>
      <c r="C55" s="228"/>
      <c r="D55" s="228"/>
      <c r="E55" s="229"/>
      <c r="F55" s="8"/>
      <c r="G55"/>
      <c r="H55" s="8"/>
      <c r="I55" s="8"/>
      <c r="J55" s="8"/>
      <c r="K55" s="8"/>
      <c r="L55" s="8"/>
      <c r="M55" s="8"/>
      <c r="N55" s="77" t="s">
        <v>334</v>
      </c>
      <c r="O55" s="396">
        <f>IF(K52="-","-",ROUND(O52/(K52/12),-3))</f>
        <v>221000</v>
      </c>
      <c r="P55" s="396"/>
      <c r="Q55" s="396"/>
      <c r="R55"/>
      <c r="S55"/>
      <c r="T55" s="8"/>
    </row>
    <row r="56" spans="2:20" s="36" customFormat="1" ht="14.25" x14ac:dyDescent="0.2">
      <c r="B56" s="73" t="s">
        <v>42</v>
      </c>
      <c r="C56" s="74"/>
      <c r="D56" s="75">
        <v>27000</v>
      </c>
      <c r="E56" s="76">
        <v>27000</v>
      </c>
      <c r="F56" s="8"/>
      <c r="G56"/>
      <c r="H56" s="8"/>
      <c r="I56" s="8"/>
      <c r="J56" s="8"/>
      <c r="K56" s="8"/>
      <c r="L56" s="8"/>
      <c r="M56" s="8"/>
      <c r="N56" s="8"/>
      <c r="O56" s="8"/>
      <c r="P56" s="8"/>
      <c r="Q56" s="8"/>
      <c r="R56"/>
      <c r="S56"/>
      <c r="T56" s="276"/>
    </row>
    <row r="57" spans="2:20" s="36" customFormat="1" ht="17.25" customHeight="1" x14ac:dyDescent="0.2">
      <c r="B57" s="400" t="s">
        <v>331</v>
      </c>
      <c r="C57" s="401"/>
      <c r="D57" s="401"/>
      <c r="E57" s="402"/>
      <c r="F57" s="8"/>
      <c r="G57"/>
      <c r="H57" s="8"/>
      <c r="I57" s="8"/>
      <c r="J57" s="8"/>
      <c r="K57" s="8"/>
      <c r="L57" s="8"/>
      <c r="M57" s="8"/>
      <c r="N57" s="8"/>
      <c r="O57" s="8"/>
      <c r="P57" s="8"/>
      <c r="Q57" s="8"/>
      <c r="R57"/>
      <c r="S57"/>
      <c r="T57" s="276"/>
    </row>
    <row r="58" spans="2:20" s="36" customFormat="1" ht="18" customHeight="1" x14ac:dyDescent="0.25">
      <c r="B58" s="73" t="s">
        <v>48</v>
      </c>
      <c r="C58" s="74"/>
      <c r="D58" s="75">
        <v>176800</v>
      </c>
      <c r="E58" s="76">
        <v>200800</v>
      </c>
      <c r="F58" s="8"/>
      <c r="G58"/>
      <c r="H58" s="8"/>
      <c r="I58" s="8"/>
      <c r="J58" s="8"/>
      <c r="K58" s="8"/>
      <c r="L58" s="8"/>
      <c r="M58" s="8"/>
      <c r="N58" s="77" t="s">
        <v>553</v>
      </c>
      <c r="O58" s="404"/>
      <c r="P58" s="404"/>
      <c r="Q58" s="404"/>
      <c r="R58"/>
      <c r="S58"/>
      <c r="T58" s="276"/>
    </row>
    <row r="59" spans="2:20" s="36" customFormat="1" ht="15.75" customHeight="1" x14ac:dyDescent="0.2">
      <c r="B59" s="78" t="s">
        <v>7</v>
      </c>
      <c r="C59" s="35"/>
      <c r="D59" s="75">
        <v>182400</v>
      </c>
      <c r="E59" s="76">
        <v>208000</v>
      </c>
      <c r="F59" s="8"/>
      <c r="G59"/>
      <c r="H59" s="8"/>
      <c r="I59" s="8"/>
      <c r="J59" s="8"/>
      <c r="K59" s="8"/>
      <c r="L59" s="8"/>
      <c r="M59" s="8"/>
      <c r="N59" s="8"/>
      <c r="O59" s="8"/>
      <c r="P59" s="8"/>
      <c r="Q59" s="8"/>
      <c r="R59"/>
      <c r="S59"/>
      <c r="T59" s="276"/>
    </row>
    <row r="60" spans="2:20" s="36" customFormat="1" ht="14.25" x14ac:dyDescent="0.2">
      <c r="B60" s="78" t="s">
        <v>56</v>
      </c>
      <c r="C60" s="35"/>
      <c r="D60" s="75">
        <v>184700</v>
      </c>
      <c r="E60" s="76">
        <v>210800</v>
      </c>
      <c r="F60" s="8"/>
      <c r="G60"/>
      <c r="H60" s="8"/>
      <c r="I60" s="8"/>
      <c r="J60" s="8"/>
      <c r="K60" s="8"/>
      <c r="L60" s="8"/>
      <c r="M60" s="8"/>
      <c r="N60" s="8"/>
      <c r="O60" s="8"/>
      <c r="P60" s="8"/>
      <c r="Q60" s="8"/>
      <c r="R60"/>
      <c r="S60"/>
      <c r="T60" s="276"/>
    </row>
    <row r="61" spans="2:20" s="36" customFormat="1" ht="18" customHeight="1" x14ac:dyDescent="0.25">
      <c r="B61" s="403" t="s">
        <v>910</v>
      </c>
      <c r="C61" s="401"/>
      <c r="D61" s="401"/>
      <c r="E61" s="402"/>
      <c r="F61" s="8"/>
      <c r="G61"/>
      <c r="H61" s="8"/>
      <c r="I61" s="8"/>
      <c r="J61" s="8"/>
      <c r="K61" s="8"/>
      <c r="L61" s="8"/>
      <c r="M61" s="8"/>
      <c r="N61" s="77" t="s">
        <v>552</v>
      </c>
      <c r="O61" s="404"/>
      <c r="P61" s="404"/>
      <c r="Q61" s="404"/>
      <c r="R61"/>
      <c r="S61"/>
      <c r="T61" s="8"/>
    </row>
    <row r="62" spans="2:20" s="36" customFormat="1" ht="14.25" x14ac:dyDescent="0.2">
      <c r="B62" s="73" t="s">
        <v>48</v>
      </c>
      <c r="C62" s="74"/>
      <c r="D62" s="75">
        <v>3966800</v>
      </c>
      <c r="E62" s="76">
        <v>4761200</v>
      </c>
      <c r="F62" s="8"/>
      <c r="G62"/>
      <c r="H62" s="8"/>
      <c r="I62" s="8"/>
      <c r="J62" s="8"/>
      <c r="K62" s="8"/>
      <c r="L62" s="8"/>
      <c r="M62" s="8"/>
      <c r="N62" s="8"/>
      <c r="O62" s="8"/>
      <c r="P62" s="8"/>
      <c r="Q62" s="8"/>
      <c r="R62"/>
      <c r="S62"/>
      <c r="T62" s="8"/>
    </row>
    <row r="63" spans="2:20" s="36" customFormat="1" ht="14.25" x14ac:dyDescent="0.2">
      <c r="B63" s="73" t="s">
        <v>7</v>
      </c>
      <c r="C63" s="74"/>
      <c r="D63" s="75">
        <v>3691600</v>
      </c>
      <c r="E63" s="76">
        <v>5110100</v>
      </c>
      <c r="F63" s="8"/>
      <c r="G63" s="8"/>
      <c r="H63" s="8"/>
      <c r="I63" s="8"/>
      <c r="J63" s="8"/>
      <c r="K63" s="8"/>
      <c r="L63" s="8"/>
      <c r="M63" s="8"/>
      <c r="N63" s="8"/>
      <c r="O63" s="8"/>
      <c r="P63" s="8"/>
      <c r="Q63" s="8"/>
      <c r="R63" s="8"/>
      <c r="S63" s="8"/>
      <c r="T63" s="276"/>
    </row>
    <row r="64" spans="2:20" s="36" customFormat="1" ht="18" customHeight="1" thickBot="1" x14ac:dyDescent="0.3">
      <c r="B64" s="267" t="s">
        <v>56</v>
      </c>
      <c r="C64" s="268"/>
      <c r="D64" s="81">
        <v>2773800</v>
      </c>
      <c r="E64" s="82">
        <v>4352600</v>
      </c>
      <c r="F64" s="8"/>
      <c r="G64" s="8"/>
      <c r="H64" s="8"/>
      <c r="I64" s="8"/>
      <c r="J64" s="8"/>
      <c r="K64" s="8"/>
      <c r="L64" s="8"/>
      <c r="M64" s="8"/>
      <c r="N64" s="77" t="s">
        <v>335</v>
      </c>
      <c r="O64" s="396">
        <f>ROUND(O58+O61*(((1+AE4)^AD4-1)/(AE4*(1+AE4)^AD4)),-3)</f>
        <v>0</v>
      </c>
      <c r="P64" s="396"/>
      <c r="Q64" s="396"/>
      <c r="R64" s="8"/>
      <c r="S64" s="8"/>
      <c r="T64" s="8"/>
    </row>
    <row r="65" spans="1:27" s="36" customFormat="1" ht="15" thickTop="1" x14ac:dyDescent="0.2">
      <c r="B65" s="269"/>
      <c r="C65" s="269"/>
      <c r="D65" s="270"/>
      <c r="E65" s="270"/>
      <c r="F65" s="8"/>
      <c r="G65" s="8"/>
      <c r="H65" s="8"/>
      <c r="I65" s="8"/>
      <c r="J65" s="8"/>
      <c r="K65" s="8"/>
      <c r="L65" s="8"/>
      <c r="M65" s="8"/>
      <c r="N65" s="8"/>
      <c r="O65" s="8"/>
      <c r="P65" s="8"/>
      <c r="Q65" s="8"/>
      <c r="R65" s="8"/>
      <c r="S65" s="8"/>
      <c r="T65" s="8"/>
    </row>
    <row r="66" spans="1:27" s="36" customFormat="1" ht="14.25" customHeight="1" x14ac:dyDescent="0.25">
      <c r="B66" s="85" t="s">
        <v>38</v>
      </c>
      <c r="C66" s="8"/>
      <c r="D66" s="8"/>
      <c r="E66" s="8"/>
      <c r="F66" s="8"/>
      <c r="G66" s="8"/>
      <c r="H66" s="8"/>
      <c r="I66" s="8"/>
      <c r="J66" s="8"/>
      <c r="K66" s="8"/>
      <c r="L66" s="8"/>
      <c r="M66" s="8"/>
      <c r="N66" s="8"/>
      <c r="O66" s="8"/>
      <c r="P66" s="8"/>
      <c r="Q66" s="8"/>
      <c r="R66" s="8"/>
      <c r="S66" s="8"/>
      <c r="T66" s="6"/>
    </row>
    <row r="67" spans="1:27" s="36" customFormat="1" ht="18" customHeight="1" x14ac:dyDescent="0.25">
      <c r="A67" s="318"/>
      <c r="B67" s="379" t="s">
        <v>692</v>
      </c>
      <c r="C67" s="379"/>
      <c r="D67" s="379"/>
      <c r="E67" s="379"/>
      <c r="F67" s="379"/>
      <c r="G67" s="8"/>
      <c r="H67" s="8"/>
      <c r="I67" s="8"/>
      <c r="J67" s="8"/>
      <c r="K67" s="8"/>
      <c r="L67"/>
      <c r="M67" s="248"/>
      <c r="N67" s="247" t="s">
        <v>336</v>
      </c>
      <c r="O67" s="398" t="str">
        <f>IF(O64=0,"",O55*(IF(AD4=0,"",((1+AE4)^AD4-1)/(AE4*(1+AE4)^AD4)))/O64)</f>
        <v/>
      </c>
      <c r="P67" s="398"/>
      <c r="Q67" s="398"/>
      <c r="R67" s="8"/>
      <c r="S67" s="8"/>
      <c r="T67" s="6" t="s">
        <v>44</v>
      </c>
      <c r="X67" s="133"/>
      <c r="Y67" s="133"/>
      <c r="Z67" s="139"/>
      <c r="AA67" s="139"/>
    </row>
    <row r="68" spans="1:27" s="36" customFormat="1" ht="14.25" customHeight="1" x14ac:dyDescent="0.2">
      <c r="A68" s="318"/>
      <c r="B68" s="379"/>
      <c r="C68" s="379"/>
      <c r="D68" s="379"/>
      <c r="E68" s="379"/>
      <c r="F68" s="379"/>
      <c r="G68" s="92"/>
      <c r="H68" s="8"/>
      <c r="I68" s="8"/>
      <c r="J68" s="8"/>
      <c r="K68" s="8"/>
      <c r="L68" s="8"/>
      <c r="M68" s="8"/>
      <c r="N68" s="8"/>
      <c r="O68" s="8"/>
      <c r="P68" s="8"/>
      <c r="Q68" s="8"/>
      <c r="R68" s="245"/>
      <c r="S68" s="8"/>
      <c r="T68" s="6"/>
      <c r="X68" s="134"/>
      <c r="Y68" s="134"/>
      <c r="Z68" s="139"/>
      <c r="AA68" s="139"/>
    </row>
    <row r="69" spans="1:27" s="36" customFormat="1" ht="15" x14ac:dyDescent="0.2">
      <c r="A69" s="318"/>
      <c r="B69" s="394" t="s">
        <v>915</v>
      </c>
      <c r="C69" s="394"/>
      <c r="D69" s="394"/>
      <c r="E69" s="394"/>
      <c r="F69" s="394"/>
      <c r="G69" s="92"/>
      <c r="H69"/>
      <c r="I69"/>
      <c r="J69"/>
      <c r="K69"/>
      <c r="L69"/>
      <c r="M69"/>
      <c r="N69"/>
      <c r="O69"/>
      <c r="P69"/>
      <c r="Q69"/>
      <c r="R69" s="245"/>
      <c r="S69" s="8"/>
      <c r="T69" s="6"/>
      <c r="X69" s="134"/>
      <c r="Y69" s="134"/>
      <c r="Z69" s="139"/>
      <c r="AA69" s="139"/>
    </row>
    <row r="70" spans="1:27" s="36" customFormat="1" ht="15" customHeight="1" x14ac:dyDescent="0.2">
      <c r="A70" s="318"/>
      <c r="B70" s="394"/>
      <c r="C70" s="394"/>
      <c r="D70" s="394"/>
      <c r="E70" s="394"/>
      <c r="F70" s="394"/>
      <c r="G70" s="8"/>
      <c r="H70"/>
      <c r="I70"/>
      <c r="J70"/>
      <c r="K70"/>
      <c r="L70" s="8"/>
      <c r="M70" s="8"/>
      <c r="N70" s="8"/>
      <c r="O70" s="8"/>
      <c r="P70" s="8"/>
      <c r="Q70" s="8"/>
      <c r="R70" s="8"/>
      <c r="S70" s="8"/>
      <c r="T70" s="8"/>
      <c r="X70" s="408"/>
      <c r="Y70" s="408"/>
      <c r="Z70" s="408"/>
      <c r="AA70" s="408"/>
    </row>
    <row r="71" spans="1:27" s="36" customFormat="1" ht="15" customHeight="1" x14ac:dyDescent="0.2">
      <c r="A71" s="318"/>
      <c r="B71" s="244" t="s">
        <v>693</v>
      </c>
      <c r="C71" s="157"/>
      <c r="D71" s="157"/>
      <c r="E71" s="157"/>
      <c r="F71" s="157"/>
      <c r="G71" s="8"/>
      <c r="H71" s="8"/>
      <c r="I71" s="8"/>
      <c r="J71" s="8"/>
      <c r="K71" s="8"/>
      <c r="L71" s="8"/>
      <c r="M71" s="8"/>
      <c r="N71" s="8"/>
      <c r="O71" s="8"/>
      <c r="P71" s="8"/>
      <c r="Q71" s="8"/>
      <c r="R71" s="8"/>
      <c r="S71" s="8"/>
      <c r="T71" s="37"/>
      <c r="U71" s="140"/>
      <c r="X71" s="133"/>
      <c r="Y71" s="133"/>
      <c r="Z71" s="139"/>
      <c r="AA71" s="139"/>
    </row>
    <row r="72" spans="1:27" s="36" customFormat="1" ht="15" customHeight="1" x14ac:dyDescent="0.2">
      <c r="A72" s="318"/>
      <c r="B72" s="244" t="s">
        <v>694</v>
      </c>
      <c r="C72" s="157"/>
      <c r="D72" s="157"/>
      <c r="E72" s="157"/>
      <c r="F72" s="157"/>
      <c r="G72" s="8"/>
      <c r="H72" s="8"/>
      <c r="I72" s="8"/>
      <c r="J72" s="8"/>
      <c r="K72" s="8"/>
      <c r="L72" s="8"/>
      <c r="M72" s="8"/>
      <c r="N72" s="8"/>
      <c r="O72" s="8"/>
      <c r="P72" s="8"/>
      <c r="Q72" s="8"/>
      <c r="R72" s="8"/>
      <c r="S72" s="8"/>
      <c r="T72" s="37"/>
      <c r="U72" s="140"/>
      <c r="X72" s="133"/>
      <c r="Y72" s="133"/>
      <c r="Z72" s="139"/>
      <c r="AA72" s="139"/>
    </row>
    <row r="73" spans="1:27" s="36" customFormat="1" ht="15" x14ac:dyDescent="0.2">
      <c r="A73" s="318"/>
      <c r="B73" s="244" t="s">
        <v>695</v>
      </c>
      <c r="C73" s="157"/>
      <c r="D73" s="157"/>
      <c r="E73" s="157"/>
      <c r="F73" s="157"/>
      <c r="G73" s="8"/>
      <c r="H73" s="8"/>
      <c r="I73" s="8"/>
      <c r="J73" s="8"/>
      <c r="K73" s="8"/>
      <c r="L73" s="8"/>
      <c r="M73" s="8"/>
      <c r="N73" s="8"/>
      <c r="O73" s="8"/>
      <c r="P73" s="8"/>
      <c r="Q73" s="8"/>
      <c r="R73" s="8"/>
      <c r="S73" s="8"/>
      <c r="T73" s="8"/>
    </row>
    <row r="74" spans="1:27" s="36" customFormat="1" ht="16.5" customHeight="1" x14ac:dyDescent="0.2">
      <c r="B74" s="8"/>
      <c r="C74" s="8"/>
      <c r="D74" s="8"/>
      <c r="E74" s="8"/>
      <c r="F74" s="8"/>
      <c r="G74" s="8"/>
      <c r="H74" s="8"/>
      <c r="I74" s="8"/>
      <c r="J74" s="8"/>
      <c r="K74" s="8"/>
      <c r="L74" s="8"/>
      <c r="M74" s="8"/>
      <c r="N74" s="8"/>
      <c r="O74" s="8"/>
      <c r="P74" s="8"/>
      <c r="Q74" s="8"/>
      <c r="R74" s="8"/>
      <c r="S74" s="8"/>
      <c r="T74" s="8"/>
    </row>
    <row r="75" spans="1:27" s="36" customFormat="1" ht="13.5" customHeight="1" x14ac:dyDescent="0.2">
      <c r="B75" s="8"/>
      <c r="C75" s="8"/>
      <c r="D75" s="8"/>
      <c r="E75" s="8"/>
      <c r="F75" s="8"/>
      <c r="G75" s="8"/>
      <c r="H75" s="8"/>
      <c r="I75" s="8"/>
      <c r="J75" s="8"/>
      <c r="K75" s="8"/>
      <c r="L75" s="8"/>
      <c r="M75" s="8"/>
      <c r="N75" s="8"/>
      <c r="O75" s="8"/>
      <c r="P75" s="8"/>
      <c r="Q75" s="8"/>
      <c r="R75" s="8"/>
      <c r="S75" s="8"/>
      <c r="T75" s="8"/>
    </row>
    <row r="76" spans="1:27" s="36" customFormat="1" ht="15.75" customHeight="1" x14ac:dyDescent="0.2">
      <c r="B76" s="8"/>
      <c r="C76" s="8"/>
      <c r="D76" s="8"/>
      <c r="E76" s="8"/>
      <c r="F76" s="8"/>
      <c r="G76" s="8"/>
      <c r="H76" s="34"/>
      <c r="I76" s="34"/>
      <c r="J76" s="34"/>
      <c r="K76" s="34"/>
      <c r="L76" s="34"/>
      <c r="M76" s="34"/>
      <c r="N76" s="34"/>
      <c r="O76" s="34"/>
      <c r="P76" s="34"/>
      <c r="Q76" s="34"/>
      <c r="R76" s="34"/>
      <c r="S76" s="34"/>
      <c r="T76" s="8"/>
    </row>
    <row r="77" spans="1:27" s="36" customFormat="1" ht="15.75" customHeight="1" x14ac:dyDescent="0.25">
      <c r="B77" s="8"/>
      <c r="C77" s="8"/>
      <c r="D77" s="8"/>
      <c r="E77" s="8"/>
      <c r="F77" s="8"/>
      <c r="G77" s="8"/>
      <c r="H77" s="34"/>
      <c r="I77" s="34"/>
      <c r="J77" s="34"/>
      <c r="K77" s="34"/>
      <c r="L77" s="34"/>
      <c r="M77" s="34"/>
      <c r="N77" s="34"/>
      <c r="O77" s="34"/>
      <c r="P77" s="34"/>
      <c r="Q77" s="34"/>
      <c r="R77" s="34"/>
      <c r="S77" s="34"/>
      <c r="T77" s="260"/>
    </row>
    <row r="78" spans="1:27" s="36" customFormat="1" ht="14.25" x14ac:dyDescent="0.2">
      <c r="B78" s="8"/>
      <c r="C78" s="8"/>
      <c r="D78" s="8"/>
      <c r="E78" s="8"/>
      <c r="F78" s="34"/>
      <c r="G78" s="34"/>
      <c r="H78" s="34"/>
      <c r="I78" s="34"/>
      <c r="J78" s="34"/>
      <c r="K78" s="34"/>
      <c r="L78" s="34"/>
      <c r="M78" s="34"/>
      <c r="N78" s="34"/>
      <c r="O78" s="34"/>
      <c r="P78" s="34"/>
      <c r="Q78" s="34"/>
      <c r="R78" s="34"/>
      <c r="S78" s="34"/>
      <c r="T78" s="34"/>
    </row>
    <row r="79" spans="1:27" x14ac:dyDescent="0.2">
      <c r="B79"/>
      <c r="C79"/>
      <c r="D79"/>
      <c r="E79"/>
      <c r="F79" s="34"/>
      <c r="G79" s="34"/>
      <c r="H79" s="245"/>
      <c r="I79" s="245"/>
      <c r="J79" s="245"/>
      <c r="K79" s="245"/>
      <c r="L79" s="245"/>
      <c r="M79" s="245"/>
      <c r="N79" s="245"/>
      <c r="O79" s="245"/>
      <c r="P79" s="245"/>
      <c r="Q79" s="245"/>
      <c r="R79" s="245"/>
      <c r="S79" s="245"/>
      <c r="T79"/>
    </row>
    <row r="80" spans="1:27" x14ac:dyDescent="0.2">
      <c r="B80"/>
      <c r="C80"/>
      <c r="D80"/>
      <c r="E80"/>
      <c r="F80" s="34"/>
      <c r="G80" s="34"/>
      <c r="H80"/>
      <c r="I80"/>
      <c r="J80"/>
      <c r="K80"/>
      <c r="L80"/>
      <c r="M80"/>
      <c r="N80"/>
      <c r="O80"/>
      <c r="P80"/>
      <c r="Q80"/>
      <c r="R80"/>
      <c r="S80"/>
      <c r="T80"/>
    </row>
    <row r="81" spans="2:19" ht="27.75" customHeight="1" x14ac:dyDescent="0.2">
      <c r="F81" s="142"/>
      <c r="G81" s="142"/>
      <c r="H81" s="142"/>
      <c r="I81" s="142"/>
      <c r="J81" s="142"/>
      <c r="K81" s="142"/>
      <c r="L81" s="142"/>
      <c r="M81" s="142"/>
      <c r="N81" s="142"/>
      <c r="O81" s="142"/>
      <c r="P81" s="142"/>
      <c r="Q81" s="142"/>
      <c r="R81" s="142"/>
      <c r="S81" s="142"/>
    </row>
    <row r="82" spans="2:19" ht="12.75" hidden="1" customHeight="1" x14ac:dyDescent="0.2">
      <c r="B82" s="135" t="s">
        <v>56</v>
      </c>
      <c r="C82" s="136"/>
      <c r="D82" s="137"/>
      <c r="E82" s="138"/>
    </row>
    <row r="83" spans="2:19" x14ac:dyDescent="0.2"/>
  </sheetData>
  <sheetProtection selectLockedCells="1"/>
  <mergeCells count="44">
    <mergeCell ref="N22:P22"/>
    <mergeCell ref="D13:E13"/>
    <mergeCell ref="G13:I13"/>
    <mergeCell ref="N13:S13"/>
    <mergeCell ref="H17:K17"/>
    <mergeCell ref="B3:S3"/>
    <mergeCell ref="B5:S5"/>
    <mergeCell ref="X70:AA70"/>
    <mergeCell ref="B4:S4"/>
    <mergeCell ref="D10:I10"/>
    <mergeCell ref="K26:S26"/>
    <mergeCell ref="D24:S24"/>
    <mergeCell ref="D26:F26"/>
    <mergeCell ref="F20:I20"/>
    <mergeCell ref="M29:Q29"/>
    <mergeCell ref="I29:I30"/>
    <mergeCell ref="K29:K30"/>
    <mergeCell ref="N10:P10"/>
    <mergeCell ref="M43:O43"/>
    <mergeCell ref="N17:P17"/>
    <mergeCell ref="F22:I22"/>
    <mergeCell ref="M46:O46"/>
    <mergeCell ref="M47:O47"/>
    <mergeCell ref="S29:S30"/>
    <mergeCell ref="D32:G32"/>
    <mergeCell ref="D34:G34"/>
    <mergeCell ref="D36:G36"/>
    <mergeCell ref="D38:G38"/>
    <mergeCell ref="B69:F70"/>
    <mergeCell ref="B67:F68"/>
    <mergeCell ref="U32:AH34"/>
    <mergeCell ref="O64:Q64"/>
    <mergeCell ref="D29:G31"/>
    <mergeCell ref="O67:Q67"/>
    <mergeCell ref="B53:E53"/>
    <mergeCell ref="B57:E57"/>
    <mergeCell ref="B61:E61"/>
    <mergeCell ref="M48:O48"/>
    <mergeCell ref="M49:O49"/>
    <mergeCell ref="O52:Q52"/>
    <mergeCell ref="O55:Q55"/>
    <mergeCell ref="O58:Q58"/>
    <mergeCell ref="O61:Q61"/>
    <mergeCell ref="M45:O45"/>
  </mergeCells>
  <phoneticPr fontId="21" type="noConversion"/>
  <pageMargins left="0.7" right="0.2" top="0.75" bottom="0.5" header="0.05" footer="0.05"/>
  <pageSetup scale="50" orientation="portrait" r:id="rId1"/>
  <headerFooter alignWithMargins="0">
    <oddFooter>&amp;L&amp;F,&amp;A&amp;R&amp;D  &amp;T</oddFooter>
  </headerFooter>
  <ignoredErrors>
    <ignoredError sqref="M40 I38:K38 M38:S38 O40:Q40 I32:K32 I50:L51 I53:L53 I54:J55 I46:K48 L48 L47 L46 L49 L45 M32:S32 M34:S34 I34:K34 M36:S36 I36:K36 I52:J52 J20:K20 E20 J17:K17 J13:P13 E13 D14:S16 Q10:R10 J10:M10 E17 D18:K19 D21:S21 L17:M17 L18:S20 Q17:R17 D23:S23 E22 J22:M22 Q22:R22 D25:S25 G26:J26 D11:S12 D10:I10 D13 D26:F26 K26:S26 D24:S24 D22 S22 N22:P22 F22:I22 D17 S17 D20 N17:P17 F17:I17 N10:P10 S10 F13:I13 Q13:S13 F20:I20 I49:J49 I45:J45" unlockedFormula="1"/>
    <ignoredError sqref="M52 M45:O45 M49:O49 M46:O46 M47:O47 M48:O48 O65:Q66 O62:Q63 P67:Q67 P45:Q51 M53:N53 M50:O51 O52:Q53 P64:Q64" evalError="1" unlockedFormula="1"/>
    <ignoredError sqref="M54:Q54 N52 M67:N67 M64:N66 M62:N63 M58:N61 M56:Q57 M55:N55 P55:Q55" evalError="1"/>
  </ignoredErrors>
  <drawing r:id="rId2"/>
  <legacyDrawing r:id="rId3"/>
  <controls>
    <mc:AlternateContent xmlns:mc="http://schemas.openxmlformats.org/markup-compatibility/2006">
      <mc:Choice Requires="x14">
        <control shapeId="2058" r:id="rId4" name="CommandButton4">
          <controlPr defaultSize="0" print="0" autoLine="0" r:id="rId5">
            <anchor moveWithCells="1" sizeWithCells="1">
              <from>
                <xdr:col>16</xdr:col>
                <xdr:colOff>514350</xdr:colOff>
                <xdr:row>3</xdr:row>
                <xdr:rowOff>95250</xdr:rowOff>
              </from>
              <to>
                <xdr:col>18</xdr:col>
                <xdr:colOff>514350</xdr:colOff>
                <xdr:row>4</xdr:row>
                <xdr:rowOff>161925</xdr:rowOff>
              </to>
            </anchor>
          </controlPr>
        </control>
      </mc:Choice>
      <mc:Fallback>
        <control shapeId="2058" r:id="rId4" name="CommandButton4"/>
      </mc:Fallback>
    </mc:AlternateContent>
    <mc:AlternateContent xmlns:mc="http://schemas.openxmlformats.org/markup-compatibility/2006">
      <mc:Choice Requires="x14">
        <control shapeId="2057" r:id="rId6" name="CommandButton3">
          <controlPr defaultSize="0" print="0" autoLine="0" r:id="rId7">
            <anchor moveWithCells="1" sizeWithCells="1">
              <from>
                <xdr:col>14</xdr:col>
                <xdr:colOff>361950</xdr:colOff>
                <xdr:row>3</xdr:row>
                <xdr:rowOff>95250</xdr:rowOff>
              </from>
              <to>
                <xdr:col>16</xdr:col>
                <xdr:colOff>381000</xdr:colOff>
                <xdr:row>4</xdr:row>
                <xdr:rowOff>161925</xdr:rowOff>
              </to>
            </anchor>
          </controlPr>
        </control>
      </mc:Choice>
      <mc:Fallback>
        <control shapeId="2057" r:id="rId6" name="CommandButton3"/>
      </mc:Fallback>
    </mc:AlternateContent>
    <mc:AlternateContent xmlns:mc="http://schemas.openxmlformats.org/markup-compatibility/2006">
      <mc:Choice Requires="x14">
        <control shapeId="2051" r:id="rId8" name="CommandButton2">
          <controlPr defaultSize="0" print="0" autoLine="0" r:id="rId9">
            <anchor moveWithCells="1" sizeWithCells="1">
              <from>
                <xdr:col>12</xdr:col>
                <xdr:colOff>238125</xdr:colOff>
                <xdr:row>3</xdr:row>
                <xdr:rowOff>95250</xdr:rowOff>
              </from>
              <to>
                <xdr:col>14</xdr:col>
                <xdr:colOff>257175</xdr:colOff>
                <xdr:row>4</xdr:row>
                <xdr:rowOff>161925</xdr:rowOff>
              </to>
            </anchor>
          </controlPr>
        </control>
      </mc:Choice>
      <mc:Fallback>
        <control shapeId="2051" r:id="rId8" name="Command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Fields!$P$2:$P$167</xm:f>
          </x14:formula1>
          <xm:sqref>D32:G38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M90"/>
  <sheetViews>
    <sheetView showGridLines="0" tabSelected="1" view="pageBreakPreview" topLeftCell="A37" zoomScale="70" zoomScaleNormal="89" zoomScaleSheetLayoutView="70" workbookViewId="0">
      <selection activeCell="K62" sqref="K62"/>
    </sheetView>
  </sheetViews>
  <sheetFormatPr defaultColWidth="9.140625" defaultRowHeight="12.75" zeroHeight="1" x14ac:dyDescent="0.2"/>
  <cols>
    <col min="1" max="1" width="2.7109375" customWidth="1"/>
    <col min="2" max="2" width="23.7109375" customWidth="1"/>
    <col min="3" max="3" width="3.140625" customWidth="1"/>
    <col min="4" max="4" width="18.7109375" customWidth="1"/>
    <col min="5" max="5" width="24.7109375" customWidth="1"/>
    <col min="6" max="6" width="21.7109375" customWidth="1"/>
    <col min="7" max="7" width="17.5703125" customWidth="1"/>
    <col min="8" max="8" width="1.7109375" customWidth="1"/>
    <col min="9" max="9" width="15.7109375" customWidth="1"/>
    <col min="10" max="10" width="2.28515625" customWidth="1"/>
    <col min="11" max="11" width="15.140625" customWidth="1"/>
    <col min="12" max="12" width="2.7109375" customWidth="1"/>
    <col min="13" max="13" width="8.85546875" customWidth="1"/>
    <col min="14" max="14" width="2.28515625" customWidth="1"/>
    <col min="15" max="15" width="8.85546875" customWidth="1"/>
    <col min="16" max="16" width="2.28515625" customWidth="1"/>
    <col min="17" max="17" width="8.85546875" customWidth="1"/>
    <col min="18" max="18" width="2.42578125" customWidth="1"/>
    <col min="19" max="19" width="16.85546875" customWidth="1"/>
    <col min="20" max="20" width="2.42578125" customWidth="1"/>
    <col min="21" max="21" width="9.140625" customWidth="1"/>
    <col min="22" max="22" width="9.28515625" customWidth="1"/>
    <col min="23" max="23" width="1.42578125" customWidth="1"/>
    <col min="24" max="25" width="9.140625" customWidth="1"/>
    <col min="26" max="27" width="9.140625" hidden="1" customWidth="1"/>
    <col min="28" max="28" width="11.7109375" hidden="1" customWidth="1"/>
    <col min="29" max="29" width="9.140625" hidden="1" customWidth="1"/>
    <col min="30" max="30" width="4.5703125" hidden="1" customWidth="1"/>
    <col min="31" max="33" width="9.140625" hidden="1" customWidth="1"/>
    <col min="34" max="34" width="9.7109375" bestFit="1" customWidth="1"/>
  </cols>
  <sheetData>
    <row r="1" spans="1:32" ht="14.25" x14ac:dyDescent="0.2">
      <c r="B1" s="1"/>
      <c r="C1" s="1"/>
      <c r="D1" s="1"/>
      <c r="E1" s="1"/>
      <c r="F1" s="1"/>
      <c r="G1" s="1"/>
      <c r="H1" s="1"/>
      <c r="I1" s="1"/>
      <c r="J1" s="1"/>
      <c r="K1" s="1"/>
      <c r="L1" s="1"/>
      <c r="M1" s="1"/>
      <c r="N1" s="1"/>
      <c r="O1" s="1"/>
      <c r="P1" s="1"/>
      <c r="Q1" s="1"/>
      <c r="R1" s="1"/>
      <c r="S1" s="1"/>
      <c r="T1" s="1"/>
      <c r="AA1" s="8" t="s">
        <v>36</v>
      </c>
      <c r="AB1" s="8"/>
      <c r="AC1" s="8"/>
      <c r="AD1" s="8"/>
    </row>
    <row r="2" spans="1:32" ht="14.25" x14ac:dyDescent="0.2">
      <c r="B2" s="1"/>
      <c r="C2" s="1"/>
      <c r="D2" s="1"/>
      <c r="E2" s="1"/>
      <c r="F2" s="1"/>
      <c r="G2" s="1"/>
      <c r="H2" s="1"/>
      <c r="I2" s="1"/>
      <c r="J2" s="1"/>
      <c r="K2" s="1"/>
      <c r="L2" s="1"/>
      <c r="M2" s="1"/>
      <c r="N2" s="1"/>
      <c r="O2" s="1"/>
      <c r="P2" s="1"/>
      <c r="Q2" s="1"/>
      <c r="R2" s="1"/>
      <c r="S2" s="1"/>
      <c r="T2" s="1"/>
      <c r="AA2" s="8"/>
      <c r="AB2" s="8"/>
      <c r="AC2" s="8"/>
      <c r="AD2" s="8"/>
    </row>
    <row r="3" spans="1:32" ht="20.25" customHeight="1" x14ac:dyDescent="0.2">
      <c r="A3" s="431" t="s">
        <v>0</v>
      </c>
      <c r="B3" s="431"/>
      <c r="C3" s="431"/>
      <c r="D3" s="431"/>
      <c r="E3" s="431"/>
      <c r="F3" s="431"/>
      <c r="G3" s="431"/>
      <c r="H3" s="431"/>
      <c r="I3" s="431"/>
      <c r="J3" s="431"/>
      <c r="K3" s="431"/>
      <c r="L3" s="431"/>
      <c r="M3" s="431"/>
      <c r="N3" s="431"/>
      <c r="O3" s="431"/>
      <c r="P3" s="431"/>
      <c r="Q3" s="431"/>
      <c r="R3" s="431"/>
      <c r="S3" s="431"/>
      <c r="T3" s="431"/>
      <c r="AA3" s="8" t="s">
        <v>33</v>
      </c>
      <c r="AB3" s="8" t="s">
        <v>34</v>
      </c>
      <c r="AC3" s="8" t="s">
        <v>35</v>
      </c>
      <c r="AD3" s="8" t="s">
        <v>28</v>
      </c>
      <c r="AE3" s="141" t="s">
        <v>318</v>
      </c>
      <c r="AF3" s="158" t="s">
        <v>333</v>
      </c>
    </row>
    <row r="4" spans="1:32" ht="20.25" x14ac:dyDescent="0.2">
      <c r="A4" s="431" t="s">
        <v>46</v>
      </c>
      <c r="B4" s="431"/>
      <c r="C4" s="431"/>
      <c r="D4" s="431"/>
      <c r="E4" s="431"/>
      <c r="F4" s="431"/>
      <c r="G4" s="431"/>
      <c r="H4" s="431"/>
      <c r="I4" s="431"/>
      <c r="J4" s="431"/>
      <c r="K4" s="431"/>
      <c r="L4" s="431"/>
      <c r="M4" s="431"/>
      <c r="N4" s="431"/>
      <c r="O4" s="431"/>
      <c r="P4" s="431"/>
      <c r="Q4" s="431"/>
      <c r="R4" s="431"/>
      <c r="S4" s="431"/>
      <c r="T4" s="431"/>
      <c r="AA4" s="36">
        <v>1</v>
      </c>
      <c r="AB4" s="36">
        <v>1</v>
      </c>
      <c r="AC4" s="36">
        <f>IF(D20="urban",1,IF(D20="Rural",2,""))</f>
        <v>1</v>
      </c>
      <c r="AD4" s="36">
        <f>IF(F20="interstate",1,IF(F20="off system",3,2))</f>
        <v>2</v>
      </c>
      <c r="AE4" s="143">
        <f>MAX(S31:S37)</f>
        <v>0</v>
      </c>
      <c r="AF4" s="118">
        <v>0.05</v>
      </c>
    </row>
    <row r="5" spans="1:32" ht="18" x14ac:dyDescent="0.2">
      <c r="A5" s="432" t="s">
        <v>22</v>
      </c>
      <c r="B5" s="432"/>
      <c r="C5" s="432"/>
      <c r="D5" s="432"/>
      <c r="E5" s="432"/>
      <c r="F5" s="432"/>
      <c r="G5" s="432"/>
      <c r="H5" s="432"/>
      <c r="I5" s="432"/>
      <c r="J5" s="432"/>
      <c r="K5" s="432"/>
      <c r="L5" s="432"/>
      <c r="M5" s="432"/>
      <c r="N5" s="432"/>
      <c r="O5" s="432"/>
      <c r="P5" s="432"/>
      <c r="Q5" s="432"/>
      <c r="R5" s="432"/>
      <c r="S5" s="432"/>
      <c r="T5" s="432"/>
    </row>
    <row r="6" spans="1:32" ht="44.25" x14ac:dyDescent="0.55000000000000004">
      <c r="B6" s="155"/>
      <c r="C6" s="155"/>
      <c r="D6" s="213"/>
      <c r="E6" s="156"/>
      <c r="F6" s="156"/>
      <c r="G6" s="156"/>
      <c r="H6" s="156"/>
      <c r="I6" s="156"/>
      <c r="J6" s="156"/>
      <c r="K6" s="156"/>
      <c r="L6" s="156"/>
      <c r="M6" s="156"/>
      <c r="N6" s="156"/>
      <c r="O6" s="156"/>
      <c r="P6" s="156"/>
      <c r="Q6" s="156"/>
      <c r="R6" s="156"/>
      <c r="S6" s="156"/>
      <c r="T6" s="156"/>
    </row>
    <row r="7" spans="1:32" ht="10.5" customHeight="1" x14ac:dyDescent="0.25">
      <c r="B7" s="3"/>
      <c r="C7" s="3"/>
      <c r="D7" s="1"/>
      <c r="E7" s="1"/>
      <c r="F7" s="1"/>
      <c r="G7" s="1"/>
      <c r="H7" s="1"/>
      <c r="I7" s="1"/>
      <c r="J7" s="1"/>
      <c r="K7" s="1"/>
      <c r="L7" s="1"/>
      <c r="M7" s="1"/>
      <c r="N7" s="1"/>
      <c r="O7" s="1"/>
      <c r="P7" s="1"/>
      <c r="Q7" s="1"/>
      <c r="R7" s="1"/>
      <c r="S7" s="1"/>
      <c r="T7" s="1"/>
    </row>
    <row r="8" spans="1:32" ht="12" customHeight="1" x14ac:dyDescent="0.2">
      <c r="A8" s="10"/>
      <c r="B8" s="10"/>
      <c r="C8" s="10"/>
      <c r="D8" s="10"/>
      <c r="E8" s="10"/>
      <c r="F8" s="10"/>
      <c r="G8" s="10"/>
      <c r="H8" s="10"/>
      <c r="I8" s="10"/>
      <c r="J8" s="10"/>
      <c r="K8" s="10"/>
      <c r="L8" s="10"/>
      <c r="M8" s="10"/>
      <c r="N8" s="10"/>
      <c r="O8" s="10"/>
      <c r="P8" s="10"/>
      <c r="Q8" s="10"/>
      <c r="R8" s="10"/>
      <c r="S8" s="10"/>
      <c r="T8" s="10"/>
    </row>
    <row r="9" spans="1:32" ht="12" customHeight="1" x14ac:dyDescent="0.2">
      <c r="B9" s="11"/>
      <c r="C9" s="11"/>
      <c r="D9" s="11"/>
      <c r="E9" s="11"/>
      <c r="F9" s="11"/>
      <c r="G9" s="11"/>
      <c r="H9" s="11"/>
      <c r="I9" s="11"/>
      <c r="J9" s="11"/>
      <c r="K9" s="11"/>
      <c r="L9" s="11"/>
      <c r="M9" s="11"/>
      <c r="N9" s="11"/>
      <c r="O9" s="11"/>
      <c r="P9" s="11"/>
      <c r="Q9" s="11"/>
      <c r="R9" s="11"/>
      <c r="S9" s="11"/>
      <c r="T9" s="11"/>
    </row>
    <row r="10" spans="1:32" s="8" customFormat="1" ht="22.5" customHeight="1" x14ac:dyDescent="0.2">
      <c r="B10" s="4" t="s">
        <v>12</v>
      </c>
      <c r="C10" s="4"/>
      <c r="D10" s="409" t="str">
        <f>IF(Cover!D10="","",Cover!D10)</f>
        <v/>
      </c>
      <c r="E10" s="409"/>
      <c r="F10" s="409"/>
      <c r="G10" s="409"/>
      <c r="H10" s="409"/>
      <c r="I10" s="409"/>
      <c r="J10" s="174"/>
      <c r="M10" s="5" t="s">
        <v>324</v>
      </c>
      <c r="N10" s="412" t="str">
        <f>IF(Cover!N10="","",Cover!N10)</f>
        <v/>
      </c>
      <c r="O10" s="412"/>
      <c r="P10" s="412"/>
      <c r="Q10" s="5"/>
      <c r="R10" s="5" t="s">
        <v>1</v>
      </c>
      <c r="S10" s="233" t="str">
        <f>IF(Cover!S10="","",Cover!S10)</f>
        <v/>
      </c>
      <c r="T10" s="49"/>
    </row>
    <row r="11" spans="1:32" s="8" customFormat="1" ht="10.5" customHeight="1" x14ac:dyDescent="0.2">
      <c r="B11" s="4"/>
      <c r="C11" s="4"/>
      <c r="D11" s="48"/>
      <c r="E11" s="48"/>
      <c r="F11" s="48"/>
      <c r="G11" s="48"/>
      <c r="H11" s="48"/>
      <c r="I11" s="48"/>
      <c r="J11" s="48"/>
      <c r="K11" s="5"/>
      <c r="L11" s="5"/>
      <c r="M11" s="50"/>
      <c r="N11" s="6"/>
      <c r="O11" s="6"/>
      <c r="P11" s="6"/>
      <c r="Q11" s="6"/>
      <c r="R11" s="6"/>
      <c r="S11" s="49"/>
      <c r="T11" s="49"/>
    </row>
    <row r="12" spans="1:32" s="8" customFormat="1" ht="22.5" customHeight="1" x14ac:dyDescent="0.2">
      <c r="A12" s="187"/>
      <c r="B12" s="51" t="s">
        <v>23</v>
      </c>
      <c r="C12" s="51"/>
      <c r="D12" s="52"/>
      <c r="E12" s="52"/>
      <c r="F12" s="52"/>
      <c r="G12" s="16"/>
      <c r="H12" s="16"/>
      <c r="I12" s="16"/>
      <c r="J12" s="16"/>
      <c r="K12" s="16"/>
      <c r="L12" s="16"/>
      <c r="M12" s="52"/>
      <c r="N12" s="52"/>
      <c r="O12" s="52"/>
      <c r="P12" s="52"/>
      <c r="Q12" s="52"/>
      <c r="R12" s="52"/>
      <c r="S12" s="52"/>
      <c r="T12" s="53"/>
    </row>
    <row r="13" spans="1:32" s="8" customFormat="1" ht="22.5" customHeight="1" x14ac:dyDescent="0.2">
      <c r="A13" s="188"/>
      <c r="B13" s="7" t="s">
        <v>13</v>
      </c>
      <c r="C13" s="7"/>
      <c r="D13" s="416" t="str">
        <f>IF(Cover!D13="","",Cover!D13)</f>
        <v/>
      </c>
      <c r="E13" s="416"/>
      <c r="F13" s="239" t="s">
        <v>576</v>
      </c>
      <c r="G13" s="416" t="str">
        <f>IF(Cover!G13="","",Cover!G13)</f>
        <v/>
      </c>
      <c r="H13" s="416"/>
      <c r="I13" s="416"/>
      <c r="M13" s="271" t="s">
        <v>575</v>
      </c>
      <c r="N13" s="416" t="str">
        <f>IF(Cover!N13="","",Cover!N13)</f>
        <v/>
      </c>
      <c r="O13" s="416"/>
      <c r="P13" s="416"/>
      <c r="Q13" s="416"/>
      <c r="R13" s="416"/>
      <c r="S13" s="416"/>
      <c r="T13" s="54"/>
    </row>
    <row r="14" spans="1:32" s="8" customFormat="1" ht="11.25" customHeight="1" x14ac:dyDescent="0.2">
      <c r="A14" s="189"/>
      <c r="B14" s="55"/>
      <c r="C14" s="55"/>
      <c r="D14" s="56"/>
      <c r="E14" s="12"/>
      <c r="F14" s="12"/>
      <c r="G14" s="56"/>
      <c r="H14" s="56"/>
      <c r="I14" s="56"/>
      <c r="J14" s="56"/>
      <c r="K14" s="9"/>
      <c r="L14" s="9"/>
      <c r="M14" s="18"/>
      <c r="N14" s="57"/>
      <c r="O14" s="57"/>
      <c r="P14" s="57"/>
      <c r="Q14" s="57"/>
      <c r="R14" s="57"/>
      <c r="S14" s="58"/>
      <c r="T14" s="59"/>
    </row>
    <row r="15" spans="1:32" s="8" customFormat="1" ht="10.5" customHeight="1" x14ac:dyDescent="0.2">
      <c r="B15" s="7"/>
      <c r="C15" s="7"/>
      <c r="D15" s="48"/>
      <c r="E15" s="48"/>
      <c r="F15" s="48"/>
      <c r="G15" s="56"/>
      <c r="H15" s="56"/>
      <c r="I15" s="56"/>
      <c r="J15" s="48"/>
      <c r="M15" s="5"/>
      <c r="N15" s="60"/>
      <c r="O15" s="60"/>
      <c r="P15" s="60"/>
      <c r="Q15" s="60"/>
      <c r="R15" s="60"/>
      <c r="S15" s="60"/>
      <c r="T15" s="60"/>
    </row>
    <row r="16" spans="1:32" s="8" customFormat="1" ht="22.5" customHeight="1" x14ac:dyDescent="0.2">
      <c r="A16" s="187"/>
      <c r="B16" s="51" t="s">
        <v>16</v>
      </c>
      <c r="C16" s="51"/>
      <c r="D16" s="52"/>
      <c r="E16" s="52"/>
      <c r="F16" s="52"/>
      <c r="G16" s="16"/>
      <c r="H16" s="16"/>
      <c r="I16" s="16"/>
      <c r="J16" s="16"/>
      <c r="K16" s="16"/>
      <c r="L16" s="16"/>
      <c r="M16" s="52"/>
      <c r="N16" s="52"/>
      <c r="O16" s="52"/>
      <c r="P16" s="52"/>
      <c r="Q16" s="52"/>
      <c r="R16" s="52"/>
      <c r="S16" s="52"/>
      <c r="T16" s="53"/>
    </row>
    <row r="17" spans="1:39" s="8" customFormat="1" ht="22.5" customHeight="1" x14ac:dyDescent="0.2">
      <c r="A17" s="188"/>
      <c r="B17" s="7" t="s">
        <v>14</v>
      </c>
      <c r="C17" s="7"/>
      <c r="D17" s="249" t="str">
        <f>IF(Cover!D17="","",Cover!D17)</f>
        <v/>
      </c>
      <c r="E17" s="5" t="s">
        <v>577</v>
      </c>
      <c r="F17" s="235" t="str">
        <f>IF(Cover!F17="","",Cover!F17)</f>
        <v/>
      </c>
      <c r="G17" s="5" t="s">
        <v>17</v>
      </c>
      <c r="H17" s="412" t="str">
        <f>IF(Cover!H17="","",Cover!H17)</f>
        <v/>
      </c>
      <c r="I17" s="412"/>
      <c r="J17" s="412"/>
      <c r="K17" s="412"/>
      <c r="M17" s="5" t="s">
        <v>21</v>
      </c>
      <c r="N17" s="429" t="str">
        <f>IF(Cover!N17="","",Cover!N17)</f>
        <v/>
      </c>
      <c r="O17" s="429"/>
      <c r="P17" s="429"/>
      <c r="Q17" s="5"/>
      <c r="R17" s="5" t="s">
        <v>325</v>
      </c>
      <c r="S17" s="261" t="str">
        <f>IF(Cover!S17="","",Cover!S17)</f>
        <v/>
      </c>
      <c r="T17" s="54"/>
    </row>
    <row r="18" spans="1:39" s="8" customFormat="1" ht="7.5" customHeight="1" x14ac:dyDescent="0.2">
      <c r="A18" s="189"/>
      <c r="B18" s="55"/>
      <c r="C18" s="55"/>
      <c r="D18" s="56"/>
      <c r="E18" s="12"/>
      <c r="F18" s="12"/>
      <c r="G18" s="56"/>
      <c r="H18" s="56"/>
      <c r="I18" s="56"/>
      <c r="J18" s="56"/>
      <c r="K18" s="18"/>
      <c r="L18" s="18"/>
      <c r="M18" s="57"/>
      <c r="N18" s="154"/>
      <c r="O18" s="154"/>
      <c r="P18" s="154"/>
      <c r="Q18" s="154"/>
      <c r="R18" s="154"/>
      <c r="S18" s="57"/>
      <c r="T18" s="59"/>
    </row>
    <row r="19" spans="1:39" s="8" customFormat="1" ht="10.5" customHeight="1" x14ac:dyDescent="0.2">
      <c r="B19" s="7"/>
      <c r="C19" s="7"/>
      <c r="D19" s="48"/>
      <c r="E19" s="48"/>
      <c r="F19" s="48"/>
      <c r="G19" s="48"/>
      <c r="H19" s="48"/>
      <c r="I19" s="48"/>
      <c r="J19" s="48"/>
      <c r="M19" s="5"/>
      <c r="N19" s="60"/>
      <c r="O19" s="60"/>
      <c r="P19" s="60"/>
      <c r="Q19" s="60"/>
      <c r="R19" s="60"/>
      <c r="S19" s="60"/>
      <c r="T19" s="60"/>
    </row>
    <row r="20" spans="1:39" s="36" customFormat="1" ht="22.5" customHeight="1" x14ac:dyDescent="0.2">
      <c r="A20" s="8"/>
      <c r="B20" s="7" t="s">
        <v>37</v>
      </c>
      <c r="C20" s="7"/>
      <c r="D20" s="236" t="str">
        <f>IF(Cover!D20="","",Cover!D20)</f>
        <v>Urban</v>
      </c>
      <c r="E20" s="5" t="s">
        <v>45</v>
      </c>
      <c r="F20" s="412" t="str">
        <f>IF(Cover!F20="","",Cover!F20)</f>
        <v>Other State Highway</v>
      </c>
      <c r="G20" s="412"/>
      <c r="H20" s="412"/>
      <c r="I20" s="412"/>
      <c r="J20" s="48"/>
      <c r="K20" s="8"/>
      <c r="L20" s="8"/>
      <c r="M20" s="5"/>
      <c r="N20" s="60"/>
      <c r="O20" s="60"/>
      <c r="P20" s="60"/>
      <c r="Q20" s="60"/>
      <c r="R20" s="60"/>
      <c r="S20" s="60"/>
      <c r="T20" s="60"/>
    </row>
    <row r="21" spans="1:39" s="8" customFormat="1" ht="10.5" customHeight="1" x14ac:dyDescent="0.2">
      <c r="B21" s="7"/>
      <c r="C21" s="7"/>
      <c r="D21" s="48"/>
      <c r="E21" s="48"/>
      <c r="F21" s="48"/>
      <c r="G21" s="48"/>
      <c r="H21" s="48"/>
      <c r="I21" s="48"/>
      <c r="J21" s="48"/>
      <c r="M21" s="5"/>
      <c r="N21" s="60"/>
      <c r="O21" s="60"/>
      <c r="P21" s="60"/>
      <c r="Q21" s="60"/>
      <c r="R21" s="60"/>
      <c r="S21" s="60"/>
      <c r="T21" s="60"/>
    </row>
    <row r="22" spans="1:39" s="8" customFormat="1" ht="22.5" customHeight="1" x14ac:dyDescent="0.2">
      <c r="B22" s="7" t="s">
        <v>20</v>
      </c>
      <c r="C22" s="7"/>
      <c r="D22" s="236" t="str">
        <f>IF(Cover!D22="","",Cover!D22)</f>
        <v/>
      </c>
      <c r="E22" s="5" t="s">
        <v>19</v>
      </c>
      <c r="F22" s="412" t="str">
        <f>IF(Cover!F22="","",Cover!F22)</f>
        <v/>
      </c>
      <c r="G22" s="412"/>
      <c r="H22" s="412"/>
      <c r="I22" s="412"/>
      <c r="J22" s="48"/>
      <c r="K22" s="5"/>
      <c r="M22" s="5" t="s">
        <v>3</v>
      </c>
      <c r="N22" s="415">
        <f>IF(Cover!N22="","",Cover!N22)</f>
        <v>42736</v>
      </c>
      <c r="O22" s="415"/>
      <c r="P22" s="415"/>
      <c r="Q22" s="5"/>
      <c r="R22" s="5" t="s">
        <v>325</v>
      </c>
      <c r="S22" s="233">
        <f>IF(Cover!S22="","",Cover!S22)</f>
        <v>44561</v>
      </c>
      <c r="T22" s="61"/>
    </row>
    <row r="23" spans="1:39" ht="12" customHeight="1" x14ac:dyDescent="0.2">
      <c r="B23" s="11"/>
      <c r="C23" s="11"/>
      <c r="D23" s="11"/>
      <c r="E23" s="11"/>
      <c r="F23" s="11"/>
      <c r="G23" s="11"/>
      <c r="H23" s="11"/>
      <c r="I23" s="11"/>
      <c r="J23" s="11"/>
      <c r="K23" s="11"/>
      <c r="L23" s="11"/>
      <c r="M23" s="11"/>
      <c r="N23" s="11"/>
      <c r="O23" s="11"/>
      <c r="P23" s="11"/>
      <c r="Q23" s="11"/>
      <c r="R23" s="11"/>
      <c r="S23" s="11"/>
      <c r="T23" s="11"/>
    </row>
    <row r="24" spans="1:39" s="8" customFormat="1" ht="22.5" customHeight="1" x14ac:dyDescent="0.2">
      <c r="B24" s="8" t="s">
        <v>11</v>
      </c>
      <c r="D24" s="409" t="str">
        <f>IF(Cover!D24="","",Cover!D24)</f>
        <v/>
      </c>
      <c r="E24" s="409"/>
      <c r="F24" s="409"/>
      <c r="G24" s="409"/>
      <c r="H24" s="409"/>
      <c r="I24" s="409"/>
      <c r="J24" s="409"/>
      <c r="K24" s="409"/>
      <c r="L24" s="409"/>
      <c r="M24" s="409"/>
      <c r="N24" s="409"/>
      <c r="O24" s="409"/>
      <c r="P24" s="409"/>
      <c r="Q24" s="409"/>
      <c r="R24" s="409"/>
      <c r="S24" s="409"/>
      <c r="T24" s="7"/>
    </row>
    <row r="25" spans="1:39" s="8" customFormat="1" ht="10.5" customHeight="1" x14ac:dyDescent="0.2"/>
    <row r="26" spans="1:39" s="8" customFormat="1" ht="21" customHeight="1" x14ac:dyDescent="0.2">
      <c r="B26" s="7" t="s">
        <v>4</v>
      </c>
      <c r="C26" s="7"/>
      <c r="D26" s="409" t="str">
        <f>IF(Cover!D26="","",Cover!D26)</f>
        <v/>
      </c>
      <c r="E26" s="409"/>
      <c r="F26" s="409"/>
      <c r="G26" s="409"/>
      <c r="H26" s="48"/>
      <c r="J26" s="271" t="s">
        <v>5</v>
      </c>
      <c r="K26" s="409" t="str">
        <f>IF(Cover!K26="","",Cover!K26)</f>
        <v/>
      </c>
      <c r="L26" s="409"/>
      <c r="M26" s="409"/>
      <c r="N26" s="409"/>
      <c r="O26" s="409"/>
      <c r="P26" s="409"/>
      <c r="Q26" s="409"/>
      <c r="R26" s="409"/>
      <c r="S26" s="409"/>
      <c r="T26" s="48"/>
    </row>
    <row r="27" spans="1:39" s="8" customFormat="1" ht="14.25" x14ac:dyDescent="0.2">
      <c r="A27" s="9"/>
      <c r="B27" s="9"/>
      <c r="C27" s="9"/>
      <c r="D27" s="9"/>
      <c r="E27" s="9"/>
      <c r="F27" s="9"/>
      <c r="G27" s="9"/>
      <c r="H27" s="9"/>
      <c r="I27" s="9"/>
      <c r="J27" s="9"/>
      <c r="K27" s="24"/>
      <c r="L27" s="24"/>
      <c r="M27" s="9"/>
      <c r="N27" s="9"/>
      <c r="O27" s="9"/>
      <c r="P27" s="9"/>
      <c r="Q27" s="9"/>
      <c r="R27" s="9"/>
      <c r="S27" s="24"/>
      <c r="T27" s="24"/>
    </row>
    <row r="28" spans="1:39" s="8" customFormat="1" ht="10.5" customHeight="1" x14ac:dyDescent="0.2">
      <c r="K28" s="62"/>
      <c r="L28" s="62"/>
      <c r="S28" s="62"/>
      <c r="T28" s="62"/>
    </row>
    <row r="29" spans="1:39" s="8" customFormat="1" ht="36" customHeight="1" x14ac:dyDescent="0.25">
      <c r="D29" s="397" t="s">
        <v>561</v>
      </c>
      <c r="E29" s="397"/>
      <c r="F29" s="397"/>
      <c r="G29" s="397"/>
      <c r="H29" s="180"/>
      <c r="I29" s="430" t="s">
        <v>320</v>
      </c>
      <c r="J29" s="180"/>
      <c r="K29" s="430" t="s">
        <v>321</v>
      </c>
      <c r="L29" s="252"/>
      <c r="M29" s="430" t="s">
        <v>322</v>
      </c>
      <c r="N29" s="430"/>
      <c r="O29" s="430"/>
      <c r="P29" s="430"/>
      <c r="Q29" s="430"/>
      <c r="R29" s="275"/>
      <c r="S29" s="430" t="s">
        <v>323</v>
      </c>
      <c r="T29" s="62"/>
    </row>
    <row r="30" spans="1:39" s="8" customFormat="1" ht="21" customHeight="1" x14ac:dyDescent="0.25">
      <c r="D30" s="397"/>
      <c r="E30" s="397"/>
      <c r="F30" s="397"/>
      <c r="G30" s="397"/>
      <c r="H30" s="181"/>
      <c r="I30" s="430"/>
      <c r="J30" s="181"/>
      <c r="K30" s="430"/>
      <c r="L30" s="272"/>
      <c r="M30" s="273" t="s">
        <v>327</v>
      </c>
      <c r="N30" s="273"/>
      <c r="O30" s="273" t="s">
        <v>328</v>
      </c>
      <c r="P30" s="274"/>
      <c r="Q30" s="273" t="s">
        <v>329</v>
      </c>
      <c r="R30" s="275"/>
      <c r="S30" s="430"/>
    </row>
    <row r="31" spans="1:39" s="8" customFormat="1" ht="50.1" customHeight="1" x14ac:dyDescent="0.2">
      <c r="B31" s="147" t="s">
        <v>620</v>
      </c>
      <c r="C31" s="63"/>
      <c r="D31" s="407"/>
      <c r="E31" s="407"/>
      <c r="F31" s="407"/>
      <c r="G31" s="407"/>
      <c r="H31" s="64"/>
      <c r="I31" s="307" t="str">
        <f>IF(D31="","",VLOOKUP(D31,Fields!$P$2:$R$167,2,FALSE))</f>
        <v/>
      </c>
      <c r="J31" s="280"/>
      <c r="K31" s="307" t="str">
        <f>IF(D31="","",VLOOKUP(D31,Fields!$P$2:$R$167,3,FALSE))</f>
        <v/>
      </c>
      <c r="L31" s="6"/>
      <c r="M31" s="304" t="str">
        <f>IF(D31="","",VLOOKUP(D31,Fields!$P$2:$X$167,7,FALSE))</f>
        <v/>
      </c>
      <c r="N31" s="216"/>
      <c r="O31" s="304" t="str">
        <f>IF(D31="","",VLOOKUP(D31,Fields!$P$2:$X$167,8,FALSE))</f>
        <v/>
      </c>
      <c r="P31" s="216"/>
      <c r="Q31" s="304" t="str">
        <f>IF(D31="","",VLOOKUP(D31,Fields!$P$2:$X$167,9,FALSE))</f>
        <v/>
      </c>
      <c r="R31" s="216"/>
      <c r="S31" s="303" t="str">
        <f>IF(D31="","",VLOOKUP(D31,Fields!$P$2:$X$167,4,FALSE))</f>
        <v/>
      </c>
      <c r="T31" s="276"/>
      <c r="U31" s="395" t="str">
        <f>IF(OR(D32="H22: Install Urban Traffic Signal (Rear End)",D34="H22: Install Urban Traffic Signal (Rear End)",D36="H22: Install Urban Traffic Signal (Rear End)",D38="H22: Install Urban Traffic Signal (Rear End)",D32="H24: Install Rural Traffic Signal (Rear End)",D34="H24: Install Rural Traffic Signal (Rear End)",D36="H24: Install Rural Traffic Signal (Rear End)",D38="H24: Install Rural Traffic Signal (Rear End)"),"",IF(OR(D31="H22: Install Urban Traffic Signal",D32="H22: Install Urban Traffic Signal",D34="H22: Install Urban Traffic Signal",D36="H22: Install Urban Traffic Signal",D31="H24: Install Rural Traffic Signal",D32="H24: Install Rural Traffic Signal",D34="H24: Install Rural Traffic Signal",D36="H24: Install Rural Traffic Signal"),"Warning: You must ALSO pick the countermeasure from the drop-down list for rear-end negative CRF",""))</f>
        <v/>
      </c>
      <c r="V31" s="395"/>
      <c r="W31" s="395"/>
      <c r="X31" s="395"/>
      <c r="Y31" s="395"/>
      <c r="Z31" s="395"/>
      <c r="AA31" s="395"/>
      <c r="AB31" s="395"/>
      <c r="AC31" s="395"/>
      <c r="AD31" s="173"/>
      <c r="AE31" s="173"/>
      <c r="AF31" s="173"/>
      <c r="AG31" s="173"/>
      <c r="AH31" s="173"/>
      <c r="AI31" s="173"/>
      <c r="AJ31" s="173"/>
      <c r="AK31" s="173"/>
      <c r="AL31" s="173"/>
      <c r="AM31" s="13"/>
    </row>
    <row r="32" spans="1:39" s="8" customFormat="1" ht="3.95" customHeight="1" x14ac:dyDescent="0.2">
      <c r="B32" s="147"/>
      <c r="C32" s="63"/>
      <c r="D32" s="195"/>
      <c r="E32" s="195"/>
      <c r="F32" s="195"/>
      <c r="G32" s="195"/>
      <c r="H32" s="64"/>
      <c r="I32" s="298"/>
      <c r="J32" s="305"/>
      <c r="K32" s="298"/>
      <c r="L32" s="6"/>
      <c r="M32" s="279"/>
      <c r="N32" s="216"/>
      <c r="O32" s="279"/>
      <c r="P32" s="216"/>
      <c r="Q32" s="279"/>
      <c r="R32" s="216"/>
      <c r="S32" s="299"/>
      <c r="T32" s="276"/>
      <c r="U32" s="395"/>
      <c r="V32" s="395"/>
      <c r="W32" s="395"/>
      <c r="X32" s="395"/>
      <c r="Y32" s="395"/>
      <c r="Z32" s="395"/>
      <c r="AA32" s="395"/>
      <c r="AB32" s="395"/>
      <c r="AC32" s="395"/>
      <c r="AD32" s="173"/>
      <c r="AE32" s="173"/>
      <c r="AF32" s="173"/>
      <c r="AG32" s="173"/>
      <c r="AH32" s="173"/>
      <c r="AI32" s="173"/>
      <c r="AJ32" s="173"/>
      <c r="AK32" s="173"/>
      <c r="AL32" s="173"/>
      <c r="AM32" s="13"/>
    </row>
    <row r="33" spans="2:38" s="8" customFormat="1" ht="50.1" customHeight="1" x14ac:dyDescent="0.2">
      <c r="B33" s="147" t="s">
        <v>621</v>
      </c>
      <c r="C33" s="63"/>
      <c r="D33" s="407"/>
      <c r="E33" s="407"/>
      <c r="F33" s="407"/>
      <c r="G33" s="407"/>
      <c r="H33" s="64"/>
      <c r="I33" s="307" t="str">
        <f>IF(D33="","",VLOOKUP(D33,Fields!$P$2:$R$167,2,FALSE))</f>
        <v/>
      </c>
      <c r="J33" s="280"/>
      <c r="K33" s="307" t="str">
        <f>IF(D33="","",VLOOKUP(D33,Fields!$P$2:$R$167,3,FALSE))</f>
        <v/>
      </c>
      <c r="L33" s="7"/>
      <c r="M33" s="304" t="str">
        <f>IF(D33="","",VLOOKUP(D33,Fields!$P$2:$X$167,7,FALSE))</f>
        <v/>
      </c>
      <c r="N33" s="7"/>
      <c r="O33" s="304" t="str">
        <f>IF(D33="","",VLOOKUP(D33,Fields!$P$2:$X$167,8,FALSE))</f>
        <v/>
      </c>
      <c r="P33" s="7"/>
      <c r="Q33" s="304" t="str">
        <f>IF(D33="","",VLOOKUP(D33,Fields!$P$2:$X$167,9,FALSE))</f>
        <v/>
      </c>
      <c r="R33" s="7"/>
      <c r="S33" s="303" t="str">
        <f>IF(D33="","",VLOOKUP(D33,Fields!$P$2:$X$167,4,FALSE))</f>
        <v/>
      </c>
      <c r="T33" s="276"/>
      <c r="U33" s="395"/>
      <c r="V33" s="395"/>
      <c r="W33" s="395"/>
      <c r="X33" s="395"/>
      <c r="Y33" s="395"/>
      <c r="Z33" s="395"/>
      <c r="AA33" s="395"/>
      <c r="AB33" s="395"/>
      <c r="AC33" s="395"/>
      <c r="AD33" s="173"/>
      <c r="AE33" s="173"/>
      <c r="AF33" s="173"/>
      <c r="AG33" s="173"/>
      <c r="AH33" s="173"/>
      <c r="AI33" s="173"/>
      <c r="AJ33" s="173"/>
      <c r="AK33" s="173"/>
      <c r="AL33" s="173"/>
    </row>
    <row r="34" spans="2:38" s="8" customFormat="1" ht="3.95" customHeight="1" x14ac:dyDescent="0.2">
      <c r="B34" s="147"/>
      <c r="C34" s="63"/>
      <c r="D34" s="195"/>
      <c r="E34" s="195"/>
      <c r="F34" s="195"/>
      <c r="G34" s="195"/>
      <c r="H34" s="64"/>
      <c r="I34" s="298"/>
      <c r="J34" s="305"/>
      <c r="K34" s="298"/>
      <c r="L34" s="7"/>
      <c r="M34" s="279"/>
      <c r="N34" s="7"/>
      <c r="O34" s="279"/>
      <c r="P34" s="7"/>
      <c r="Q34" s="279"/>
      <c r="R34" s="7"/>
      <c r="S34" s="299"/>
      <c r="T34" s="276"/>
      <c r="U34" s="197"/>
      <c r="V34" s="197"/>
      <c r="W34" s="197"/>
      <c r="X34" s="197"/>
      <c r="Y34" s="197"/>
      <c r="Z34" s="197"/>
      <c r="AA34" s="197"/>
      <c r="AB34" s="197"/>
      <c r="AC34" s="197"/>
      <c r="AD34" s="173"/>
      <c r="AE34" s="173"/>
      <c r="AF34" s="173"/>
      <c r="AG34" s="173"/>
      <c r="AH34" s="173"/>
      <c r="AI34" s="173"/>
      <c r="AJ34" s="173"/>
      <c r="AK34" s="173"/>
      <c r="AL34" s="173"/>
    </row>
    <row r="35" spans="2:38" s="8" customFormat="1" ht="50.1" customHeight="1" x14ac:dyDescent="0.2">
      <c r="B35" s="147" t="s">
        <v>622</v>
      </c>
      <c r="C35" s="63"/>
      <c r="D35" s="407"/>
      <c r="E35" s="407"/>
      <c r="F35" s="407"/>
      <c r="G35" s="407"/>
      <c r="H35" s="64"/>
      <c r="I35" s="307" t="str">
        <f>IF(D35="","",VLOOKUP(D35,Fields!$P$2:$R$167,2,FALSE))</f>
        <v/>
      </c>
      <c r="J35" s="280"/>
      <c r="K35" s="307" t="str">
        <f>IF(D35="","",VLOOKUP(D35,Fields!$P$2:$R$167,3,FALSE))</f>
        <v/>
      </c>
      <c r="L35" s="6"/>
      <c r="M35" s="304" t="str">
        <f>IF(D35="","",VLOOKUP(D35,Fields!$P$2:$X$167,7,FALSE))</f>
        <v/>
      </c>
      <c r="N35" s="7"/>
      <c r="O35" s="304" t="str">
        <f>IF(D35="","",VLOOKUP(D35,Fields!$P$2:$X$167,8,FALSE))</f>
        <v/>
      </c>
      <c r="P35" s="7"/>
      <c r="Q35" s="304" t="str">
        <f>IF(D35="","",VLOOKUP(D35,Fields!$P$2:$X$167,9,FALSE))</f>
        <v/>
      </c>
      <c r="R35" s="7"/>
      <c r="S35" s="303" t="str">
        <f>IF(D35="","",VLOOKUP(D35,Fields!$P$2:$X$167,4,FALSE))</f>
        <v/>
      </c>
      <c r="T35" s="276"/>
      <c r="AG35" s="93"/>
    </row>
    <row r="36" spans="2:38" s="8" customFormat="1" ht="3.95" customHeight="1" x14ac:dyDescent="0.2">
      <c r="B36" s="147"/>
      <c r="C36" s="63"/>
      <c r="D36" s="195"/>
      <c r="E36" s="195"/>
      <c r="F36" s="195"/>
      <c r="G36" s="195"/>
      <c r="H36" s="64"/>
      <c r="I36" s="298"/>
      <c r="J36" s="305"/>
      <c r="K36" s="298"/>
      <c r="L36" s="6"/>
      <c r="M36" s="279"/>
      <c r="N36" s="7"/>
      <c r="O36" s="279"/>
      <c r="P36" s="7"/>
      <c r="Q36" s="279"/>
      <c r="R36" s="7"/>
      <c r="S36" s="299"/>
      <c r="T36" s="276"/>
      <c r="AG36" s="93"/>
    </row>
    <row r="37" spans="2:38" s="8" customFormat="1" ht="50.1" customHeight="1" x14ac:dyDescent="0.25">
      <c r="B37" s="147" t="s">
        <v>623</v>
      </c>
      <c r="C37" s="63"/>
      <c r="D37" s="407"/>
      <c r="E37" s="407"/>
      <c r="F37" s="407"/>
      <c r="G37" s="407"/>
      <c r="H37" s="64"/>
      <c r="I37" s="307" t="str">
        <f>IF(D37="","",VLOOKUP(D37,Fields!$P$2:$R$167,2,FALSE))</f>
        <v/>
      </c>
      <c r="J37" s="310"/>
      <c r="K37" s="307" t="str">
        <f>IF(D37="","",VLOOKUP(D37,Fields!$P$2:$R$167,3,FALSE))</f>
        <v/>
      </c>
      <c r="L37" s="62"/>
      <c r="M37" s="304" t="str">
        <f>IF(D37="","",VLOOKUP(D37,Fields!$P$2:$X$167,7,FALSE))</f>
        <v/>
      </c>
      <c r="N37" s="65"/>
      <c r="O37" s="304" t="str">
        <f>IF(D37="","",VLOOKUP(D37,Fields!$P$2:$X$167,8,FALSE))</f>
        <v/>
      </c>
      <c r="P37" s="65"/>
      <c r="Q37" s="304" t="str">
        <f>IF(D37="","",VLOOKUP(D37,Fields!$P$2:$X$167,9,FALSE))</f>
        <v/>
      </c>
      <c r="R37" s="65"/>
      <c r="S37" s="303" t="str">
        <f>IF(D37="","",VLOOKUP(D37,Fields!$P$2:$X$167,4,FALSE))</f>
        <v/>
      </c>
      <c r="T37" s="276"/>
    </row>
    <row r="38" spans="2:38" s="8" customFormat="1" ht="28.5" customHeight="1" x14ac:dyDescent="0.3">
      <c r="B38" s="169"/>
      <c r="C38" s="63"/>
      <c r="D38" s="66"/>
      <c r="E38" s="66"/>
      <c r="F38" s="66"/>
      <c r="G38"/>
      <c r="H38" s="64"/>
      <c r="I38" s="277"/>
      <c r="J38" s="1"/>
      <c r="K38" s="1"/>
      <c r="L38" s="62"/>
      <c r="M38" s="277"/>
      <c r="N38" s="65"/>
      <c r="O38" s="65"/>
      <c r="P38" s="65"/>
      <c r="Q38" s="65"/>
      <c r="R38" s="65"/>
      <c r="S38" s="276"/>
      <c r="T38" s="276"/>
    </row>
    <row r="39" spans="2:38" s="6" customFormat="1" ht="39.950000000000003" customHeight="1" x14ac:dyDescent="0.2">
      <c r="B39" s="427"/>
      <c r="C39" s="428"/>
      <c r="D39" s="428"/>
      <c r="E39" s="198"/>
      <c r="F39" s="198"/>
      <c r="G39" s="278" t="s">
        <v>612</v>
      </c>
      <c r="H39" s="278"/>
      <c r="I39" s="278" t="s">
        <v>18</v>
      </c>
      <c r="J39" s="273"/>
      <c r="K39" s="278" t="s">
        <v>39</v>
      </c>
      <c r="L39" s="273"/>
      <c r="M39" s="430" t="s">
        <v>40</v>
      </c>
      <c r="N39" s="430"/>
      <c r="O39" s="430"/>
      <c r="P39" s="221"/>
      <c r="Q39" s="221"/>
      <c r="R39" s="221"/>
      <c r="S39" s="276"/>
      <c r="T39" s="276"/>
    </row>
    <row r="40" spans="2:38" s="8" customFormat="1" ht="18" customHeight="1" x14ac:dyDescent="0.2">
      <c r="C40" s="276"/>
      <c r="E40" s="215" t="s">
        <v>320</v>
      </c>
      <c r="F40" s="214" t="str">
        <f>I31</f>
        <v/>
      </c>
      <c r="G40" s="279"/>
      <c r="H40" s="280"/>
      <c r="I40" s="279"/>
      <c r="J40" s="6"/>
      <c r="K40" s="279"/>
      <c r="L40" s="6"/>
      <c r="M40" s="279"/>
      <c r="N40" s="216"/>
      <c r="O40" s="216"/>
      <c r="P40" s="65"/>
      <c r="Q40" s="65"/>
      <c r="R40" s="65"/>
      <c r="S40" s="276"/>
      <c r="T40" s="276"/>
    </row>
    <row r="41" spans="2:38" s="8" customFormat="1" ht="18" customHeight="1" x14ac:dyDescent="0.2">
      <c r="E41" s="7"/>
      <c r="F41" s="5" t="s">
        <v>613</v>
      </c>
      <c r="G41" s="220"/>
      <c r="H41" s="281"/>
      <c r="I41" s="324" t="str">
        <f>IF(G41="","-",G41*M31)</f>
        <v>-</v>
      </c>
      <c r="J41" s="6"/>
      <c r="K41" s="217">
        <f>IF(OR($D$20="",$F$20=""),"-",INDEX(Fields!$G$3:$H$5,$AD$4,$AC$4))</f>
        <v>3691600</v>
      </c>
      <c r="L41" s="6"/>
      <c r="M41" s="396" t="str">
        <f>IF(I41="-","-",+ROUND(I41*K41, -3))</f>
        <v>-</v>
      </c>
      <c r="N41" s="396"/>
      <c r="O41" s="396"/>
      <c r="S41" s="93"/>
    </row>
    <row r="42" spans="2:38" s="8" customFormat="1" ht="18" customHeight="1" x14ac:dyDescent="0.2">
      <c r="E42" s="7"/>
      <c r="F42" s="5" t="s">
        <v>614</v>
      </c>
      <c r="G42" s="220"/>
      <c r="H42" s="282"/>
      <c r="I42" s="324" t="str">
        <f>IF(G42="","-",G42*O31)</f>
        <v>-</v>
      </c>
      <c r="J42" s="6"/>
      <c r="K42" s="217">
        <f>IF(OR($D$20="",$F$20=""),"-",INDEX(Fields!$I$3:$J$5,$AD$4,$AC$4))</f>
        <v>182400</v>
      </c>
      <c r="L42" s="6"/>
      <c r="M42" s="417" t="str">
        <f>IF(I42="-","-",+ROUND(I42*K42, -3))</f>
        <v>-</v>
      </c>
      <c r="N42" s="417"/>
      <c r="O42" s="417"/>
      <c r="P42" s="62"/>
      <c r="Q42" s="62"/>
      <c r="R42" s="62"/>
    </row>
    <row r="43" spans="2:38" s="8" customFormat="1" ht="18" customHeight="1" x14ac:dyDescent="0.2">
      <c r="E43" s="7"/>
      <c r="F43" s="5" t="s">
        <v>24</v>
      </c>
      <c r="G43" s="220"/>
      <c r="H43" s="7"/>
      <c r="I43" s="324" t="str">
        <f>IF(G43="","-",G43*Q31)</f>
        <v>-</v>
      </c>
      <c r="J43" s="6"/>
      <c r="K43" s="217">
        <f>IF(OR($D$20="",$F$20=""),"-",27000)</f>
        <v>27000</v>
      </c>
      <c r="L43" s="6"/>
      <c r="M43" s="417" t="str">
        <f>IF(I43="-","-",+ROUND(I43*K43, -3))</f>
        <v>-</v>
      </c>
      <c r="N43" s="417"/>
      <c r="O43" s="417"/>
    </row>
    <row r="44" spans="2:38" s="8" customFormat="1" ht="15" customHeight="1" x14ac:dyDescent="0.2">
      <c r="E44" s="7"/>
      <c r="F44" s="7"/>
      <c r="G44" s="198"/>
      <c r="H44" s="7"/>
      <c r="I44" s="283"/>
      <c r="J44" s="6"/>
      <c r="K44" s="218"/>
      <c r="L44" s="6"/>
      <c r="M44" s="276"/>
      <c r="N44" s="7"/>
      <c r="O44" s="7"/>
    </row>
    <row r="45" spans="2:38" s="8" customFormat="1" ht="15" customHeight="1" x14ac:dyDescent="0.2">
      <c r="B45" s="63"/>
      <c r="C45" s="63"/>
      <c r="D45" s="66"/>
      <c r="E45" s="66"/>
      <c r="F45" s="66"/>
      <c r="G45" s="284"/>
      <c r="H45" s="284"/>
      <c r="I45" s="323"/>
      <c r="J45" s="285"/>
      <c r="K45" s="284"/>
      <c r="L45" s="285"/>
      <c r="M45" s="425"/>
      <c r="N45" s="425"/>
      <c r="O45" s="425"/>
      <c r="P45" s="65"/>
      <c r="Q45" s="65"/>
      <c r="R45" s="65"/>
      <c r="S45" s="276"/>
      <c r="T45" s="276"/>
    </row>
    <row r="46" spans="2:38" s="8" customFormat="1" ht="18" customHeight="1" x14ac:dyDescent="0.2">
      <c r="E46" s="215" t="s">
        <v>320</v>
      </c>
      <c r="F46" s="214" t="str">
        <f>I33</f>
        <v/>
      </c>
      <c r="G46" s="279"/>
      <c r="H46" s="280"/>
      <c r="I46" s="299"/>
      <c r="J46" s="6"/>
      <c r="K46" s="279"/>
      <c r="L46" s="6"/>
      <c r="M46" s="279"/>
      <c r="N46" s="216"/>
      <c r="O46" s="216"/>
      <c r="P46" s="65"/>
      <c r="Q46" s="65"/>
      <c r="R46" s="65"/>
      <c r="S46" s="276"/>
      <c r="T46" s="276"/>
      <c r="V46" s="148"/>
    </row>
    <row r="47" spans="2:38" s="8" customFormat="1" ht="18" customHeight="1" x14ac:dyDescent="0.2">
      <c r="E47" s="7"/>
      <c r="F47" s="5" t="s">
        <v>613</v>
      </c>
      <c r="G47" s="220"/>
      <c r="H47" s="281"/>
      <c r="I47" s="324" t="str">
        <f>IF(G47="","-",G47*M33)</f>
        <v>-</v>
      </c>
      <c r="J47" s="6"/>
      <c r="K47" s="217">
        <f>IF(OR($D$20="",$F$20=""),"-",INDEX(Fields!$G$3:$H$5,$AD$4,$AC$4))</f>
        <v>3691600</v>
      </c>
      <c r="L47" s="6"/>
      <c r="M47" s="396" t="str">
        <f>IF(I47="-","-",+ROUND(I47*K47, -3))</f>
        <v>-</v>
      </c>
      <c r="N47" s="396"/>
      <c r="O47" s="396"/>
    </row>
    <row r="48" spans="2:38" s="8" customFormat="1" ht="18" customHeight="1" x14ac:dyDescent="0.2">
      <c r="E48" s="7"/>
      <c r="F48" s="5" t="s">
        <v>614</v>
      </c>
      <c r="G48" s="220"/>
      <c r="H48" s="286"/>
      <c r="I48" s="324" t="str">
        <f>IF(G48="","-",G48*O33)</f>
        <v>-</v>
      </c>
      <c r="J48" s="6"/>
      <c r="K48" s="217">
        <f>IF(OR($D$20="",$F$20=""),"-",INDEX(Fields!$I$3:$J$5,$AD$4,$AC$4))</f>
        <v>182400</v>
      </c>
      <c r="L48" s="6"/>
      <c r="M48" s="417" t="str">
        <f>IF(I48="-","-",+ROUND(I48*K48, -3))</f>
        <v>-</v>
      </c>
      <c r="N48" s="417"/>
      <c r="O48" s="417"/>
      <c r="P48" s="62"/>
      <c r="Q48" s="62"/>
      <c r="R48" s="62"/>
    </row>
    <row r="49" spans="2:20" s="8" customFormat="1" ht="18" customHeight="1" x14ac:dyDescent="0.2">
      <c r="E49" s="7"/>
      <c r="F49" s="5" t="s">
        <v>24</v>
      </c>
      <c r="G49" s="220"/>
      <c r="H49" s="7"/>
      <c r="I49" s="324" t="str">
        <f>IF(G49="","-",G49*Q33)</f>
        <v>-</v>
      </c>
      <c r="J49" s="6"/>
      <c r="K49" s="217">
        <f>IF(OR($D$20="",$F$20=""),"-",27000)</f>
        <v>27000</v>
      </c>
      <c r="L49" s="6"/>
      <c r="M49" s="417" t="str">
        <f>IF(I49="-","-",+ROUND(I49*K49, -3))</f>
        <v>-</v>
      </c>
      <c r="N49" s="417"/>
      <c r="O49" s="417"/>
    </row>
    <row r="50" spans="2:20" s="8" customFormat="1" ht="15" customHeight="1" x14ac:dyDescent="0.2">
      <c r="B50" s="63"/>
      <c r="C50" s="63"/>
      <c r="D50" s="66"/>
      <c r="E50" s="66"/>
      <c r="F50" s="66"/>
      <c r="G50" s="193"/>
      <c r="H50" s="198"/>
      <c r="I50" s="299"/>
      <c r="J50" s="219"/>
      <c r="K50" s="219"/>
      <c r="L50" s="6"/>
      <c r="M50" s="279"/>
      <c r="N50" s="216"/>
      <c r="O50" s="216"/>
      <c r="P50" s="65"/>
      <c r="Q50" s="65"/>
      <c r="R50" s="65"/>
      <c r="S50" s="276"/>
      <c r="T50" s="276"/>
    </row>
    <row r="51" spans="2:20" s="8" customFormat="1" ht="15" customHeight="1" x14ac:dyDescent="0.2">
      <c r="B51" s="63"/>
      <c r="C51" s="63"/>
      <c r="D51" s="66"/>
      <c r="E51" s="66"/>
      <c r="F51" s="66"/>
      <c r="G51" s="284"/>
      <c r="H51" s="284"/>
      <c r="I51" s="323"/>
      <c r="J51" s="285"/>
      <c r="K51" s="284"/>
      <c r="L51" s="285"/>
      <c r="M51" s="425"/>
      <c r="N51" s="425"/>
      <c r="O51" s="425"/>
      <c r="P51" s="65"/>
      <c r="Q51" s="65"/>
      <c r="R51" s="65"/>
      <c r="S51" s="276"/>
      <c r="T51" s="276"/>
    </row>
    <row r="52" spans="2:20" s="8" customFormat="1" ht="18" customHeight="1" x14ac:dyDescent="0.2">
      <c r="B52" s="88"/>
      <c r="C52" s="88"/>
      <c r="D52" s="88"/>
      <c r="E52" s="215" t="s">
        <v>320</v>
      </c>
      <c r="F52" s="214" t="str">
        <f>I35</f>
        <v/>
      </c>
      <c r="G52" s="279"/>
      <c r="H52" s="280"/>
      <c r="I52" s="299"/>
      <c r="J52" s="6"/>
      <c r="K52" s="279"/>
      <c r="L52" s="6"/>
      <c r="M52" s="279"/>
      <c r="N52" s="216"/>
      <c r="O52" s="216"/>
      <c r="P52" s="65"/>
      <c r="Q52" s="65"/>
      <c r="R52" s="65"/>
      <c r="S52" s="276"/>
      <c r="T52" s="276"/>
    </row>
    <row r="53" spans="2:20" s="8" customFormat="1" ht="18" customHeight="1" x14ac:dyDescent="0.2">
      <c r="E53" s="7"/>
      <c r="F53" s="5" t="s">
        <v>613</v>
      </c>
      <c r="G53" s="220"/>
      <c r="H53" s="281"/>
      <c r="I53" s="324" t="str">
        <f>IF(G53="","-",G53*M35)</f>
        <v>-</v>
      </c>
      <c r="J53" s="6"/>
      <c r="K53" s="217">
        <f>IF(OR($D$20="",$F$20=""),"-",INDEX(Fields!$G$3:$H$5,$AD$4,$AC$4))</f>
        <v>3691600</v>
      </c>
      <c r="L53" s="6"/>
      <c r="M53" s="396" t="str">
        <f>IF(I53="-","-",+ROUND(I53*K53, -3))</f>
        <v>-</v>
      </c>
      <c r="N53" s="396"/>
      <c r="O53" s="396"/>
    </row>
    <row r="54" spans="2:20" s="8" customFormat="1" ht="18" customHeight="1" x14ac:dyDescent="0.2">
      <c r="E54" s="7"/>
      <c r="F54" s="5" t="s">
        <v>614</v>
      </c>
      <c r="G54" s="220"/>
      <c r="H54" s="286"/>
      <c r="I54" s="324" t="str">
        <f>IF(G54="","-",G54*O35)</f>
        <v>-</v>
      </c>
      <c r="J54" s="6"/>
      <c r="K54" s="217">
        <f>IF(OR($D$20="",$F$20=""),"-",INDEX(Fields!$I$3:$J$5,$AD$4,$AC$4))</f>
        <v>182400</v>
      </c>
      <c r="L54" s="6"/>
      <c r="M54" s="417" t="str">
        <f>IF(I54="-","-",+ROUND(I54*K54, -3))</f>
        <v>-</v>
      </c>
      <c r="N54" s="417"/>
      <c r="O54" s="417"/>
      <c r="P54" s="62"/>
      <c r="Q54" s="62"/>
      <c r="R54" s="62"/>
    </row>
    <row r="55" spans="2:20" s="8" customFormat="1" ht="18" customHeight="1" x14ac:dyDescent="0.2">
      <c r="E55" s="7"/>
      <c r="F55" s="5" t="s">
        <v>24</v>
      </c>
      <c r="G55" s="220"/>
      <c r="H55" s="7"/>
      <c r="I55" s="324" t="str">
        <f>IF(G55="","-",G55*Q35)</f>
        <v>-</v>
      </c>
      <c r="J55" s="6"/>
      <c r="K55" s="217">
        <f>IF(OR($D$20="",$F$20=""),"-",27000)</f>
        <v>27000</v>
      </c>
      <c r="L55" s="6"/>
      <c r="M55" s="417" t="str">
        <f>IF(I55="-","-",+ROUND(I55*K55, -3))</f>
        <v>-</v>
      </c>
      <c r="N55" s="417"/>
      <c r="O55" s="417"/>
    </row>
    <row r="56" spans="2:20" s="8" customFormat="1" ht="15" customHeight="1" x14ac:dyDescent="0.2">
      <c r="E56" s="7"/>
      <c r="F56" s="7"/>
      <c r="G56" s="198"/>
      <c r="H56" s="7"/>
      <c r="I56" s="283"/>
      <c r="J56" s="6"/>
      <c r="K56" s="218"/>
      <c r="L56" s="6"/>
      <c r="M56" s="276"/>
      <c r="N56" s="7"/>
      <c r="O56" s="7"/>
    </row>
    <row r="57" spans="2:20" s="8" customFormat="1" ht="15" customHeight="1" x14ac:dyDescent="0.2">
      <c r="B57" s="63"/>
      <c r="C57" s="63"/>
      <c r="D57" s="66"/>
      <c r="E57" s="66"/>
      <c r="F57" s="66"/>
      <c r="G57" s="284"/>
      <c r="H57" s="284"/>
      <c r="I57" s="323"/>
      <c r="J57" s="285"/>
      <c r="K57" s="284"/>
      <c r="L57" s="285"/>
      <c r="M57" s="425"/>
      <c r="N57" s="425"/>
      <c r="O57" s="425"/>
      <c r="P57" s="65"/>
      <c r="Q57" s="65"/>
      <c r="R57" s="65"/>
      <c r="S57" s="276"/>
      <c r="T57" s="276"/>
    </row>
    <row r="58" spans="2:20" s="8" customFormat="1" ht="18" customHeight="1" x14ac:dyDescent="0.2">
      <c r="E58" s="215" t="s">
        <v>320</v>
      </c>
      <c r="F58" s="214" t="str">
        <f>I37</f>
        <v/>
      </c>
      <c r="G58" s="279"/>
      <c r="H58" s="280"/>
      <c r="I58" s="299"/>
      <c r="J58" s="6"/>
      <c r="K58" s="279"/>
      <c r="L58" s="6"/>
      <c r="M58" s="279"/>
      <c r="N58" s="216"/>
      <c r="O58" s="216"/>
      <c r="P58" s="65"/>
      <c r="Q58" s="65"/>
      <c r="R58" s="65"/>
      <c r="T58" s="276"/>
    </row>
    <row r="59" spans="2:20" s="8" customFormat="1" ht="18" customHeight="1" x14ac:dyDescent="0.2">
      <c r="E59" s="7"/>
      <c r="F59" s="5" t="s">
        <v>613</v>
      </c>
      <c r="G59" s="220"/>
      <c r="H59" s="281"/>
      <c r="I59" s="324" t="str">
        <f>IF(G59="","-",G59*M37)</f>
        <v>-</v>
      </c>
      <c r="J59" s="6"/>
      <c r="K59" s="217">
        <f>IF(OR($D$20="",$F$20=""),"-",INDEX(Fields!$G$3:$H$5,$AD$4,$AC$4))</f>
        <v>3691600</v>
      </c>
      <c r="L59" s="6"/>
      <c r="M59" s="396" t="str">
        <f>IF(I59="-","-",+ROUND(I59*K59, -3))</f>
        <v>-</v>
      </c>
      <c r="N59" s="396"/>
      <c r="O59" s="396"/>
    </row>
    <row r="60" spans="2:20" s="8" customFormat="1" ht="18" customHeight="1" x14ac:dyDescent="0.2">
      <c r="E60" s="7"/>
      <c r="F60" s="5" t="s">
        <v>614</v>
      </c>
      <c r="G60" s="220"/>
      <c r="H60" s="282"/>
      <c r="I60" s="324" t="str">
        <f>IF(G60="","-",G60*O37)</f>
        <v>-</v>
      </c>
      <c r="J60" s="6"/>
      <c r="K60" s="217">
        <f>IF(OR($D$20="",$F$20=""),"-",INDEX(Fields!$I$3:$J$5,$AD$4,$AC$4))</f>
        <v>182400</v>
      </c>
      <c r="L60" s="6"/>
      <c r="M60" s="417" t="str">
        <f>IF(I60="-","-",+ROUND(I60*K60, -3))</f>
        <v>-</v>
      </c>
      <c r="N60" s="417"/>
      <c r="O60" s="417"/>
      <c r="P60" s="62"/>
      <c r="Q60" s="62"/>
      <c r="R60" s="62"/>
    </row>
    <row r="61" spans="2:20" s="8" customFormat="1" ht="18" customHeight="1" x14ac:dyDescent="0.2">
      <c r="E61" s="7"/>
      <c r="F61" s="5" t="s">
        <v>24</v>
      </c>
      <c r="G61" s="220"/>
      <c r="H61" s="7"/>
      <c r="I61" s="324" t="str">
        <f>IF(G61="","-",G61*Q37)</f>
        <v>-</v>
      </c>
      <c r="J61" s="6"/>
      <c r="K61" s="217">
        <f>IF(OR($D$20="",$F$20=""),"-",27000)</f>
        <v>27000</v>
      </c>
      <c r="L61" s="6"/>
      <c r="M61" s="417" t="str">
        <f>IF(I61="-","-",+ROUND(I61*K61, -3))</f>
        <v>-</v>
      </c>
      <c r="N61" s="417"/>
      <c r="O61" s="417"/>
    </row>
    <row r="62" spans="2:20" s="8" customFormat="1" ht="14.25" x14ac:dyDescent="0.2"/>
    <row r="63" spans="2:20" s="8" customFormat="1" ht="14.25" x14ac:dyDescent="0.2"/>
    <row r="64" spans="2:20" s="8" customFormat="1" ht="14.25" x14ac:dyDescent="0.2">
      <c r="K64" s="67"/>
    </row>
    <row r="65" spans="2:28" s="8" customFormat="1" ht="17.25" customHeight="1" thickBot="1" x14ac:dyDescent="0.25">
      <c r="B65" s="424" t="s">
        <v>332</v>
      </c>
      <c r="C65" s="399"/>
      <c r="D65" s="399"/>
      <c r="E65" s="399"/>
      <c r="F65"/>
      <c r="G65"/>
    </row>
    <row r="66" spans="2:28" s="8" customFormat="1" ht="15" thickTop="1" x14ac:dyDescent="0.2">
      <c r="B66" s="68" t="s">
        <v>50</v>
      </c>
      <c r="C66" s="69"/>
      <c r="D66" s="287" t="s">
        <v>25</v>
      </c>
      <c r="E66" s="288" t="s">
        <v>6</v>
      </c>
      <c r="F66"/>
      <c r="G66"/>
      <c r="T66" s="276"/>
    </row>
    <row r="67" spans="2:28" s="8" customFormat="1" ht="18" customHeight="1" x14ac:dyDescent="0.2">
      <c r="B67" s="418" t="s">
        <v>329</v>
      </c>
      <c r="C67" s="419"/>
      <c r="D67" s="419"/>
      <c r="E67" s="420"/>
      <c r="F67"/>
      <c r="G67" s="34"/>
      <c r="I67" s="72"/>
      <c r="J67" s="289" t="s">
        <v>41</v>
      </c>
      <c r="K67" s="176">
        <f>IF(OR(N22="",S22=""),"-",IF(DAYS360(N22,S22)&gt;=0,ROUND((DAYS360(N22,S22)/30),1),"Dates Wrong"))</f>
        <v>60</v>
      </c>
      <c r="L67" s="212" t="s">
        <v>610</v>
      </c>
      <c r="N67" s="289" t="s">
        <v>608</v>
      </c>
      <c r="O67" s="396">
        <f>SUM(M59:M61)+SUM(M53:M55)+SUM(M47:M49)+SUM(M41:M43)</f>
        <v>0</v>
      </c>
      <c r="P67" s="396"/>
      <c r="Q67" s="396"/>
      <c r="R67" s="396"/>
    </row>
    <row r="68" spans="2:28" s="8" customFormat="1" ht="14.25" x14ac:dyDescent="0.2">
      <c r="B68" s="73" t="s">
        <v>42</v>
      </c>
      <c r="C68" s="74"/>
      <c r="D68" s="290">
        <v>27000</v>
      </c>
      <c r="E68" s="291">
        <v>27000</v>
      </c>
      <c r="F68"/>
      <c r="G68"/>
      <c r="N68" s="62"/>
      <c r="O68" s="62"/>
      <c r="P68" s="62"/>
      <c r="Q68" s="62"/>
      <c r="R68" s="62"/>
    </row>
    <row r="69" spans="2:28" s="8" customFormat="1" ht="14.25" x14ac:dyDescent="0.2">
      <c r="B69" s="421" t="s">
        <v>331</v>
      </c>
      <c r="C69" s="422"/>
      <c r="D69" s="422"/>
      <c r="E69" s="423"/>
      <c r="F69"/>
      <c r="G69"/>
      <c r="T69" s="276"/>
    </row>
    <row r="70" spans="2:28" s="8" customFormat="1" ht="18" customHeight="1" x14ac:dyDescent="0.25">
      <c r="B70" s="73" t="s">
        <v>48</v>
      </c>
      <c r="C70" s="74"/>
      <c r="D70" s="290">
        <v>176800</v>
      </c>
      <c r="E70" s="291">
        <v>200800</v>
      </c>
      <c r="F70"/>
      <c r="G70"/>
      <c r="J70" s="77"/>
      <c r="N70" s="292" t="s">
        <v>8</v>
      </c>
      <c r="O70" s="396">
        <f>IF(K67="-","-",ROUND(O67/(K67/12),-3))</f>
        <v>0</v>
      </c>
      <c r="P70" s="396"/>
      <c r="Q70" s="396"/>
      <c r="R70" s="396"/>
      <c r="AB70" s="98"/>
    </row>
    <row r="71" spans="2:28" s="8" customFormat="1" ht="14.25" x14ac:dyDescent="0.2">
      <c r="B71" s="78" t="s">
        <v>7</v>
      </c>
      <c r="C71" s="35"/>
      <c r="D71" s="290">
        <v>182400</v>
      </c>
      <c r="E71" s="291">
        <v>208000</v>
      </c>
      <c r="F71"/>
      <c r="G71"/>
    </row>
    <row r="72" spans="2:28" s="8" customFormat="1" ht="14.25" x14ac:dyDescent="0.2">
      <c r="B72" s="78" t="s">
        <v>56</v>
      </c>
      <c r="C72" s="35"/>
      <c r="D72" s="290">
        <v>184700</v>
      </c>
      <c r="E72" s="291">
        <v>210800</v>
      </c>
      <c r="F72"/>
      <c r="G72"/>
      <c r="T72" s="276"/>
    </row>
    <row r="73" spans="2:28" s="8" customFormat="1" ht="18" customHeight="1" x14ac:dyDescent="0.25">
      <c r="B73" s="421" t="s">
        <v>910</v>
      </c>
      <c r="C73" s="422"/>
      <c r="D73" s="422"/>
      <c r="E73" s="423"/>
      <c r="F73"/>
      <c r="G73"/>
      <c r="N73" s="77" t="s">
        <v>553</v>
      </c>
      <c r="O73" s="404"/>
      <c r="P73" s="404"/>
      <c r="Q73" s="404"/>
      <c r="R73" s="404"/>
    </row>
    <row r="74" spans="2:28" s="8" customFormat="1" ht="14.25" x14ac:dyDescent="0.2">
      <c r="B74" s="73" t="s">
        <v>48</v>
      </c>
      <c r="C74" s="74"/>
      <c r="D74" s="290">
        <v>3966800</v>
      </c>
      <c r="E74" s="291">
        <v>4761200</v>
      </c>
      <c r="F74" s="293"/>
      <c r="G74"/>
      <c r="T74" s="6"/>
    </row>
    <row r="75" spans="2:28" s="8" customFormat="1" ht="14.25" x14ac:dyDescent="0.2">
      <c r="B75" s="73" t="s">
        <v>7</v>
      </c>
      <c r="C75" s="74"/>
      <c r="D75" s="290">
        <v>3691600</v>
      </c>
      <c r="E75" s="291">
        <v>5110100</v>
      </c>
      <c r="F75" s="293"/>
      <c r="G75"/>
      <c r="T75" s="6" t="s">
        <v>44</v>
      </c>
    </row>
    <row r="76" spans="2:28" s="8" customFormat="1" ht="18" customHeight="1" thickBot="1" x14ac:dyDescent="0.3">
      <c r="B76" s="79" t="s">
        <v>56</v>
      </c>
      <c r="C76" s="80"/>
      <c r="D76" s="294">
        <v>2773800</v>
      </c>
      <c r="E76" s="295">
        <v>4352600</v>
      </c>
      <c r="F76" s="293"/>
      <c r="G76"/>
      <c r="M76" s="77"/>
      <c r="N76" s="77" t="s">
        <v>552</v>
      </c>
      <c r="O76" s="404"/>
      <c r="P76" s="404"/>
      <c r="Q76" s="404"/>
      <c r="R76" s="404"/>
    </row>
    <row r="77" spans="2:28" s="8" customFormat="1" ht="14.25" customHeight="1" thickTop="1" x14ac:dyDescent="0.2">
      <c r="B77" s="35"/>
      <c r="C77" s="35"/>
      <c r="D77" s="83"/>
      <c r="E77" s="84"/>
      <c r="F77" s="84"/>
      <c r="T77" s="37"/>
      <c r="U77" s="37"/>
    </row>
    <row r="78" spans="2:28" s="8" customFormat="1" ht="17.25" customHeight="1" x14ac:dyDescent="0.25">
      <c r="B78" s="85" t="s">
        <v>38</v>
      </c>
      <c r="H78"/>
      <c r="S78"/>
      <c r="T78" s="37"/>
      <c r="U78" s="37"/>
    </row>
    <row r="79" spans="2:28" s="8" customFormat="1" ht="18" customHeight="1" x14ac:dyDescent="0.25">
      <c r="B79" s="379" t="s">
        <v>692</v>
      </c>
      <c r="C79" s="379"/>
      <c r="D79" s="379"/>
      <c r="E79" s="379"/>
      <c r="F79" s="379"/>
      <c r="H79"/>
      <c r="N79" s="77" t="s">
        <v>335</v>
      </c>
      <c r="O79" s="396">
        <f>ROUND(O73+O76*(((1+AF4)^AE4-1)/(AF4*(1+AF4)^AE4)),-3)</f>
        <v>0</v>
      </c>
      <c r="P79" s="396"/>
      <c r="Q79" s="396"/>
      <c r="R79" s="396"/>
      <c r="S79"/>
    </row>
    <row r="80" spans="2:28" s="8" customFormat="1" ht="9.75" customHeight="1" x14ac:dyDescent="0.2">
      <c r="B80" s="379"/>
      <c r="C80" s="379"/>
      <c r="D80" s="379"/>
      <c r="E80" s="379"/>
      <c r="F80" s="379"/>
      <c r="G80" s="92"/>
      <c r="H80"/>
      <c r="S80"/>
    </row>
    <row r="81" spans="1:20" s="8" customFormat="1" ht="11.25" customHeight="1" x14ac:dyDescent="0.2">
      <c r="B81" s="394" t="s">
        <v>915</v>
      </c>
      <c r="C81" s="394"/>
      <c r="D81" s="394"/>
      <c r="E81" s="394"/>
      <c r="F81" s="394"/>
      <c r="G81" s="92"/>
      <c r="H81"/>
      <c r="N81"/>
      <c r="O81"/>
      <c r="P81"/>
      <c r="Q81"/>
      <c r="S81"/>
    </row>
    <row r="82" spans="1:20" s="8" customFormat="1" ht="19.5" customHeight="1" x14ac:dyDescent="0.25">
      <c r="B82" s="394"/>
      <c r="C82" s="394"/>
      <c r="D82" s="394"/>
      <c r="E82" s="394"/>
      <c r="F82" s="394"/>
      <c r="H82"/>
      <c r="N82" s="247" t="s">
        <v>336</v>
      </c>
      <c r="O82" s="426" t="str">
        <f>IF(O79=0,"",O70*(IF(AE4=0,"",((1+AF4)^AE4-1)/(AF4*(1+AF4)^AE4)))/O79)</f>
        <v/>
      </c>
      <c r="P82" s="426"/>
      <c r="Q82" s="426"/>
      <c r="R82" s="426"/>
      <c r="S82"/>
    </row>
    <row r="83" spans="1:20" s="8" customFormat="1" ht="15.75" customHeight="1" x14ac:dyDescent="0.25">
      <c r="A83" s="85"/>
      <c r="B83" s="244" t="s">
        <v>693</v>
      </c>
      <c r="C83" s="157"/>
      <c r="D83" s="157"/>
      <c r="E83" s="157"/>
      <c r="F83" s="157"/>
    </row>
    <row r="84" spans="1:20" s="8" customFormat="1" ht="14.25" x14ac:dyDescent="0.2">
      <c r="A84" s="86"/>
      <c r="B84" s="244" t="s">
        <v>694</v>
      </c>
      <c r="C84" s="157"/>
      <c r="D84" s="157"/>
      <c r="E84" s="157"/>
      <c r="F84" s="157"/>
    </row>
    <row r="85" spans="1:20" ht="14.25" x14ac:dyDescent="0.2">
      <c r="A85" s="86"/>
      <c r="B85" s="244" t="s">
        <v>695</v>
      </c>
      <c r="C85" s="157"/>
      <c r="D85" s="157"/>
      <c r="E85" s="157"/>
      <c r="F85" s="157"/>
      <c r="G85" s="8"/>
      <c r="H85" s="8"/>
      <c r="I85" s="8"/>
      <c r="J85" s="8"/>
      <c r="K85" s="8"/>
      <c r="L85" s="8"/>
      <c r="M85" s="8"/>
      <c r="N85" s="8"/>
      <c r="O85" s="8"/>
      <c r="P85" s="8"/>
      <c r="Q85" s="8"/>
      <c r="R85" s="8"/>
      <c r="S85" s="8"/>
      <c r="T85" s="8"/>
    </row>
    <row r="86" spans="1:20" ht="14.25" x14ac:dyDescent="0.2">
      <c r="A86" s="86"/>
      <c r="B86" s="8"/>
      <c r="C86" s="8"/>
      <c r="D86" s="8"/>
      <c r="E86" s="8"/>
      <c r="F86" s="8"/>
      <c r="G86" s="8"/>
      <c r="H86" s="8"/>
      <c r="I86" s="8"/>
      <c r="J86" s="8"/>
      <c r="K86" s="8"/>
      <c r="L86" s="8"/>
      <c r="M86" s="8"/>
      <c r="N86" s="8"/>
      <c r="O86" s="8"/>
      <c r="P86" s="8"/>
      <c r="Q86" s="8"/>
      <c r="R86" s="8"/>
      <c r="S86" s="8"/>
      <c r="T86" s="8"/>
    </row>
    <row r="87" spans="1:20" ht="28.5" customHeight="1" x14ac:dyDescent="0.2">
      <c r="A87" s="87"/>
      <c r="B87" s="8"/>
      <c r="C87" s="8"/>
      <c r="D87" s="8"/>
      <c r="E87" s="8"/>
      <c r="F87" s="8"/>
      <c r="G87" s="8"/>
      <c r="H87" s="8"/>
      <c r="I87" s="8"/>
      <c r="J87" s="8"/>
      <c r="K87" s="8"/>
      <c r="L87" s="8"/>
      <c r="M87" s="8"/>
      <c r="N87" s="8"/>
      <c r="O87" s="8"/>
      <c r="P87" s="8"/>
      <c r="Q87" s="8"/>
      <c r="R87" s="8"/>
      <c r="S87" s="8"/>
      <c r="T87" s="8"/>
    </row>
    <row r="88" spans="1:20" x14ac:dyDescent="0.2"/>
    <row r="89" spans="1:20" x14ac:dyDescent="0.2"/>
    <row r="90" spans="1:20" x14ac:dyDescent="0.2"/>
  </sheetData>
  <sheetProtection selectLockedCells="1" autoFilter="0" pivotTables="0"/>
  <mergeCells count="55">
    <mergeCell ref="A3:T3"/>
    <mergeCell ref="M51:O51"/>
    <mergeCell ref="N22:P22"/>
    <mergeCell ref="F20:I20"/>
    <mergeCell ref="F22:I22"/>
    <mergeCell ref="M47:O47"/>
    <mergeCell ref="M48:O48"/>
    <mergeCell ref="N10:P10"/>
    <mergeCell ref="A5:T5"/>
    <mergeCell ref="A4:T4"/>
    <mergeCell ref="D10:I10"/>
    <mergeCell ref="D24:S24"/>
    <mergeCell ref="N13:S13"/>
    <mergeCell ref="D13:E13"/>
    <mergeCell ref="G13:I13"/>
    <mergeCell ref="H17:K17"/>
    <mergeCell ref="N17:P17"/>
    <mergeCell ref="S29:S30"/>
    <mergeCell ref="M39:O39"/>
    <mergeCell ref="K26:S26"/>
    <mergeCell ref="D26:G26"/>
    <mergeCell ref="D29:G30"/>
    <mergeCell ref="I29:I30"/>
    <mergeCell ref="M29:Q29"/>
    <mergeCell ref="K29:K30"/>
    <mergeCell ref="M45:O45"/>
    <mergeCell ref="M41:O41"/>
    <mergeCell ref="D37:G37"/>
    <mergeCell ref="B39:D39"/>
    <mergeCell ref="D33:G33"/>
    <mergeCell ref="D35:G35"/>
    <mergeCell ref="M43:O43"/>
    <mergeCell ref="M57:O57"/>
    <mergeCell ref="O82:R82"/>
    <mergeCell ref="O67:R67"/>
    <mergeCell ref="O70:R70"/>
    <mergeCell ref="M59:O59"/>
    <mergeCell ref="M60:O60"/>
    <mergeCell ref="M61:O61"/>
    <mergeCell ref="B81:F82"/>
    <mergeCell ref="B79:F80"/>
    <mergeCell ref="U31:AC33"/>
    <mergeCell ref="O73:R73"/>
    <mergeCell ref="O76:R76"/>
    <mergeCell ref="O79:R79"/>
    <mergeCell ref="M49:O49"/>
    <mergeCell ref="M53:O53"/>
    <mergeCell ref="M54:O54"/>
    <mergeCell ref="M55:O55"/>
    <mergeCell ref="B67:E67"/>
    <mergeCell ref="D31:G31"/>
    <mergeCell ref="B69:E69"/>
    <mergeCell ref="B73:E73"/>
    <mergeCell ref="B65:E65"/>
    <mergeCell ref="M42:O42"/>
  </mergeCells>
  <phoneticPr fontId="21" type="noConversion"/>
  <pageMargins left="0.5" right="0.5" top="0.38" bottom="0.73" header="0.38" footer="0.5"/>
  <pageSetup scale="45" orientation="portrait" r:id="rId1"/>
  <headerFooter alignWithMargins="0">
    <oddFooter>&amp;L&amp;F, &amp;A&amp;R&amp;D  &amp;T</oddFooter>
  </headerFooter>
  <ignoredErrors>
    <ignoredError sqref="I37:S38 O80:R81 P82:R82 O79:R79 I31:S31 I33:S33 I35:S35 D10:S21 D23:S26 D22:N22 Q22:S22" unlockedFormula="1"/>
    <ignoredError sqref="O82" evalError="1" unlockedFormula="1"/>
  </ignoredErrors>
  <drawing r:id="rId2"/>
  <legacyDrawing r:id="rId3"/>
  <controls>
    <mc:AlternateContent xmlns:mc="http://schemas.openxmlformats.org/markup-compatibility/2006">
      <mc:Choice Requires="x14">
        <control shapeId="3075" r:id="rId4" name="CommandButton3">
          <controlPr defaultSize="0" print="0" autoLine="0" r:id="rId5">
            <anchor moveWithCells="1" sizeWithCells="1">
              <from>
                <xdr:col>17</xdr:col>
                <xdr:colOff>142875</xdr:colOff>
                <xdr:row>3</xdr:row>
                <xdr:rowOff>38100</xdr:rowOff>
              </from>
              <to>
                <xdr:col>18</xdr:col>
                <xdr:colOff>742950</xdr:colOff>
                <xdr:row>4</xdr:row>
                <xdr:rowOff>104775</xdr:rowOff>
              </to>
            </anchor>
          </controlPr>
        </control>
      </mc:Choice>
      <mc:Fallback>
        <control shapeId="3075" r:id="rId4" name="CommandButton3"/>
      </mc:Fallback>
    </mc:AlternateContent>
    <mc:AlternateContent xmlns:mc="http://schemas.openxmlformats.org/markup-compatibility/2006">
      <mc:Choice Requires="x14">
        <control shapeId="3074" r:id="rId6" name="CommandButton2">
          <controlPr defaultSize="0" print="0" autoLine="0" r:id="rId7">
            <anchor moveWithCells="1" sizeWithCells="1">
              <from>
                <xdr:col>14</xdr:col>
                <xdr:colOff>571500</xdr:colOff>
                <xdr:row>3</xdr:row>
                <xdr:rowOff>38100</xdr:rowOff>
              </from>
              <to>
                <xdr:col>17</xdr:col>
                <xdr:colOff>0</xdr:colOff>
                <xdr:row>4</xdr:row>
                <xdr:rowOff>104775</xdr:rowOff>
              </to>
            </anchor>
          </controlPr>
        </control>
      </mc:Choice>
      <mc:Fallback>
        <control shapeId="3074" r:id="rId6" name="CommandButton2"/>
      </mc:Fallback>
    </mc:AlternateContent>
    <mc:AlternateContent xmlns:mc="http://schemas.openxmlformats.org/markup-compatibility/2006">
      <mc:Choice Requires="x14">
        <control shapeId="3073" r:id="rId8" name="CommandButton1">
          <controlPr defaultSize="0" print="0" autoLine="0" r:id="rId9">
            <anchor moveWithCells="1" sizeWithCells="1">
              <from>
                <xdr:col>12</xdr:col>
                <xdr:colOff>409575</xdr:colOff>
                <xdr:row>3</xdr:row>
                <xdr:rowOff>38100</xdr:rowOff>
              </from>
              <to>
                <xdr:col>14</xdr:col>
                <xdr:colOff>428625</xdr:colOff>
                <xdr:row>4</xdr:row>
                <xdr:rowOff>104775</xdr:rowOff>
              </to>
            </anchor>
          </controlPr>
        </control>
      </mc:Choice>
      <mc:Fallback>
        <control shapeId="3073" r:id="rId8" name="CommandButton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Fields!$P$2:$P$167</xm:f>
          </x14:formula1>
          <xm:sqref>D31:G37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50"/>
  <sheetViews>
    <sheetView showGridLines="0" view="pageBreakPreview" zoomScale="70" zoomScaleNormal="100" zoomScaleSheetLayoutView="70" workbookViewId="0">
      <selection activeCell="B5" sqref="B5:Q5"/>
    </sheetView>
  </sheetViews>
  <sheetFormatPr defaultColWidth="50.7109375" defaultRowHeight="12.75" zeroHeight="1" x14ac:dyDescent="0.2"/>
  <cols>
    <col min="1" max="1" width="2.7109375" customWidth="1"/>
    <col min="2" max="2" width="23.7109375" customWidth="1"/>
    <col min="3" max="3" width="3.140625" customWidth="1"/>
    <col min="4" max="4" width="19.5703125" customWidth="1"/>
    <col min="5" max="5" width="14.7109375" customWidth="1"/>
    <col min="6" max="6" width="6.28515625" customWidth="1"/>
    <col min="7" max="7" width="14.7109375" customWidth="1"/>
    <col min="8" max="8" width="22.85546875" customWidth="1"/>
    <col min="9" max="9" width="3.7109375" customWidth="1"/>
    <col min="10" max="11" width="20.42578125" customWidth="1"/>
    <col min="12" max="12" width="2.28515625" customWidth="1"/>
    <col min="13" max="13" width="9.5703125" customWidth="1"/>
    <col min="14" max="14" width="6.28515625" customWidth="1"/>
    <col min="15" max="15" width="17.140625" customWidth="1"/>
    <col min="16" max="16" width="8.28515625" customWidth="1"/>
    <col min="17" max="17" width="19.28515625" customWidth="1"/>
    <col min="18" max="18" width="2.28515625" customWidth="1"/>
    <col min="19" max="19" width="23.28515625" customWidth="1"/>
    <col min="20" max="20" width="14.7109375" customWidth="1"/>
    <col min="21" max="22" width="10.7109375" customWidth="1"/>
    <col min="23" max="31" width="10.7109375" hidden="1" customWidth="1"/>
    <col min="32" max="35" width="10.7109375" customWidth="1"/>
  </cols>
  <sheetData>
    <row r="1" spans="1:30" ht="14.25" x14ac:dyDescent="0.2">
      <c r="B1" s="1"/>
      <c r="C1" s="1"/>
      <c r="D1" s="1"/>
      <c r="E1" s="1"/>
      <c r="F1" s="1"/>
      <c r="G1" s="1"/>
      <c r="H1" s="1"/>
      <c r="I1" s="1"/>
      <c r="J1" s="1"/>
      <c r="K1" s="1"/>
      <c r="L1" s="1"/>
      <c r="M1" s="1"/>
      <c r="N1" s="1"/>
      <c r="O1" s="1"/>
      <c r="P1" s="1"/>
      <c r="Q1" s="1"/>
      <c r="R1" s="1"/>
      <c r="X1" s="8" t="s">
        <v>36</v>
      </c>
      <c r="Y1" s="8"/>
      <c r="Z1" s="8"/>
      <c r="AA1" s="8"/>
    </row>
    <row r="2" spans="1:30" ht="14.25" x14ac:dyDescent="0.2">
      <c r="B2" s="1"/>
      <c r="C2" s="1"/>
      <c r="D2" s="1"/>
      <c r="E2" s="1"/>
      <c r="F2" s="1"/>
      <c r="G2" s="1"/>
      <c r="H2" s="1"/>
      <c r="I2" s="1"/>
      <c r="J2" s="1"/>
      <c r="K2" s="1"/>
      <c r="L2" s="1"/>
      <c r="M2" s="1"/>
      <c r="N2" s="1"/>
      <c r="O2" s="1"/>
      <c r="P2" s="1"/>
      <c r="Q2" s="1"/>
      <c r="R2" s="1"/>
      <c r="X2" s="8"/>
      <c r="Y2" s="8"/>
      <c r="Z2" s="8"/>
      <c r="AA2" s="8"/>
    </row>
    <row r="3" spans="1:30" ht="20.25" customHeight="1" x14ac:dyDescent="0.3">
      <c r="B3" s="374" t="s">
        <v>0</v>
      </c>
      <c r="C3" s="374"/>
      <c r="D3" s="366"/>
      <c r="E3" s="366"/>
      <c r="F3" s="366"/>
      <c r="G3" s="366"/>
      <c r="H3" s="366"/>
      <c r="I3" s="366"/>
      <c r="J3" s="366"/>
      <c r="K3" s="366"/>
      <c r="L3" s="366"/>
      <c r="M3" s="366"/>
      <c r="N3" s="366"/>
      <c r="O3" s="366"/>
      <c r="P3" s="366"/>
      <c r="Q3" s="366"/>
      <c r="R3" s="1"/>
      <c r="X3" s="8" t="s">
        <v>33</v>
      </c>
      <c r="Y3" s="8" t="s">
        <v>34</v>
      </c>
      <c r="Z3" s="8" t="s">
        <v>35</v>
      </c>
      <c r="AA3" s="8" t="s">
        <v>28</v>
      </c>
      <c r="AB3" s="8" t="s">
        <v>547</v>
      </c>
      <c r="AC3" s="8" t="s">
        <v>547</v>
      </c>
      <c r="AD3" s="8" t="s">
        <v>548</v>
      </c>
    </row>
    <row r="4" spans="1:30" ht="20.25" x14ac:dyDescent="0.3">
      <c r="B4" s="374" t="s">
        <v>46</v>
      </c>
      <c r="C4" s="374"/>
      <c r="D4" s="366"/>
      <c r="E4" s="366"/>
      <c r="F4" s="366"/>
      <c r="G4" s="366"/>
      <c r="H4" s="366"/>
      <c r="I4" s="366"/>
      <c r="J4" s="366"/>
      <c r="K4" s="366"/>
      <c r="L4" s="366"/>
      <c r="M4" s="366"/>
      <c r="N4" s="366"/>
      <c r="O4" s="366"/>
      <c r="P4" s="366"/>
      <c r="Q4" s="366"/>
      <c r="R4" s="1"/>
      <c r="X4" s="36">
        <v>1</v>
      </c>
      <c r="Y4" s="36">
        <v>1</v>
      </c>
      <c r="Z4" s="36">
        <v>2</v>
      </c>
      <c r="AA4" s="36">
        <v>1</v>
      </c>
      <c r="AB4" s="170">
        <f>'BC Form by Severity'!AD4</f>
        <v>20</v>
      </c>
      <c r="AC4" s="170">
        <f>'BC Form by Type'!AE4</f>
        <v>0</v>
      </c>
      <c r="AD4">
        <f>'BC Form by Severity'!AE4</f>
        <v>0.05</v>
      </c>
    </row>
    <row r="5" spans="1:30" ht="18" x14ac:dyDescent="0.25">
      <c r="B5" s="375" t="s">
        <v>22</v>
      </c>
      <c r="C5" s="375"/>
      <c r="D5" s="376"/>
      <c r="E5" s="376"/>
      <c r="F5" s="376"/>
      <c r="G5" s="376"/>
      <c r="H5" s="376"/>
      <c r="I5" s="376"/>
      <c r="J5" s="376"/>
      <c r="K5" s="376"/>
      <c r="L5" s="376"/>
      <c r="M5" s="376"/>
      <c r="N5" s="376"/>
      <c r="O5" s="376"/>
      <c r="P5" s="376"/>
      <c r="Q5" s="376"/>
      <c r="R5" s="156"/>
      <c r="AB5" s="172">
        <f>((1+AD4)^AB4-1)/(AD4*(1+AD4)^AB4)</f>
        <v>12.462210342539986</v>
      </c>
      <c r="AC5" s="172">
        <f>((1+AD4)^AC4-1)/(AD4*(1+AD4)^AC4)</f>
        <v>0</v>
      </c>
    </row>
    <row r="6" spans="1:30" ht="18" x14ac:dyDescent="0.25">
      <c r="B6" s="155"/>
      <c r="C6" s="155"/>
      <c r="D6" s="156"/>
      <c r="E6" s="156"/>
      <c r="F6" s="156"/>
      <c r="G6" s="156"/>
      <c r="H6" s="156"/>
      <c r="I6" s="156"/>
      <c r="J6" s="156"/>
      <c r="K6" s="156"/>
      <c r="L6" s="156"/>
      <c r="M6" s="156"/>
      <c r="N6" s="156"/>
      <c r="O6" s="156"/>
      <c r="P6" s="156"/>
      <c r="Q6" s="156"/>
      <c r="R6" s="156"/>
      <c r="AB6" s="172"/>
      <c r="AC6" s="172"/>
    </row>
    <row r="7" spans="1:30" ht="10.5" customHeight="1" x14ac:dyDescent="0.25">
      <c r="B7" s="3"/>
      <c r="C7" s="3"/>
      <c r="D7" s="1"/>
      <c r="E7" s="1"/>
      <c r="F7" s="1"/>
      <c r="G7" s="1"/>
      <c r="H7" s="1"/>
      <c r="I7" s="1"/>
      <c r="J7" s="1"/>
      <c r="K7" s="1"/>
      <c r="L7" s="1"/>
      <c r="M7" s="1"/>
      <c r="N7" s="1"/>
      <c r="O7" s="1"/>
      <c r="P7" s="1"/>
      <c r="Q7" s="1"/>
      <c r="R7" s="1"/>
    </row>
    <row r="8" spans="1:30" ht="12" customHeight="1" x14ac:dyDescent="0.2">
      <c r="B8" s="10"/>
      <c r="C8" s="10"/>
      <c r="D8" s="10"/>
      <c r="E8" s="10"/>
      <c r="F8" s="10"/>
      <c r="G8" s="10"/>
      <c r="H8" s="10"/>
      <c r="I8" s="10"/>
      <c r="J8" s="10"/>
      <c r="K8" s="10"/>
      <c r="L8" s="10"/>
      <c r="M8" s="10"/>
      <c r="N8" s="10"/>
      <c r="O8" s="10"/>
      <c r="P8" s="10"/>
      <c r="Q8" s="10"/>
      <c r="R8" s="10"/>
    </row>
    <row r="9" spans="1:30" ht="12" customHeight="1" x14ac:dyDescent="0.2">
      <c r="B9" s="11"/>
      <c r="C9" s="11"/>
      <c r="D9" s="11"/>
      <c r="E9" s="11"/>
      <c r="F9" s="11"/>
      <c r="G9" s="11"/>
      <c r="H9" s="11"/>
      <c r="I9" s="11"/>
      <c r="J9" s="11"/>
      <c r="K9" s="11"/>
      <c r="L9" s="11"/>
      <c r="M9" s="11"/>
      <c r="N9" s="11"/>
      <c r="O9" s="11"/>
      <c r="P9" s="11"/>
      <c r="Q9" s="11"/>
      <c r="R9" s="11"/>
    </row>
    <row r="10" spans="1:30" s="8" customFormat="1" ht="22.5" customHeight="1" x14ac:dyDescent="0.2">
      <c r="B10" s="4" t="s">
        <v>12</v>
      </c>
      <c r="C10" s="4"/>
      <c r="D10" s="409" t="str">
        <f>IF(Cover!D10="","",Cover!D10)</f>
        <v/>
      </c>
      <c r="E10" s="409"/>
      <c r="F10" s="409"/>
      <c r="G10" s="409"/>
      <c r="H10" s="409"/>
      <c r="I10" s="409"/>
      <c r="J10" s="409"/>
      <c r="L10" s="48"/>
      <c r="N10" s="5" t="s">
        <v>15</v>
      </c>
      <c r="O10" s="249" t="str">
        <f>IF(Cover!N10="","",Cover!N10)</f>
        <v/>
      </c>
      <c r="P10" s="5" t="s">
        <v>1</v>
      </c>
      <c r="Q10" s="233" t="str">
        <f>IF(Cover!S10="","",Cover!S10)</f>
        <v/>
      </c>
      <c r="R10" s="49"/>
    </row>
    <row r="11" spans="1:30" s="8" customFormat="1" ht="10.5" customHeight="1" x14ac:dyDescent="0.2">
      <c r="B11" s="4"/>
      <c r="C11" s="4"/>
      <c r="D11" s="48"/>
      <c r="E11" s="48"/>
      <c r="F11" s="48"/>
      <c r="G11" s="48"/>
      <c r="H11" s="48"/>
      <c r="I11" s="48"/>
      <c r="J11" s="48"/>
      <c r="K11" s="48"/>
      <c r="L11" s="48"/>
      <c r="M11" s="5"/>
      <c r="N11" s="5"/>
      <c r="O11" s="50"/>
      <c r="P11" s="6"/>
      <c r="Q11" s="49"/>
      <c r="R11" s="49"/>
    </row>
    <row r="12" spans="1:30" s="8" customFormat="1" ht="22.5" customHeight="1" x14ac:dyDescent="0.2">
      <c r="A12" s="187"/>
      <c r="B12" s="51" t="s">
        <v>23</v>
      </c>
      <c r="C12" s="51"/>
      <c r="D12" s="52"/>
      <c r="E12" s="52"/>
      <c r="F12" s="52"/>
      <c r="G12" s="52"/>
      <c r="H12" s="16"/>
      <c r="I12" s="16"/>
      <c r="J12" s="16"/>
      <c r="K12" s="16"/>
      <c r="L12" s="16"/>
      <c r="M12" s="16"/>
      <c r="N12" s="16"/>
      <c r="O12" s="52"/>
      <c r="P12" s="52"/>
      <c r="Q12" s="52"/>
      <c r="R12" s="53"/>
    </row>
    <row r="13" spans="1:30" s="8" customFormat="1" ht="22.5" customHeight="1" x14ac:dyDescent="0.2">
      <c r="A13" s="188"/>
      <c r="B13" s="7" t="s">
        <v>13</v>
      </c>
      <c r="C13" s="7"/>
      <c r="D13" s="416" t="str">
        <f>IF(Cover!D13="","",Cover!D13)</f>
        <v/>
      </c>
      <c r="E13" s="416"/>
      <c r="F13" s="416"/>
      <c r="G13" s="239" t="s">
        <v>576</v>
      </c>
      <c r="H13" s="416" t="str">
        <f>IF(Cover!G13="","",Cover!G13)</f>
        <v/>
      </c>
      <c r="I13" s="416"/>
      <c r="J13" s="416"/>
      <c r="L13" s="48"/>
      <c r="N13" s="5" t="s">
        <v>575</v>
      </c>
      <c r="O13" s="416" t="str">
        <f>IF(Cover!N13="","",Cover!N13)</f>
        <v/>
      </c>
      <c r="P13" s="416"/>
      <c r="Q13" s="416"/>
      <c r="R13" s="54"/>
    </row>
    <row r="14" spans="1:30" s="8" customFormat="1" ht="11.25" customHeight="1" x14ac:dyDescent="0.2">
      <c r="A14" s="189"/>
      <c r="B14" s="55"/>
      <c r="C14" s="55"/>
      <c r="D14" s="56"/>
      <c r="E14" s="12"/>
      <c r="F14" s="12"/>
      <c r="G14" s="12"/>
      <c r="H14" s="56"/>
      <c r="I14" s="56"/>
      <c r="J14" s="56"/>
      <c r="K14" s="56"/>
      <c r="L14" s="56"/>
      <c r="M14" s="9"/>
      <c r="N14" s="9"/>
      <c r="O14" s="18"/>
      <c r="P14" s="57"/>
      <c r="Q14" s="57"/>
      <c r="R14" s="59"/>
    </row>
    <row r="15" spans="1:30" s="8" customFormat="1" ht="10.5" customHeight="1" x14ac:dyDescent="0.2">
      <c r="B15" s="7"/>
      <c r="C15" s="7"/>
      <c r="D15" s="48"/>
      <c r="E15" s="48"/>
      <c r="F15" s="48"/>
      <c r="G15" s="48"/>
      <c r="H15" s="48"/>
      <c r="I15" s="48"/>
      <c r="J15" s="48"/>
      <c r="K15" s="48"/>
      <c r="L15" s="48"/>
      <c r="O15" s="5"/>
      <c r="P15" s="60"/>
      <c r="Q15" s="60"/>
      <c r="R15" s="60"/>
    </row>
    <row r="16" spans="1:30" s="8" customFormat="1" ht="22.5" customHeight="1" x14ac:dyDescent="0.2">
      <c r="A16" s="187"/>
      <c r="B16" s="51" t="s">
        <v>16</v>
      </c>
      <c r="C16" s="51"/>
      <c r="D16" s="52"/>
      <c r="E16" s="52"/>
      <c r="F16" s="52"/>
      <c r="G16" s="52"/>
      <c r="H16" s="16"/>
      <c r="I16" s="16"/>
      <c r="J16" s="16"/>
      <c r="K16" s="16"/>
      <c r="L16" s="16"/>
      <c r="M16" s="16"/>
      <c r="N16" s="16"/>
      <c r="O16" s="52"/>
      <c r="P16" s="52"/>
      <c r="Q16" s="52"/>
      <c r="R16" s="53"/>
    </row>
    <row r="17" spans="1:18" s="8" customFormat="1" ht="22.5" customHeight="1" x14ac:dyDescent="0.2">
      <c r="A17" s="188"/>
      <c r="B17" s="7" t="s">
        <v>14</v>
      </c>
      <c r="C17" s="7"/>
      <c r="D17" s="249" t="str">
        <f>IF(Cover!D17="","",Cover!D17)</f>
        <v/>
      </c>
      <c r="F17" s="5" t="s">
        <v>577</v>
      </c>
      <c r="G17" s="230" t="str">
        <f>IF(Cover!F17="","",Cover!F17)</f>
        <v/>
      </c>
      <c r="H17" s="5" t="s">
        <v>17</v>
      </c>
      <c r="I17" s="416" t="str">
        <f>IF(Cover!H17="","",Cover!H17)</f>
        <v/>
      </c>
      <c r="J17" s="416"/>
      <c r="K17" s="416"/>
      <c r="L17" s="48"/>
      <c r="N17" s="5" t="s">
        <v>21</v>
      </c>
      <c r="O17" s="261" t="str">
        <f>IF(Cover!N17="","",Cover!N17)</f>
        <v/>
      </c>
      <c r="P17" s="5" t="s">
        <v>2</v>
      </c>
      <c r="Q17" s="261" t="str">
        <f>IF(Cover!S17="","",Cover!S17)</f>
        <v/>
      </c>
      <c r="R17" s="54"/>
    </row>
    <row r="18" spans="1:18" s="8" customFormat="1" ht="7.5" customHeight="1" x14ac:dyDescent="0.2">
      <c r="A18" s="189"/>
      <c r="B18" s="55"/>
      <c r="C18" s="55"/>
      <c r="D18" s="56"/>
      <c r="E18" s="12"/>
      <c r="F18" s="12"/>
      <c r="G18" s="12"/>
      <c r="H18" s="56"/>
      <c r="I18" s="56"/>
      <c r="J18" s="56"/>
      <c r="K18" s="56"/>
      <c r="L18" s="56"/>
      <c r="M18" s="18"/>
      <c r="N18" s="18"/>
      <c r="O18" s="57"/>
      <c r="P18" s="154"/>
      <c r="Q18" s="57"/>
      <c r="R18" s="59"/>
    </row>
    <row r="19" spans="1:18" s="8" customFormat="1" ht="10.5" customHeight="1" x14ac:dyDescent="0.2">
      <c r="B19" s="7"/>
      <c r="C19" s="7"/>
      <c r="D19" s="48"/>
      <c r="E19" s="48"/>
      <c r="F19" s="48"/>
      <c r="G19" s="48"/>
      <c r="H19" s="48"/>
      <c r="I19" s="48"/>
      <c r="J19" s="48"/>
      <c r="K19" s="48"/>
      <c r="L19" s="48"/>
      <c r="O19" s="5"/>
      <c r="P19" s="60"/>
      <c r="Q19" s="60"/>
      <c r="R19" s="60"/>
    </row>
    <row r="20" spans="1:18" s="8" customFormat="1" ht="22.5" customHeight="1" x14ac:dyDescent="0.2">
      <c r="B20" s="7" t="s">
        <v>37</v>
      </c>
      <c r="C20" s="7"/>
      <c r="D20" s="249" t="str">
        <f>IF(Cover!D20="","",Cover!D20)</f>
        <v>Urban</v>
      </c>
      <c r="F20" s="5"/>
      <c r="G20" s="5" t="s">
        <v>45</v>
      </c>
      <c r="H20" s="416" t="str">
        <f>IF(Cover!F20="","",Cover!F20)</f>
        <v>Other State Highway</v>
      </c>
      <c r="I20" s="416"/>
      <c r="J20" s="416"/>
      <c r="L20" s="48"/>
      <c r="O20" s="5"/>
      <c r="P20" s="60"/>
      <c r="Q20" s="60"/>
      <c r="R20" s="60"/>
    </row>
    <row r="21" spans="1:18" s="8" customFormat="1" ht="10.5" customHeight="1" x14ac:dyDescent="0.2">
      <c r="B21" s="7"/>
      <c r="C21" s="7"/>
      <c r="D21" s="48"/>
      <c r="E21" s="48"/>
      <c r="F21" s="48"/>
      <c r="G21" s="48"/>
      <c r="H21" s="48"/>
      <c r="I21" s="48"/>
      <c r="J21" s="48"/>
      <c r="K21" s="48"/>
      <c r="L21" s="48"/>
      <c r="O21" s="5"/>
      <c r="P21" s="60"/>
      <c r="Q21" s="60"/>
      <c r="R21" s="60"/>
    </row>
    <row r="22" spans="1:18" s="8" customFormat="1" ht="22.5" customHeight="1" x14ac:dyDescent="0.2">
      <c r="B22" s="7" t="s">
        <v>20</v>
      </c>
      <c r="C22" s="7"/>
      <c r="D22" s="249" t="str">
        <f>IF(Cover!D22="","",Cover!D22)</f>
        <v/>
      </c>
      <c r="F22" s="5"/>
      <c r="G22" s="5" t="s">
        <v>19</v>
      </c>
      <c r="H22" s="416" t="str">
        <f>IF(Cover!F22="","",Cover!F22)</f>
        <v/>
      </c>
      <c r="I22" s="416"/>
      <c r="J22" s="416"/>
      <c r="L22" s="48"/>
      <c r="N22" s="5" t="s">
        <v>3</v>
      </c>
      <c r="O22" s="233">
        <f>IF(Cover!N22="","",Cover!N22)</f>
        <v>42736</v>
      </c>
      <c r="P22" s="5" t="s">
        <v>2</v>
      </c>
      <c r="Q22" s="233">
        <f>IF(Cover!S22="","",Cover!S22)</f>
        <v>44561</v>
      </c>
      <c r="R22" s="61"/>
    </row>
    <row r="23" spans="1:18" ht="12" customHeight="1" x14ac:dyDescent="0.2">
      <c r="B23" s="11"/>
      <c r="C23" s="11"/>
      <c r="D23" s="11"/>
      <c r="E23" s="11"/>
      <c r="F23" s="11"/>
      <c r="G23" s="11"/>
      <c r="H23" s="11"/>
      <c r="I23" s="11"/>
      <c r="J23" s="11"/>
      <c r="K23" s="11"/>
      <c r="L23" s="11"/>
      <c r="M23" s="11"/>
      <c r="N23" s="11"/>
      <c r="O23" s="11"/>
      <c r="P23" s="11"/>
      <c r="Q23" s="11"/>
      <c r="R23" s="11"/>
    </row>
    <row r="24" spans="1:18" s="8" customFormat="1" ht="22.5" customHeight="1" x14ac:dyDescent="0.2">
      <c r="B24" s="8" t="s">
        <v>11</v>
      </c>
      <c r="D24" s="435" t="str">
        <f>IF(Cover!D24="","",Cover!D24)</f>
        <v/>
      </c>
      <c r="E24" s="436"/>
      <c r="F24" s="436"/>
      <c r="G24" s="436"/>
      <c r="H24" s="436"/>
      <c r="I24" s="436"/>
      <c r="J24" s="436"/>
      <c r="K24" s="436"/>
      <c r="L24" s="436"/>
      <c r="M24" s="436"/>
      <c r="N24" s="436"/>
      <c r="O24" s="436"/>
      <c r="P24" s="436"/>
      <c r="Q24" s="436"/>
      <c r="R24" s="7"/>
    </row>
    <row r="25" spans="1:18" s="8" customFormat="1" ht="10.5" customHeight="1" x14ac:dyDescent="0.2"/>
    <row r="26" spans="1:18" s="8" customFormat="1" ht="21" customHeight="1" x14ac:dyDescent="0.2">
      <c r="B26" s="7" t="s">
        <v>4</v>
      </c>
      <c r="C26" s="7"/>
      <c r="D26" s="409" t="str">
        <f>IF(Cover!D26="","",Cover!D26)</f>
        <v/>
      </c>
      <c r="E26" s="409"/>
      <c r="F26" s="409"/>
      <c r="G26" s="409"/>
      <c r="H26" s="409"/>
      <c r="I26" s="174"/>
      <c r="K26" s="5"/>
      <c r="L26" s="5" t="s">
        <v>5</v>
      </c>
      <c r="M26" s="409" t="str">
        <f>IF(Cover!K26="","",Cover!K26)</f>
        <v/>
      </c>
      <c r="N26" s="409"/>
      <c r="O26" s="409"/>
      <c r="P26" s="409"/>
      <c r="Q26" s="409"/>
      <c r="R26" s="48"/>
    </row>
    <row r="27" spans="1:18" s="8" customFormat="1" ht="14.25" x14ac:dyDescent="0.2">
      <c r="A27" s="9"/>
      <c r="B27" s="9"/>
      <c r="C27" s="9"/>
      <c r="D27" s="9"/>
      <c r="E27" s="9"/>
      <c r="F27" s="9"/>
      <c r="G27" s="9"/>
      <c r="H27" s="9"/>
      <c r="I27" s="9"/>
      <c r="J27" s="9"/>
      <c r="K27" s="9"/>
      <c r="L27" s="9"/>
      <c r="M27" s="24" t="s">
        <v>44</v>
      </c>
      <c r="N27" s="24"/>
      <c r="O27" s="9"/>
      <c r="P27" s="9"/>
      <c r="Q27" s="24" t="s">
        <v>44</v>
      </c>
      <c r="R27" s="24"/>
    </row>
    <row r="28" spans="1:18" s="8" customFormat="1" ht="14.25" x14ac:dyDescent="0.2">
      <c r="M28" s="27"/>
      <c r="N28" s="27"/>
      <c r="Q28" s="27"/>
      <c r="R28" s="27"/>
    </row>
    <row r="29" spans="1:18" s="8" customFormat="1" ht="14.25" x14ac:dyDescent="0.2">
      <c r="M29" s="27"/>
      <c r="N29" s="27"/>
      <c r="Q29" s="27"/>
      <c r="R29" s="27"/>
    </row>
    <row r="30" spans="1:18" s="8" customFormat="1" ht="14.25" x14ac:dyDescent="0.2">
      <c r="M30" s="27"/>
      <c r="N30" s="27"/>
      <c r="Q30" s="27"/>
      <c r="R30" s="27"/>
    </row>
    <row r="31" spans="1:18" s="8" customFormat="1" ht="14.25" x14ac:dyDescent="0.2">
      <c r="M31" s="27"/>
      <c r="N31" s="27"/>
      <c r="Q31" s="27"/>
      <c r="R31" s="27"/>
    </row>
    <row r="32" spans="1:18" s="8" customFormat="1" ht="14.25" x14ac:dyDescent="0.2">
      <c r="M32" s="27"/>
      <c r="N32" s="27"/>
      <c r="Q32" s="27"/>
      <c r="R32" s="27"/>
    </row>
    <row r="33" spans="1:20" s="8" customFormat="1" ht="14.25" x14ac:dyDescent="0.2">
      <c r="M33" s="27"/>
      <c r="N33" s="27"/>
      <c r="Q33" s="27"/>
      <c r="R33" s="27"/>
    </row>
    <row r="34" spans="1:20" s="8" customFormat="1" ht="24.95" customHeight="1" x14ac:dyDescent="0.2">
      <c r="E34" s="147" t="s">
        <v>549</v>
      </c>
      <c r="F34" s="147"/>
      <c r="G34" s="72" t="s">
        <v>334</v>
      </c>
      <c r="H34" s="253" t="str">
        <f>IF(OR('BC Form by Severity'!O55=0,'BC Form by Type'!O70=0),"-",'BC Form by Severity'!O55)</f>
        <v>-</v>
      </c>
      <c r="J34" s="72" t="s">
        <v>611</v>
      </c>
      <c r="K34" s="433" t="str">
        <f>IF(OR('BC Form by Severity'!O64=0,'BC Form by Type'!O79=0),"-",'BC Form by Severity'!O64)</f>
        <v>-</v>
      </c>
      <c r="L34" s="433"/>
      <c r="M34" s="255"/>
      <c r="Q34" s="27"/>
      <c r="R34" s="27"/>
    </row>
    <row r="35" spans="1:20" s="8" customFormat="1" ht="24.95" customHeight="1" x14ac:dyDescent="0.2">
      <c r="E35" s="147" t="s">
        <v>550</v>
      </c>
      <c r="F35" s="147"/>
      <c r="G35" s="72" t="s">
        <v>334</v>
      </c>
      <c r="H35" s="246" t="str">
        <f>IF(OR('BC Form by Severity'!O55=0,'BC Form by Type'!O70=0),"-",'BC Form by Type'!O70)</f>
        <v>-</v>
      </c>
      <c r="J35" s="72" t="s">
        <v>611</v>
      </c>
      <c r="K35" s="433" t="str">
        <f>IF(OR('BC Form by Severity'!O64=0,'BC Form by Type'!O79=0),"-",'BC Form by Type'!O79)</f>
        <v>-</v>
      </c>
      <c r="L35" s="433"/>
      <c r="M35" s="6"/>
      <c r="Q35" s="62"/>
      <c r="R35" s="62"/>
    </row>
    <row r="36" spans="1:20" s="8" customFormat="1" ht="14.25" x14ac:dyDescent="0.2">
      <c r="B36" s="35"/>
      <c r="C36" s="35"/>
      <c r="D36" s="83"/>
      <c r="E36" s="84"/>
      <c r="F36" s="84"/>
      <c r="G36" s="84"/>
      <c r="Q36"/>
      <c r="R36" s="6" t="s">
        <v>44</v>
      </c>
    </row>
    <row r="37" spans="1:20" s="8" customFormat="1" ht="14.25" x14ac:dyDescent="0.2">
      <c r="B37" s="35"/>
      <c r="C37" s="35"/>
      <c r="D37" s="83"/>
      <c r="E37" s="84"/>
      <c r="F37" s="84"/>
      <c r="G37" s="84"/>
      <c r="R37" s="6"/>
    </row>
    <row r="38" spans="1:20" s="8" customFormat="1" ht="14.25" x14ac:dyDescent="0.2">
      <c r="B38" s="35"/>
      <c r="C38" s="35"/>
      <c r="D38" s="83"/>
      <c r="E38" s="84"/>
      <c r="F38" s="84"/>
      <c r="G38" s="84"/>
      <c r="R38" s="6"/>
      <c r="T38" s="171"/>
    </row>
    <row r="39" spans="1:20" s="8" customFormat="1" ht="14.25" x14ac:dyDescent="0.2">
      <c r="B39" s="35"/>
      <c r="C39" s="35"/>
      <c r="D39" s="83"/>
      <c r="E39" s="84"/>
      <c r="F39" s="84"/>
      <c r="G39" s="84"/>
      <c r="R39" s="6"/>
    </row>
    <row r="40" spans="1:20" s="8" customFormat="1" ht="20.100000000000001" customHeight="1" x14ac:dyDescent="0.2">
      <c r="G40" s="72" t="s">
        <v>9</v>
      </c>
      <c r="H40" s="434" t="str">
        <f>IF(OR(K34="-",K35="-"),"-",((H34*AB5+H35*AC5)/(K34+K35)))</f>
        <v>-</v>
      </c>
      <c r="I40" s="434"/>
    </row>
    <row r="41" spans="1:20" s="8" customFormat="1" ht="17.25" customHeight="1" x14ac:dyDescent="0.2">
      <c r="I41" s="6"/>
      <c r="R41" s="37"/>
      <c r="S41" s="37"/>
    </row>
    <row r="42" spans="1:20" s="8" customFormat="1" ht="20.25" customHeight="1" x14ac:dyDescent="0.2">
      <c r="R42" s="37"/>
      <c r="S42" s="37"/>
    </row>
    <row r="43" spans="1:20" s="8" customFormat="1" ht="14.25" x14ac:dyDescent="0.2"/>
    <row r="44" spans="1:20" s="8" customFormat="1" ht="16.5" customHeight="1" x14ac:dyDescent="0.2"/>
    <row r="45" spans="1:20" s="8" customFormat="1" ht="15" x14ac:dyDescent="0.25">
      <c r="A45" s="85"/>
    </row>
    <row r="46" spans="1:20" s="8" customFormat="1" ht="15" customHeight="1" x14ac:dyDescent="0.2">
      <c r="A46" s="86"/>
      <c r="B46" s="34"/>
      <c r="C46" s="34"/>
      <c r="D46" s="35"/>
      <c r="E46" s="34"/>
      <c r="F46" s="34"/>
      <c r="G46" s="34"/>
      <c r="H46" s="34"/>
      <c r="I46" s="34"/>
      <c r="J46" s="34"/>
      <c r="K46" s="34"/>
      <c r="L46" s="34"/>
      <c r="M46" s="34"/>
      <c r="N46" s="34"/>
      <c r="O46" s="34"/>
      <c r="P46" s="34"/>
      <c r="Q46" s="34"/>
    </row>
    <row r="47" spans="1:20" s="8" customFormat="1" ht="14.25" x14ac:dyDescent="0.2">
      <c r="A47" s="86"/>
      <c r="B47" s="34"/>
      <c r="C47" s="34"/>
      <c r="D47" s="34"/>
      <c r="E47" s="34"/>
      <c r="F47" s="34"/>
      <c r="G47" s="34"/>
      <c r="H47" s="34"/>
      <c r="I47" s="34"/>
      <c r="J47" s="34"/>
      <c r="K47" s="34"/>
      <c r="L47" s="34"/>
      <c r="M47" s="34"/>
      <c r="N47" s="34"/>
      <c r="O47" s="34"/>
      <c r="P47" s="34"/>
      <c r="Q47" s="34"/>
      <c r="R47" s="34"/>
    </row>
    <row r="48" spans="1:20" s="8" customFormat="1" ht="14.25" x14ac:dyDescent="0.2">
      <c r="A48" s="86"/>
      <c r="B48" s="34"/>
      <c r="C48" s="34"/>
      <c r="D48" s="34"/>
      <c r="E48" s="34"/>
      <c r="F48" s="34"/>
      <c r="G48" s="34"/>
      <c r="H48" s="34"/>
      <c r="I48"/>
      <c r="J48"/>
      <c r="K48"/>
      <c r="L48"/>
      <c r="M48"/>
      <c r="N48"/>
      <c r="O48"/>
      <c r="P48"/>
      <c r="Q48"/>
      <c r="R48" s="34"/>
    </row>
    <row r="49" spans="1:17" ht="27.75" customHeight="1" x14ac:dyDescent="0.2">
      <c r="A49" s="87"/>
      <c r="B49" s="372"/>
      <c r="C49" s="372"/>
      <c r="D49" s="372"/>
      <c r="E49" s="372"/>
      <c r="F49" s="372"/>
      <c r="G49" s="372"/>
      <c r="H49" s="372"/>
      <c r="I49" s="372"/>
      <c r="J49" s="372"/>
      <c r="K49" s="372"/>
      <c r="L49" s="372"/>
      <c r="M49" s="372"/>
      <c r="N49" s="372"/>
      <c r="O49" s="372"/>
      <c r="P49" s="372"/>
      <c r="Q49" s="372"/>
    </row>
    <row r="50" spans="1:17" x14ac:dyDescent="0.2"/>
  </sheetData>
  <sheetProtection sheet="1" objects="1" scenarios="1" selectLockedCells="1"/>
  <mergeCells count="17">
    <mergeCell ref="B4:Q4"/>
    <mergeCell ref="B3:Q3"/>
    <mergeCell ref="B5:Q5"/>
    <mergeCell ref="D24:Q24"/>
    <mergeCell ref="H22:J22"/>
    <mergeCell ref="H20:J20"/>
    <mergeCell ref="D10:J10"/>
    <mergeCell ref="O13:Q13"/>
    <mergeCell ref="I17:K17"/>
    <mergeCell ref="D13:F13"/>
    <mergeCell ref="H13:J13"/>
    <mergeCell ref="K35:L35"/>
    <mergeCell ref="H40:I40"/>
    <mergeCell ref="B49:Q49"/>
    <mergeCell ref="M26:Q26"/>
    <mergeCell ref="D26:H26"/>
    <mergeCell ref="K34:L34"/>
  </mergeCells>
  <phoneticPr fontId="21" type="noConversion"/>
  <pageMargins left="1" right="0.5" top="0.38" bottom="0.73" header="0.38" footer="0.5"/>
  <pageSetup scale="56" orientation="landscape" r:id="rId1"/>
  <headerFooter alignWithMargins="0">
    <oddFooter>&amp;L&amp;F, &amp;A&amp;R&amp;D  &amp;T</oddFooter>
  </headerFooter>
  <ignoredErrors>
    <ignoredError sqref="Q34 Q35 L36:Q40 D36:E40 H36:J39 D27:E31 H27:J31 L27:Q31 I26 H25:J25 L25:Q25 D25:E25 H23:J23 P22 L22 L23:Q23 D23:E23 E21 H11:J12 H10:J10 H14:J16 H18:J19 D11:E12 E10 D14:E16 D18:E19 P17 L17 L18:Q21 L13:M13 L14:Q16 P10 L10 L11:Q12 D10 D13:K13 F11:G12 M10:O10 Q10 D17:K17 F14:G16 N13:Q13 D22:K22 D20:K20 M17:O17 Q17 F18:G19 F10:G10 K18:K19 K14:K16 K10 K11:K12 D21 F21:K21 D24:Q24 F23:G23 M22:O22 Q22 K23 D26:H26 F25:G25 K25 J26:Q26 D32:E33 H32:J33 L32:Q33" unlockedFormula="1"/>
  </ignoredErrors>
  <drawing r:id="rId2"/>
  <legacyDrawing r:id="rId3"/>
  <controls>
    <mc:AlternateContent xmlns:mc="http://schemas.openxmlformats.org/markup-compatibility/2006">
      <mc:Choice Requires="x14">
        <control shapeId="4098" r:id="rId4" name="CommandButton2">
          <controlPr defaultSize="0" print="0" autoLine="0" r:id="rId5">
            <anchor moveWithCells="1" sizeWithCells="1">
              <from>
                <xdr:col>15</xdr:col>
                <xdr:colOff>142875</xdr:colOff>
                <xdr:row>3</xdr:row>
                <xdr:rowOff>38100</xdr:rowOff>
              </from>
              <to>
                <xdr:col>16</xdr:col>
                <xdr:colOff>352425</xdr:colOff>
                <xdr:row>4</xdr:row>
                <xdr:rowOff>104775</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print="0" autoLine="0" r:id="rId7">
            <anchor moveWithCells="1" sizeWithCells="1">
              <from>
                <xdr:col>14</xdr:col>
                <xdr:colOff>409575</xdr:colOff>
                <xdr:row>3</xdr:row>
                <xdr:rowOff>38100</xdr:rowOff>
              </from>
              <to>
                <xdr:col>15</xdr:col>
                <xdr:colOff>0</xdr:colOff>
                <xdr:row>4</xdr:row>
                <xdr:rowOff>104775</xdr:rowOff>
              </to>
            </anchor>
          </controlPr>
        </control>
      </mc:Choice>
      <mc:Fallback>
        <control shapeId="4097" r:id="rId6" name="CommandButton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X49"/>
  <sheetViews>
    <sheetView showGridLines="0" view="pageBreakPreview" topLeftCell="A3" zoomScale="70" zoomScaleNormal="88" zoomScaleSheetLayoutView="70" workbookViewId="0">
      <selection activeCell="G16" sqref="G16:H16"/>
    </sheetView>
  </sheetViews>
  <sheetFormatPr defaultColWidth="9.140625" defaultRowHeight="0" customHeight="1" zeroHeight="1" x14ac:dyDescent="0.2"/>
  <cols>
    <col min="1" max="1" width="2.7109375" customWidth="1"/>
    <col min="2" max="2" width="19.42578125" customWidth="1"/>
    <col min="3" max="3" width="15.140625" customWidth="1"/>
    <col min="4" max="4" width="17.5703125" customWidth="1"/>
    <col min="5" max="5" width="14.7109375" customWidth="1"/>
    <col min="6" max="6" width="19.42578125" customWidth="1"/>
    <col min="7" max="7" width="21.28515625" customWidth="1"/>
    <col min="8" max="10" width="12.7109375" customWidth="1"/>
    <col min="11" max="11" width="14.85546875" customWidth="1"/>
    <col min="12" max="12" width="9.7109375" customWidth="1"/>
    <col min="13" max="13" width="12.7109375" customWidth="1"/>
    <col min="14" max="14" width="3.5703125" customWidth="1"/>
    <col min="15" max="15" width="2.140625" customWidth="1"/>
    <col min="16" max="16" width="2.7109375" customWidth="1"/>
    <col min="17" max="17" width="9.28515625" customWidth="1"/>
    <col min="18" max="19" width="9.140625" customWidth="1"/>
    <col min="20" max="24" width="9.140625" hidden="1" customWidth="1"/>
    <col min="25" max="25" width="0" hidden="1" customWidth="1"/>
  </cols>
  <sheetData>
    <row r="1" spans="2:24" ht="14.25" x14ac:dyDescent="0.2">
      <c r="B1" s="1"/>
      <c r="C1" s="1"/>
      <c r="D1" s="1"/>
      <c r="E1" s="1"/>
      <c r="F1" s="1"/>
      <c r="G1" s="1"/>
      <c r="H1" s="1"/>
      <c r="I1" s="1"/>
      <c r="J1" s="1"/>
      <c r="K1" s="1"/>
      <c r="L1" s="1"/>
      <c r="M1" s="1"/>
      <c r="N1" s="1"/>
      <c r="O1" s="1"/>
      <c r="U1" s="8" t="s">
        <v>36</v>
      </c>
      <c r="V1" s="8"/>
      <c r="W1" s="8"/>
      <c r="X1" s="8"/>
    </row>
    <row r="2" spans="2:24" ht="14.25" x14ac:dyDescent="0.2">
      <c r="B2" s="1"/>
      <c r="C2" s="1"/>
      <c r="D2" s="1"/>
      <c r="E2" s="1"/>
      <c r="F2" s="1"/>
      <c r="G2" s="1"/>
      <c r="H2" s="1"/>
      <c r="I2" s="1"/>
      <c r="J2" s="1"/>
      <c r="K2" s="1"/>
      <c r="L2" s="1"/>
      <c r="M2" s="1"/>
      <c r="N2" s="1"/>
      <c r="O2" s="1"/>
      <c r="U2" s="8"/>
      <c r="V2" s="8"/>
      <c r="W2" s="8"/>
      <c r="X2" s="8"/>
    </row>
    <row r="3" spans="2:24" ht="20.25" customHeight="1" x14ac:dyDescent="0.3">
      <c r="B3" s="374" t="s">
        <v>0</v>
      </c>
      <c r="C3" s="366"/>
      <c r="D3" s="366"/>
      <c r="E3" s="366"/>
      <c r="F3" s="366"/>
      <c r="G3" s="366"/>
      <c r="H3" s="366"/>
      <c r="I3" s="366"/>
      <c r="J3" s="366"/>
      <c r="K3" s="366"/>
      <c r="L3" s="366"/>
      <c r="M3" s="366"/>
      <c r="N3" s="1"/>
      <c r="O3" s="1"/>
      <c r="U3" s="8" t="s">
        <v>33</v>
      </c>
      <c r="V3" s="8" t="s">
        <v>34</v>
      </c>
      <c r="W3" s="8" t="s">
        <v>35</v>
      </c>
      <c r="X3" s="8" t="s">
        <v>28</v>
      </c>
    </row>
    <row r="4" spans="2:24" ht="20.25" x14ac:dyDescent="0.3">
      <c r="B4" s="374" t="s">
        <v>46</v>
      </c>
      <c r="C4" s="366"/>
      <c r="D4" s="366"/>
      <c r="E4" s="366"/>
      <c r="F4" s="366"/>
      <c r="G4" s="366"/>
      <c r="H4" s="366"/>
      <c r="I4" s="366"/>
      <c r="J4" s="366"/>
      <c r="K4" s="366"/>
      <c r="L4" s="366"/>
      <c r="M4" s="366"/>
      <c r="N4" s="1"/>
      <c r="O4" s="1"/>
      <c r="U4" s="36">
        <v>1</v>
      </c>
      <c r="V4" s="36">
        <v>1</v>
      </c>
      <c r="W4" s="36">
        <v>2</v>
      </c>
      <c r="X4" s="36">
        <v>1</v>
      </c>
    </row>
    <row r="5" spans="2:24" ht="18" x14ac:dyDescent="0.25">
      <c r="B5" s="375" t="s">
        <v>80</v>
      </c>
      <c r="C5" s="376"/>
      <c r="D5" s="376"/>
      <c r="E5" s="376"/>
      <c r="F5" s="376"/>
      <c r="G5" s="376"/>
      <c r="H5" s="376"/>
      <c r="I5" s="376"/>
      <c r="J5" s="376"/>
      <c r="K5" s="376"/>
      <c r="L5" s="376"/>
      <c r="M5" s="376"/>
      <c r="N5" s="1"/>
      <c r="O5" s="1"/>
    </row>
    <row r="6" spans="2:24" ht="10.5" customHeight="1" x14ac:dyDescent="0.25">
      <c r="B6" s="3"/>
      <c r="C6" s="1"/>
      <c r="D6" s="1"/>
      <c r="E6" s="1"/>
      <c r="F6" s="1"/>
      <c r="G6" s="1"/>
      <c r="H6" s="1"/>
      <c r="I6" s="1"/>
      <c r="J6" s="1"/>
      <c r="K6" s="1"/>
      <c r="L6" s="1"/>
      <c r="M6" s="1"/>
      <c r="N6" s="1"/>
      <c r="O6" s="1"/>
    </row>
    <row r="7" spans="2:24" ht="12" customHeight="1" x14ac:dyDescent="0.2">
      <c r="B7" s="10"/>
      <c r="C7" s="10"/>
      <c r="D7" s="10"/>
      <c r="E7" s="10"/>
      <c r="F7" s="10"/>
      <c r="G7" s="10"/>
      <c r="H7" s="10"/>
      <c r="I7" s="10"/>
      <c r="J7" s="10"/>
      <c r="K7" s="10"/>
      <c r="L7" s="10"/>
      <c r="M7" s="10"/>
      <c r="N7" s="10"/>
      <c r="O7" s="10"/>
    </row>
    <row r="8" spans="2:24" ht="12" customHeight="1" x14ac:dyDescent="0.2">
      <c r="B8" s="11"/>
      <c r="C8" s="11"/>
      <c r="D8" s="11"/>
      <c r="E8" s="11"/>
      <c r="F8" s="11"/>
      <c r="G8" s="11"/>
      <c r="H8" s="11"/>
      <c r="I8" s="11"/>
      <c r="J8" s="11"/>
      <c r="K8" s="11"/>
      <c r="L8" s="11"/>
      <c r="M8" s="11"/>
      <c r="N8" s="1"/>
      <c r="O8" s="1"/>
    </row>
    <row r="9" spans="2:24" s="8" customFormat="1" ht="22.5" customHeight="1" x14ac:dyDescent="0.2">
      <c r="B9" s="4" t="s">
        <v>12</v>
      </c>
      <c r="C9" s="385"/>
      <c r="D9" s="385"/>
      <c r="E9" s="385"/>
      <c r="F9" s="385"/>
      <c r="G9" s="385"/>
      <c r="H9" s="5"/>
      <c r="I9" s="5"/>
      <c r="J9" s="5" t="s">
        <v>324</v>
      </c>
      <c r="K9" s="153"/>
      <c r="L9" s="5" t="s">
        <v>1</v>
      </c>
      <c r="M9" s="452"/>
      <c r="N9" s="452"/>
    </row>
    <row r="10" spans="2:24" s="8" customFormat="1" ht="10.5" customHeight="1" x14ac:dyDescent="0.2">
      <c r="B10" s="4"/>
      <c r="C10" s="160"/>
      <c r="D10" s="160"/>
      <c r="E10" s="160"/>
      <c r="F10" s="160"/>
      <c r="G10" s="160"/>
      <c r="H10" s="160"/>
      <c r="I10" s="160"/>
      <c r="J10" s="5"/>
      <c r="K10" s="161"/>
      <c r="L10" s="6"/>
      <c r="M10" s="162"/>
      <c r="N10" s="1"/>
    </row>
    <row r="11" spans="2:24" s="8" customFormat="1" ht="22.5" customHeight="1" x14ac:dyDescent="0.2">
      <c r="B11" s="23" t="s">
        <v>23</v>
      </c>
      <c r="C11" s="163"/>
      <c r="D11" s="163"/>
      <c r="E11" s="163"/>
      <c r="F11" s="16"/>
      <c r="G11" s="16"/>
      <c r="H11" s="16"/>
      <c r="I11" s="16"/>
      <c r="J11" s="16"/>
      <c r="K11" s="163"/>
      <c r="L11" s="163"/>
      <c r="M11" s="163"/>
      <c r="N11" s="182"/>
      <c r="O11" s="184"/>
    </row>
    <row r="12" spans="2:24" s="8" customFormat="1" ht="22.5" customHeight="1" x14ac:dyDescent="0.2">
      <c r="B12" s="223" t="s">
        <v>13</v>
      </c>
      <c r="C12" s="443"/>
      <c r="D12" s="443"/>
      <c r="E12" s="443"/>
      <c r="F12" s="123" t="s">
        <v>576</v>
      </c>
      <c r="G12" s="177" t="s">
        <v>545</v>
      </c>
      <c r="H12" s="5"/>
      <c r="I12" s="5"/>
      <c r="J12" s="5" t="s">
        <v>575</v>
      </c>
      <c r="K12" s="452"/>
      <c r="L12" s="452"/>
      <c r="M12" s="452"/>
      <c r="N12" s="452"/>
      <c r="O12" s="183"/>
    </row>
    <row r="13" spans="2:24" s="8" customFormat="1" ht="11.25" customHeight="1" x14ac:dyDescent="0.2">
      <c r="B13" s="17"/>
      <c r="C13" s="164"/>
      <c r="D13" s="164"/>
      <c r="E13" s="12"/>
      <c r="F13" s="164"/>
      <c r="G13" s="164"/>
      <c r="H13" s="164"/>
      <c r="I13" s="164"/>
      <c r="J13" s="9"/>
      <c r="K13" s="18"/>
      <c r="L13" s="165"/>
      <c r="M13" s="165"/>
      <c r="N13" s="175"/>
      <c r="O13" s="185"/>
    </row>
    <row r="14" spans="2:24" s="8" customFormat="1" ht="10.5" customHeight="1" x14ac:dyDescent="0.2">
      <c r="B14" s="7"/>
      <c r="C14" s="160"/>
      <c r="D14" s="160"/>
      <c r="E14" s="160"/>
      <c r="F14" s="164"/>
      <c r="G14" s="164"/>
      <c r="H14" s="160"/>
      <c r="I14" s="160"/>
      <c r="K14" s="5"/>
      <c r="L14" s="166"/>
      <c r="M14" s="166"/>
      <c r="N14" s="1"/>
      <c r="O14" s="186"/>
    </row>
    <row r="15" spans="2:24" s="8" customFormat="1" ht="22.5" customHeight="1" x14ac:dyDescent="0.2">
      <c r="B15" s="23" t="s">
        <v>16</v>
      </c>
      <c r="C15" s="163"/>
      <c r="D15" s="163"/>
      <c r="E15" s="163"/>
      <c r="F15" s="16"/>
      <c r="G15" s="16"/>
      <c r="H15" s="16"/>
      <c r="I15" s="16"/>
      <c r="J15" s="16"/>
      <c r="K15" s="163"/>
      <c r="L15" s="163"/>
      <c r="M15" s="163"/>
      <c r="N15" s="182"/>
      <c r="O15" s="184"/>
    </row>
    <row r="16" spans="2:24" s="8" customFormat="1" ht="22.5" customHeight="1" x14ac:dyDescent="0.2">
      <c r="B16" s="21" t="s">
        <v>14</v>
      </c>
      <c r="C16" s="159"/>
      <c r="D16" s="5" t="s">
        <v>577</v>
      </c>
      <c r="E16" s="227"/>
      <c r="F16" s="5" t="s">
        <v>17</v>
      </c>
      <c r="G16" s="457" t="s">
        <v>911</v>
      </c>
      <c r="H16" s="457"/>
      <c r="J16" s="5" t="s">
        <v>21</v>
      </c>
      <c r="K16" s="167"/>
      <c r="L16" s="5" t="s">
        <v>325</v>
      </c>
      <c r="M16" s="456"/>
      <c r="N16" s="456"/>
      <c r="O16" s="183"/>
    </row>
    <row r="17" spans="2:15" s="8" customFormat="1" ht="7.5" customHeight="1" x14ac:dyDescent="0.2">
      <c r="B17" s="17"/>
      <c r="C17" s="164"/>
      <c r="D17" s="164"/>
      <c r="E17" s="12"/>
      <c r="F17" s="164"/>
      <c r="G17" s="164"/>
      <c r="H17" s="164"/>
      <c r="I17" s="164"/>
      <c r="J17" s="18"/>
      <c r="K17" s="165"/>
      <c r="L17" s="154"/>
      <c r="M17" s="165"/>
      <c r="N17" s="175"/>
      <c r="O17" s="185"/>
    </row>
    <row r="18" spans="2:15" s="8" customFormat="1" ht="10.5" customHeight="1" x14ac:dyDescent="0.2">
      <c r="B18" s="7"/>
      <c r="C18" s="160"/>
      <c r="D18" s="160"/>
      <c r="E18" s="160"/>
      <c r="F18" s="160"/>
      <c r="G18" s="160"/>
      <c r="H18" s="160"/>
      <c r="I18" s="160"/>
      <c r="K18" s="5"/>
      <c r="L18" s="166"/>
      <c r="M18" s="166"/>
      <c r="N18" s="1"/>
    </row>
    <row r="19" spans="2:15" s="8" customFormat="1" ht="22.5" customHeight="1" x14ac:dyDescent="0.2">
      <c r="B19" s="7" t="s">
        <v>37</v>
      </c>
      <c r="C19" s="159"/>
      <c r="E19" s="5" t="s">
        <v>45</v>
      </c>
      <c r="F19" s="457"/>
      <c r="G19" s="457"/>
      <c r="K19" s="5"/>
      <c r="L19" s="166"/>
      <c r="M19" s="166"/>
      <c r="N19" s="1"/>
    </row>
    <row r="20" spans="2:15" s="8" customFormat="1" ht="10.5" customHeight="1" x14ac:dyDescent="0.2">
      <c r="B20" s="7"/>
      <c r="C20" s="160"/>
      <c r="E20" s="160"/>
      <c r="F20" s="160"/>
      <c r="G20" s="160"/>
      <c r="H20" s="160"/>
      <c r="I20" s="160"/>
      <c r="K20" s="5"/>
      <c r="L20" s="166"/>
      <c r="M20" s="166"/>
      <c r="N20" s="1"/>
    </row>
    <row r="21" spans="2:15" s="8" customFormat="1" ht="22.5" customHeight="1" x14ac:dyDescent="0.2">
      <c r="B21" s="7" t="s">
        <v>20</v>
      </c>
      <c r="C21" s="159"/>
      <c r="E21" s="5" t="s">
        <v>19</v>
      </c>
      <c r="F21" s="443"/>
      <c r="G21" s="443"/>
      <c r="H21" s="5"/>
      <c r="I21" s="5"/>
      <c r="J21" s="5"/>
      <c r="K21" s="5"/>
      <c r="L21" s="5"/>
      <c r="M21" s="5"/>
      <c r="N21" s="1"/>
    </row>
    <row r="22" spans="2:15" ht="12" customHeight="1" x14ac:dyDescent="0.2">
      <c r="B22" s="11"/>
      <c r="C22" s="11"/>
      <c r="D22" s="11"/>
      <c r="E22" s="11"/>
      <c r="F22" s="11"/>
      <c r="G22" s="11"/>
      <c r="H22" s="11"/>
      <c r="I22" s="11"/>
      <c r="J22" s="11"/>
      <c r="K22" s="11"/>
      <c r="L22" s="11"/>
      <c r="M22" s="11"/>
      <c r="N22" s="1"/>
      <c r="O22" s="1"/>
    </row>
    <row r="23" spans="2:15" s="8" customFormat="1" ht="22.5" customHeight="1" x14ac:dyDescent="0.2">
      <c r="B23" s="8" t="s">
        <v>11</v>
      </c>
      <c r="C23" s="385"/>
      <c r="D23" s="385"/>
      <c r="E23" s="385"/>
      <c r="F23" s="385"/>
      <c r="G23" s="385"/>
      <c r="H23" s="385"/>
      <c r="I23" s="385"/>
      <c r="J23" s="385"/>
      <c r="K23" s="385"/>
      <c r="L23" s="385"/>
      <c r="M23" s="385"/>
      <c r="N23" s="385"/>
      <c r="O23" s="1"/>
    </row>
    <row r="24" spans="2:15" s="8" customFormat="1" ht="10.5" customHeight="1" x14ac:dyDescent="0.2">
      <c r="N24" s="1"/>
      <c r="O24" s="1"/>
    </row>
    <row r="25" spans="2:15" s="8" customFormat="1" ht="21" customHeight="1" x14ac:dyDescent="0.2">
      <c r="B25" s="7" t="s">
        <v>4</v>
      </c>
      <c r="C25" s="385"/>
      <c r="D25" s="385"/>
      <c r="E25" s="385"/>
      <c r="F25" s="385"/>
      <c r="I25" s="5" t="s">
        <v>5</v>
      </c>
      <c r="J25" s="385"/>
      <c r="K25" s="385"/>
      <c r="L25" s="385"/>
      <c r="M25" s="385"/>
      <c r="N25" s="385"/>
      <c r="O25" s="1"/>
    </row>
    <row r="26" spans="2:15" s="8" customFormat="1" ht="14.25" x14ac:dyDescent="0.2">
      <c r="B26" s="9"/>
      <c r="C26" s="9"/>
      <c r="D26" s="9"/>
      <c r="E26" s="9"/>
      <c r="F26" s="9"/>
      <c r="G26" s="9"/>
      <c r="H26" s="9"/>
      <c r="I26" s="9"/>
      <c r="J26" s="24" t="s">
        <v>44</v>
      </c>
      <c r="K26" s="9"/>
      <c r="L26" s="9"/>
      <c r="M26" s="24" t="s">
        <v>44</v>
      </c>
      <c r="N26" s="175"/>
      <c r="O26" s="175"/>
    </row>
    <row r="27" spans="2:15" s="8" customFormat="1" ht="14.25" x14ac:dyDescent="0.2">
      <c r="J27" s="27"/>
      <c r="M27" s="27"/>
      <c r="N27" s="1"/>
      <c r="O27" s="1"/>
    </row>
    <row r="28" spans="2:15" s="8" customFormat="1" ht="15" thickBot="1" x14ac:dyDescent="0.25">
      <c r="J28" s="27"/>
      <c r="M28" s="27"/>
      <c r="N28" s="1"/>
      <c r="O28" s="1"/>
    </row>
    <row r="29" spans="2:15" s="8" customFormat="1" ht="47.25" customHeight="1" thickBot="1" x14ac:dyDescent="0.25">
      <c r="C29" s="444" t="s">
        <v>81</v>
      </c>
      <c r="D29" s="445"/>
      <c r="E29" s="446"/>
      <c r="F29" s="99" t="s">
        <v>55</v>
      </c>
      <c r="G29" s="99" t="s">
        <v>551</v>
      </c>
      <c r="H29" s="458" t="s">
        <v>82</v>
      </c>
      <c r="I29" s="459"/>
      <c r="M29" s="27"/>
      <c r="N29" s="1"/>
      <c r="O29" s="1"/>
    </row>
    <row r="30" spans="2:15" s="8" customFormat="1" ht="20.100000000000001" customHeight="1" x14ac:dyDescent="0.2">
      <c r="C30" s="447"/>
      <c r="D30" s="448"/>
      <c r="E30" s="449"/>
      <c r="F30" s="100"/>
      <c r="G30" s="100"/>
      <c r="H30" s="460"/>
      <c r="I30" s="461"/>
      <c r="J30" s="7"/>
      <c r="M30" s="27"/>
      <c r="N30" s="1"/>
      <c r="O30" s="1"/>
    </row>
    <row r="31" spans="2:15" s="8" customFormat="1" ht="20.100000000000001" customHeight="1" x14ac:dyDescent="0.2">
      <c r="C31" s="437"/>
      <c r="D31" s="438"/>
      <c r="E31" s="439"/>
      <c r="F31" s="101"/>
      <c r="G31" s="101"/>
      <c r="H31" s="450"/>
      <c r="I31" s="451"/>
      <c r="J31" s="7"/>
      <c r="M31" s="27"/>
      <c r="N31" s="1"/>
      <c r="O31" s="1"/>
    </row>
    <row r="32" spans="2:15" s="8" customFormat="1" ht="20.100000000000001" customHeight="1" x14ac:dyDescent="0.2">
      <c r="C32" s="437"/>
      <c r="D32" s="438"/>
      <c r="E32" s="439"/>
      <c r="F32" s="101"/>
      <c r="G32" s="101"/>
      <c r="H32" s="450"/>
      <c r="I32" s="451"/>
      <c r="J32" s="7"/>
      <c r="M32" s="27"/>
      <c r="N32" s="1"/>
      <c r="O32" s="1"/>
    </row>
    <row r="33" spans="1:16" s="8" customFormat="1" ht="20.100000000000001" customHeight="1" x14ac:dyDescent="0.2">
      <c r="C33" s="437"/>
      <c r="D33" s="438"/>
      <c r="E33" s="439"/>
      <c r="F33" s="101"/>
      <c r="G33" s="101"/>
      <c r="H33" s="450"/>
      <c r="I33" s="451"/>
      <c r="J33" s="7"/>
      <c r="M33" s="27"/>
      <c r="N33" s="1"/>
      <c r="O33" s="1"/>
    </row>
    <row r="34" spans="1:16" s="8" customFormat="1" ht="20.100000000000001" customHeight="1" x14ac:dyDescent="0.2">
      <c r="C34" s="437"/>
      <c r="D34" s="438"/>
      <c r="E34" s="439"/>
      <c r="F34" s="101"/>
      <c r="G34" s="101"/>
      <c r="H34" s="450"/>
      <c r="I34" s="451"/>
      <c r="J34" s="7"/>
      <c r="M34" s="27"/>
      <c r="N34" s="1"/>
      <c r="O34" s="1"/>
    </row>
    <row r="35" spans="1:16" s="8" customFormat="1" ht="20.100000000000001" customHeight="1" x14ac:dyDescent="0.2">
      <c r="C35" s="437"/>
      <c r="D35" s="438"/>
      <c r="E35" s="439"/>
      <c r="F35" s="101"/>
      <c r="G35" s="101"/>
      <c r="H35" s="450"/>
      <c r="I35" s="451"/>
      <c r="J35" s="7"/>
      <c r="L35" s="98"/>
      <c r="M35" s="27"/>
      <c r="N35" s="1"/>
      <c r="O35" s="1"/>
    </row>
    <row r="36" spans="1:16" s="8" customFormat="1" ht="20.100000000000001" customHeight="1" x14ac:dyDescent="0.2">
      <c r="C36" s="437"/>
      <c r="D36" s="438"/>
      <c r="E36" s="439"/>
      <c r="F36" s="101"/>
      <c r="G36" s="101"/>
      <c r="H36" s="450"/>
      <c r="I36" s="451"/>
      <c r="J36" s="7"/>
      <c r="K36" s="72" t="s">
        <v>9</v>
      </c>
      <c r="L36" s="455" t="str">
        <f>IF(F30="","",(F30*H30+F31*H31+F32*H32+F33*H33+F34*H34+F35*H35+F36*H36+F37*H37+F38*H38+F39*H39+F40*J40+F41*J41+F42*J42+F43*J43)/SUM(G30:G43))</f>
        <v/>
      </c>
      <c r="M36" s="455"/>
      <c r="N36" s="1"/>
      <c r="O36" s="1"/>
    </row>
    <row r="37" spans="1:16" s="8" customFormat="1" ht="20.100000000000001" customHeight="1" x14ac:dyDescent="0.2">
      <c r="C37" s="437"/>
      <c r="D37" s="438"/>
      <c r="E37" s="439"/>
      <c r="F37" s="101"/>
      <c r="G37" s="101"/>
      <c r="H37" s="450"/>
      <c r="I37" s="451"/>
      <c r="J37" s="7"/>
      <c r="N37" s="1"/>
      <c r="O37" s="1"/>
    </row>
    <row r="38" spans="1:16" s="8" customFormat="1" ht="20.100000000000001" customHeight="1" x14ac:dyDescent="0.2">
      <c r="C38" s="437"/>
      <c r="D38" s="438"/>
      <c r="E38" s="439"/>
      <c r="F38" s="101"/>
      <c r="G38" s="101"/>
      <c r="H38" s="450"/>
      <c r="I38" s="451"/>
      <c r="J38" s="7"/>
      <c r="N38" s="1"/>
      <c r="O38" s="1"/>
    </row>
    <row r="39" spans="1:16" s="8" customFormat="1" ht="20.100000000000001" customHeight="1" x14ac:dyDescent="0.2">
      <c r="C39" s="437"/>
      <c r="D39" s="438"/>
      <c r="E39" s="439"/>
      <c r="F39" s="101"/>
      <c r="G39" s="101"/>
      <c r="H39" s="450"/>
      <c r="I39" s="451"/>
      <c r="J39" s="7"/>
      <c r="N39" s="1"/>
      <c r="O39" s="1"/>
    </row>
    <row r="40" spans="1:16" s="8" customFormat="1" ht="20.100000000000001" customHeight="1" x14ac:dyDescent="0.2">
      <c r="C40" s="437"/>
      <c r="D40" s="438"/>
      <c r="E40" s="439"/>
      <c r="F40" s="101"/>
      <c r="G40" s="101"/>
      <c r="H40" s="450"/>
      <c r="I40" s="451"/>
      <c r="J40" s="7"/>
      <c r="N40" s="1"/>
      <c r="O40" s="1"/>
    </row>
    <row r="41" spans="1:16" s="8" customFormat="1" ht="20.100000000000001" customHeight="1" x14ac:dyDescent="0.2">
      <c r="C41" s="437"/>
      <c r="D41" s="438"/>
      <c r="E41" s="439"/>
      <c r="F41" s="101"/>
      <c r="G41" s="101"/>
      <c r="H41" s="450"/>
      <c r="I41" s="451"/>
      <c r="J41" s="7"/>
      <c r="L41" s="7"/>
      <c r="M41" s="7"/>
      <c r="N41" s="1"/>
      <c r="O41" s="1"/>
    </row>
    <row r="42" spans="1:16" s="8" customFormat="1" ht="20.100000000000001" customHeight="1" x14ac:dyDescent="0.2">
      <c r="C42" s="437"/>
      <c r="D42" s="438"/>
      <c r="E42" s="439"/>
      <c r="F42" s="101"/>
      <c r="G42" s="101"/>
      <c r="H42" s="450"/>
      <c r="I42" s="451"/>
      <c r="J42" s="7"/>
      <c r="L42" s="7"/>
      <c r="M42" s="7"/>
      <c r="N42" s="1"/>
      <c r="O42" s="1"/>
      <c r="P42" s="37"/>
    </row>
    <row r="43" spans="1:16" s="8" customFormat="1" ht="20.100000000000001" customHeight="1" thickBot="1" x14ac:dyDescent="0.25">
      <c r="C43" s="440"/>
      <c r="D43" s="441"/>
      <c r="E43" s="442"/>
      <c r="F43" s="102"/>
      <c r="G43" s="102"/>
      <c r="H43" s="453"/>
      <c r="I43" s="454"/>
      <c r="J43" s="7"/>
      <c r="L43" s="7"/>
      <c r="M43" s="7"/>
      <c r="N43" s="1"/>
      <c r="O43" s="1"/>
      <c r="P43" s="37"/>
    </row>
    <row r="44" spans="1:16" s="8" customFormat="1" ht="19.5" customHeight="1" x14ac:dyDescent="0.2">
      <c r="B44" s="94"/>
      <c r="C44" s="94"/>
      <c r="D44" s="94"/>
      <c r="E44" s="94"/>
      <c r="G44" s="95"/>
      <c r="H44" s="95"/>
      <c r="I44" s="95"/>
      <c r="J44" s="6"/>
      <c r="K44" s="96"/>
      <c r="L44" s="65"/>
      <c r="M44" s="97"/>
      <c r="N44" s="1"/>
      <c r="O44" s="1"/>
    </row>
    <row r="45" spans="1:16" s="8" customFormat="1" ht="20.100000000000001" customHeight="1" thickBot="1" x14ac:dyDescent="0.25">
      <c r="C45" s="424" t="s">
        <v>563</v>
      </c>
      <c r="D45" s="399"/>
      <c r="E45" s="399"/>
      <c r="F45" s="74"/>
      <c r="G45" s="6"/>
      <c r="H45" s="6"/>
      <c r="I45" s="6"/>
      <c r="J45" s="95"/>
      <c r="K45" s="95"/>
      <c r="M45" s="97"/>
      <c r="N45" s="1"/>
      <c r="O45" s="1"/>
    </row>
    <row r="46" spans="1:16" s="8" customFormat="1" ht="20.100000000000001" customHeight="1" thickTop="1" x14ac:dyDescent="0.25">
      <c r="A46" s="85"/>
      <c r="C46" s="30" t="s">
        <v>66</v>
      </c>
      <c r="D46" s="105" t="s">
        <v>26</v>
      </c>
      <c r="E46" s="103" t="s">
        <v>27</v>
      </c>
      <c r="F46" s="72"/>
      <c r="N46" s="1"/>
      <c r="O46" s="1"/>
    </row>
    <row r="47" spans="1:16" s="8" customFormat="1" ht="20.100000000000001" customHeight="1" thickBot="1" x14ac:dyDescent="0.25">
      <c r="A47" s="86"/>
      <c r="C47" s="29">
        <v>4.33</v>
      </c>
      <c r="D47" s="106">
        <v>7.72</v>
      </c>
      <c r="E47" s="104">
        <v>12.46</v>
      </c>
      <c r="G47" s="34"/>
      <c r="H47" s="34"/>
      <c r="I47" s="34"/>
      <c r="J47" s="34"/>
      <c r="K47" s="34"/>
      <c r="L47" s="34"/>
      <c r="M47" s="34"/>
      <c r="N47" s="1"/>
      <c r="O47" s="1"/>
    </row>
    <row r="48" spans="1:16" s="8" customFormat="1" ht="20.100000000000001" customHeight="1" thickTop="1" x14ac:dyDescent="0.2">
      <c r="A48" s="86"/>
      <c r="B48" s="34"/>
      <c r="C48" s="157" t="s">
        <v>564</v>
      </c>
      <c r="D48" s="34"/>
      <c r="E48" s="34"/>
      <c r="F48" s="34"/>
      <c r="G48" s="34"/>
      <c r="H48" s="34"/>
      <c r="I48" s="34"/>
      <c r="J48" s="34"/>
      <c r="K48" s="34"/>
      <c r="L48" s="34"/>
      <c r="M48" s="34"/>
      <c r="N48" s="1"/>
      <c r="O48" s="1"/>
    </row>
    <row r="49" spans="1:15" ht="20.100000000000001" customHeight="1" x14ac:dyDescent="0.2">
      <c r="A49" s="87"/>
      <c r="B49" s="372"/>
      <c r="C49" s="372"/>
      <c r="D49" s="372"/>
      <c r="E49" s="372"/>
      <c r="F49" s="372"/>
      <c r="G49" s="372"/>
      <c r="H49" s="372"/>
      <c r="I49" s="372"/>
      <c r="J49" s="372"/>
      <c r="K49" s="372"/>
      <c r="L49" s="372"/>
      <c r="M49" s="372"/>
      <c r="N49" s="1"/>
      <c r="O49" s="1"/>
    </row>
  </sheetData>
  <sheetProtection sheet="1" objects="1" scenarios="1"/>
  <mergeCells count="47">
    <mergeCell ref="L36:M36"/>
    <mergeCell ref="M16:N16"/>
    <mergeCell ref="C12:E12"/>
    <mergeCell ref="C23:N23"/>
    <mergeCell ref="G16:H16"/>
    <mergeCell ref="H29:I29"/>
    <mergeCell ref="H30:I30"/>
    <mergeCell ref="F19:G19"/>
    <mergeCell ref="K12:N12"/>
    <mergeCell ref="C45:E45"/>
    <mergeCell ref="C36:E36"/>
    <mergeCell ref="C37:E37"/>
    <mergeCell ref="C38:E38"/>
    <mergeCell ref="C39:E39"/>
    <mergeCell ref="C40:E40"/>
    <mergeCell ref="H43:I43"/>
    <mergeCell ref="H33:I33"/>
    <mergeCell ref="H34:I34"/>
    <mergeCell ref="H40:I40"/>
    <mergeCell ref="H41:I41"/>
    <mergeCell ref="H42:I42"/>
    <mergeCell ref="H35:I35"/>
    <mergeCell ref="H36:I36"/>
    <mergeCell ref="H37:I37"/>
    <mergeCell ref="H38:I38"/>
    <mergeCell ref="H39:I39"/>
    <mergeCell ref="B3:M3"/>
    <mergeCell ref="B4:M4"/>
    <mergeCell ref="B5:M5"/>
    <mergeCell ref="C9:G9"/>
    <mergeCell ref="M9:N9"/>
    <mergeCell ref="B49:M49"/>
    <mergeCell ref="C41:E41"/>
    <mergeCell ref="C42:E42"/>
    <mergeCell ref="C43:E43"/>
    <mergeCell ref="F21:G21"/>
    <mergeCell ref="C25:F25"/>
    <mergeCell ref="C33:E33"/>
    <mergeCell ref="C34:E34"/>
    <mergeCell ref="C35:E35"/>
    <mergeCell ref="J25:N25"/>
    <mergeCell ref="C29:E29"/>
    <mergeCell ref="C30:E30"/>
    <mergeCell ref="C31:E31"/>
    <mergeCell ref="C32:E32"/>
    <mergeCell ref="H31:I31"/>
    <mergeCell ref="H32:I32"/>
  </mergeCells>
  <pageMargins left="1" right="0.5" top="0.75" bottom="0.5" header="0.5" footer="0.25"/>
  <pageSetup scale="60" orientation="landscape" r:id="rId1"/>
  <headerFooter>
    <oddFooter>&amp;L&amp;F, &amp;A&amp;R&amp;D&amp;T</oddFooter>
  </headerFooter>
  <drawing r:id="rId2"/>
  <legacyDrawing r:id="rId3"/>
  <controls>
    <mc:AlternateContent xmlns:mc="http://schemas.openxmlformats.org/markup-compatibility/2006">
      <mc:Choice Requires="x14">
        <control shapeId="5125" r:id="rId4" name="CommandButton3">
          <controlPr defaultSize="0" print="0" autoLine="0" r:id="rId5">
            <anchor moveWithCells="1" sizeWithCells="1">
              <from>
                <xdr:col>10</xdr:col>
                <xdr:colOff>209550</xdr:colOff>
                <xdr:row>2</xdr:row>
                <xdr:rowOff>247650</xdr:rowOff>
              </from>
              <to>
                <xdr:col>10</xdr:col>
                <xdr:colOff>923925</xdr:colOff>
                <xdr:row>4</xdr:row>
                <xdr:rowOff>57150</xdr:rowOff>
              </to>
            </anchor>
          </controlPr>
        </control>
      </mc:Choice>
      <mc:Fallback>
        <control shapeId="5125" r:id="rId4" name="CommandButton3"/>
      </mc:Fallback>
    </mc:AlternateContent>
    <mc:AlternateContent xmlns:mc="http://schemas.openxmlformats.org/markup-compatibility/2006">
      <mc:Choice Requires="x14">
        <control shapeId="5123" r:id="rId6" name="CommandButton2">
          <controlPr defaultSize="0" print="0" autoLine="0" r:id="rId7">
            <anchor moveWithCells="1" sizeWithCells="1">
              <from>
                <xdr:col>12</xdr:col>
                <xdr:colOff>161925</xdr:colOff>
                <xdr:row>2</xdr:row>
                <xdr:rowOff>247650</xdr:rowOff>
              </from>
              <to>
                <xdr:col>13</xdr:col>
                <xdr:colOff>0</xdr:colOff>
                <xdr:row>4</xdr:row>
                <xdr:rowOff>57150</xdr:rowOff>
              </to>
            </anchor>
          </controlPr>
        </control>
      </mc:Choice>
      <mc:Fallback>
        <control shapeId="5123" r:id="rId6" name="CommandButton2"/>
      </mc:Fallback>
    </mc:AlternateContent>
    <mc:AlternateContent xmlns:mc="http://schemas.openxmlformats.org/markup-compatibility/2006">
      <mc:Choice Requires="x14">
        <control shapeId="5122" r:id="rId8" name="CommandButton1">
          <controlPr defaultSize="0" print="0" autoLine="0" r:id="rId9">
            <anchor moveWithCells="1" sizeWithCells="1">
              <from>
                <xdr:col>11</xdr:col>
                <xdr:colOff>0</xdr:colOff>
                <xdr:row>2</xdr:row>
                <xdr:rowOff>247650</xdr:rowOff>
              </from>
              <to>
                <xdr:col>12</xdr:col>
                <xdr:colOff>47625</xdr:colOff>
                <xdr:row>4</xdr:row>
                <xdr:rowOff>57150</xdr:rowOff>
              </to>
            </anchor>
          </controlPr>
        </control>
      </mc:Choice>
      <mc:Fallback>
        <control shapeId="5122" r:id="rId8" name="CommandButton1"/>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Fields!$E$2:$E$4</xm:f>
          </x14:formula1>
          <xm:sqref>C19</xm:sqref>
        </x14:dataValidation>
        <x14:dataValidation type="list" allowBlank="1" showInputMessage="1" showErrorMessage="1" xr:uid="{00000000-0002-0000-0500-000001000000}">
          <x14:formula1>
            <xm:f>Fields!$F$2:$F$5</xm:f>
          </x14:formula1>
          <xm:sqref>F19:G19</xm:sqref>
        </x14:dataValidation>
        <x14:dataValidation type="list" allowBlank="1" showInputMessage="1" showErrorMessage="1" xr:uid="{00000000-0002-0000-0500-000002000000}">
          <x14:formula1>
            <xm:f>Fields!$A$2:$A$38</xm:f>
          </x14:formula1>
          <xm:sqref>C21</xm:sqref>
        </x14:dataValidation>
        <x14:dataValidation type="list" allowBlank="1" showInputMessage="1" showErrorMessage="1" xr:uid="{00000000-0002-0000-0500-000003000000}">
          <x14:formula1>
            <xm:f>Fields!$D$2:$D$200</xm:f>
          </x14:formula1>
          <xm:sqref>G16:H16</xm:sqref>
        </x14:dataValidation>
        <x14:dataValidation type="list" allowBlank="1" showInputMessage="1" showErrorMessage="1" xr:uid="{00000000-0002-0000-0500-000004000000}">
          <x14:formula1>
            <xm:f>Fields!$B$2:$B$152</xm:f>
          </x14:formula1>
          <xm:sqref>C16</xm:sqref>
        </x14:dataValidation>
        <x14:dataValidation type="list" allowBlank="1" showInputMessage="1" showErrorMessage="1" xr:uid="{00000000-0002-0000-0500-000005000000}">
          <x14:formula1>
            <xm:f>Fields!$C$2:$C$205</xm:f>
          </x14:formula1>
          <xm:sqref>E16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theme="8" tint="0.39997558519241921"/>
    <pageSetUpPr fitToPage="1"/>
  </sheetPr>
  <dimension ref="A1:X378"/>
  <sheetViews>
    <sheetView zoomScale="80" zoomScaleNormal="80" workbookViewId="0">
      <selection activeCell="L10" sqref="L10"/>
    </sheetView>
  </sheetViews>
  <sheetFormatPr defaultRowHeight="12.75" x14ac:dyDescent="0.2"/>
  <cols>
    <col min="1" max="1" width="13.85546875" bestFit="1" customWidth="1"/>
    <col min="2" max="3" width="13.85546875" customWidth="1"/>
    <col min="4" max="4" width="31.42578125" bestFit="1" customWidth="1"/>
    <col min="5" max="5" width="12.28515625" bestFit="1" customWidth="1"/>
    <col min="6" max="6" width="23.5703125" bestFit="1" customWidth="1"/>
    <col min="7" max="8" width="11.5703125" bestFit="1" customWidth="1"/>
    <col min="9" max="10" width="10" bestFit="1" customWidth="1"/>
    <col min="11" max="13" width="9.140625" customWidth="1"/>
    <col min="14" max="14" width="10.5703125" customWidth="1"/>
    <col min="15" max="15" width="61.85546875" customWidth="1"/>
    <col min="16" max="16" width="63.85546875" customWidth="1"/>
    <col min="17" max="17" width="16.28515625" customWidth="1"/>
    <col min="18" max="18" width="26.42578125" customWidth="1"/>
    <col min="19" max="19" width="8.85546875" customWidth="1"/>
    <col min="20" max="20" width="17.7109375" customWidth="1"/>
    <col min="21" max="21" width="13.42578125" bestFit="1" customWidth="1"/>
    <col min="22" max="22" width="11" style="144" bestFit="1" customWidth="1"/>
  </cols>
  <sheetData>
    <row r="1" spans="1:24" x14ac:dyDescent="0.2">
      <c r="A1" s="204" t="s">
        <v>10</v>
      </c>
      <c r="B1" s="206" t="s">
        <v>584</v>
      </c>
      <c r="C1" s="205" t="s">
        <v>585</v>
      </c>
      <c r="D1" s="32" t="s">
        <v>586</v>
      </c>
      <c r="E1" s="32" t="s">
        <v>29</v>
      </c>
      <c r="F1" s="32" t="s">
        <v>30</v>
      </c>
      <c r="G1" s="32" t="s">
        <v>31</v>
      </c>
      <c r="H1" s="32" t="s">
        <v>32</v>
      </c>
      <c r="I1" s="32" t="s">
        <v>31</v>
      </c>
      <c r="J1" s="32" t="s">
        <v>32</v>
      </c>
      <c r="L1" s="146" t="s">
        <v>326</v>
      </c>
      <c r="N1" t="s">
        <v>316</v>
      </c>
      <c r="O1" t="s">
        <v>317</v>
      </c>
      <c r="Q1" t="s">
        <v>70</v>
      </c>
      <c r="R1" t="s">
        <v>71</v>
      </c>
      <c r="S1" t="s">
        <v>318</v>
      </c>
      <c r="T1" t="s">
        <v>28</v>
      </c>
      <c r="U1" t="s">
        <v>319</v>
      </c>
      <c r="V1" s="462" t="s">
        <v>72</v>
      </c>
      <c r="W1" s="462"/>
      <c r="X1" s="462"/>
    </row>
    <row r="2" spans="1:24" x14ac:dyDescent="0.2">
      <c r="D2" s="38"/>
      <c r="U2" s="157" t="s">
        <v>893</v>
      </c>
      <c r="W2" t="s">
        <v>573</v>
      </c>
      <c r="X2" t="s">
        <v>329</v>
      </c>
    </row>
    <row r="3" spans="1:24" ht="25.5" x14ac:dyDescent="0.2">
      <c r="A3" s="2" t="s">
        <v>337</v>
      </c>
      <c r="B3" s="207" t="s">
        <v>582</v>
      </c>
      <c r="C3" s="224">
        <v>1</v>
      </c>
      <c r="D3" s="33" t="s">
        <v>373</v>
      </c>
      <c r="E3" t="s">
        <v>107</v>
      </c>
      <c r="F3" t="s">
        <v>48</v>
      </c>
      <c r="G3" s="320">
        <v>3966800</v>
      </c>
      <c r="H3" s="319">
        <v>4761200</v>
      </c>
      <c r="I3" s="320">
        <v>176800</v>
      </c>
      <c r="J3" s="319">
        <v>200800</v>
      </c>
      <c r="L3" s="84">
        <v>1</v>
      </c>
      <c r="N3" s="325" t="s">
        <v>92</v>
      </c>
      <c r="O3" s="326" t="s">
        <v>93</v>
      </c>
      <c r="P3" s="117" t="str">
        <f>(N3&amp;":"&amp;" "&amp;O3)</f>
        <v xml:space="preserve">H1: Median U-Turn Intersection Treatment </v>
      </c>
      <c r="Q3" s="335" t="s">
        <v>76</v>
      </c>
      <c r="R3" s="335" t="s">
        <v>885</v>
      </c>
      <c r="S3" s="335">
        <v>20</v>
      </c>
      <c r="T3" s="336" t="s">
        <v>886</v>
      </c>
      <c r="U3" s="352" t="s">
        <v>94</v>
      </c>
      <c r="V3" s="149">
        <v>0.3</v>
      </c>
      <c r="W3" s="144">
        <f>V3</f>
        <v>0.3</v>
      </c>
      <c r="X3" s="144">
        <f>IF(R3="all",V3,0)</f>
        <v>0</v>
      </c>
    </row>
    <row r="4" spans="1:24" ht="25.5" x14ac:dyDescent="0.2">
      <c r="A4" s="2" t="s">
        <v>338</v>
      </c>
      <c r="B4" s="207" t="s">
        <v>698</v>
      </c>
      <c r="C4" s="224" t="s">
        <v>587</v>
      </c>
      <c r="D4" s="33" t="s">
        <v>374</v>
      </c>
      <c r="E4" t="s">
        <v>6</v>
      </c>
      <c r="F4" t="s">
        <v>7</v>
      </c>
      <c r="G4" s="320">
        <v>3691600</v>
      </c>
      <c r="H4" s="319">
        <v>5110100</v>
      </c>
      <c r="I4" s="320">
        <v>182400</v>
      </c>
      <c r="J4" s="319">
        <v>208000</v>
      </c>
      <c r="L4" s="84">
        <v>2</v>
      </c>
      <c r="N4" s="325" t="s">
        <v>92</v>
      </c>
      <c r="O4" s="326" t="s">
        <v>93</v>
      </c>
      <c r="P4" s="117" t="str">
        <f>(N4&amp;":"&amp;" "&amp;O4)</f>
        <v xml:space="preserve">H1: Median U-Turn Intersection Treatment </v>
      </c>
      <c r="Q4" s="335" t="s">
        <v>76</v>
      </c>
      <c r="R4" s="335" t="s">
        <v>885</v>
      </c>
      <c r="S4" s="335">
        <v>20</v>
      </c>
      <c r="T4" s="336" t="s">
        <v>886</v>
      </c>
      <c r="U4" s="352" t="s">
        <v>94</v>
      </c>
      <c r="V4" s="149">
        <v>0.3</v>
      </c>
      <c r="W4" s="144">
        <f>V4</f>
        <v>0.3</v>
      </c>
      <c r="X4" s="144">
        <f>IF(R4="all",V4,0)</f>
        <v>0</v>
      </c>
    </row>
    <row r="5" spans="1:24" ht="30.75" thickBot="1" x14ac:dyDescent="0.25">
      <c r="A5" s="2" t="s">
        <v>339</v>
      </c>
      <c r="B5" s="207" t="s">
        <v>583</v>
      </c>
      <c r="C5" s="224" t="s">
        <v>588</v>
      </c>
      <c r="D5" s="33" t="s">
        <v>375</v>
      </c>
      <c r="F5" t="s">
        <v>56</v>
      </c>
      <c r="G5" s="360">
        <v>2773800</v>
      </c>
      <c r="H5" s="321">
        <v>4352600</v>
      </c>
      <c r="I5" s="320">
        <v>184700</v>
      </c>
      <c r="J5" s="319">
        <v>210800</v>
      </c>
      <c r="L5" s="84">
        <v>3</v>
      </c>
      <c r="N5" s="327" t="s">
        <v>95</v>
      </c>
      <c r="O5" s="317" t="s">
        <v>96</v>
      </c>
      <c r="P5" s="117" t="str">
        <f t="shared" ref="P5:P70" si="0">(N5&amp;":"&amp;" "&amp;O5)</f>
        <v>H2: Right Turn Lane on Single Major Road Approach: Unsignalized Intersection (3- or 4-leg)</v>
      </c>
      <c r="Q5" s="337" t="s">
        <v>76</v>
      </c>
      <c r="R5" s="337" t="s">
        <v>76</v>
      </c>
      <c r="S5" s="337">
        <v>20</v>
      </c>
      <c r="T5" s="338" t="s">
        <v>887</v>
      </c>
      <c r="U5" s="352" t="s">
        <v>94</v>
      </c>
      <c r="V5" s="149">
        <v>0.14000000000000001</v>
      </c>
      <c r="W5" s="144">
        <f t="shared" ref="W5:W70" si="1">V5</f>
        <v>0.14000000000000001</v>
      </c>
      <c r="X5" s="144">
        <f t="shared" ref="X5:X70" si="2">IF(R5="all",V5,0)</f>
        <v>0.14000000000000001</v>
      </c>
    </row>
    <row r="6" spans="1:24" ht="30.75" thickTop="1" x14ac:dyDescent="0.2">
      <c r="A6" s="2" t="s">
        <v>340</v>
      </c>
      <c r="B6" s="207" t="s">
        <v>579</v>
      </c>
      <c r="C6" s="224">
        <v>2</v>
      </c>
      <c r="D6" s="33" t="s">
        <v>376</v>
      </c>
      <c r="L6" s="84">
        <v>4</v>
      </c>
      <c r="N6" s="328" t="s">
        <v>97</v>
      </c>
      <c r="O6" s="317" t="s">
        <v>98</v>
      </c>
      <c r="P6" s="117" t="str">
        <f t="shared" si="0"/>
        <v>H3: Right Turn Lane on Both Major Road Approaches: Unsignalized Intersection (3- or 4-leg)</v>
      </c>
      <c r="Q6" s="339" t="s">
        <v>76</v>
      </c>
      <c r="R6" s="337" t="s">
        <v>76</v>
      </c>
      <c r="S6" s="337">
        <v>20</v>
      </c>
      <c r="T6" s="338" t="s">
        <v>887</v>
      </c>
      <c r="U6" s="352" t="s">
        <v>94</v>
      </c>
      <c r="V6" s="149">
        <v>0.26</v>
      </c>
      <c r="W6" s="144">
        <f t="shared" si="1"/>
        <v>0.26</v>
      </c>
      <c r="X6" s="144">
        <f t="shared" si="2"/>
        <v>0.26</v>
      </c>
    </row>
    <row r="7" spans="1:24" ht="30" x14ac:dyDescent="0.2">
      <c r="A7" s="2" t="s">
        <v>341</v>
      </c>
      <c r="B7" s="207" t="s">
        <v>580</v>
      </c>
      <c r="C7" s="224" t="s">
        <v>589</v>
      </c>
      <c r="D7" s="33" t="s">
        <v>377</v>
      </c>
      <c r="L7" s="84">
        <v>5</v>
      </c>
      <c r="N7" s="325" t="s">
        <v>99</v>
      </c>
      <c r="O7" s="317" t="s">
        <v>100</v>
      </c>
      <c r="P7" s="117" t="str">
        <f t="shared" si="0"/>
        <v>H4: Right Turn Lane on Single Major Road Approaches: Signalized Intersection (3- or 4-leg)</v>
      </c>
      <c r="Q7" s="337" t="s">
        <v>76</v>
      </c>
      <c r="R7" s="337" t="s">
        <v>76</v>
      </c>
      <c r="S7" s="337">
        <v>20</v>
      </c>
      <c r="T7" s="340" t="s">
        <v>888</v>
      </c>
      <c r="U7" s="352" t="s">
        <v>94</v>
      </c>
      <c r="V7" s="149">
        <v>0.04</v>
      </c>
      <c r="W7" s="144">
        <f t="shared" si="1"/>
        <v>0.04</v>
      </c>
      <c r="X7" s="144">
        <f t="shared" si="2"/>
        <v>0.04</v>
      </c>
    </row>
    <row r="8" spans="1:24" ht="30" x14ac:dyDescent="0.2">
      <c r="A8" s="2" t="s">
        <v>342</v>
      </c>
      <c r="B8" s="207" t="s">
        <v>581</v>
      </c>
      <c r="C8" s="224">
        <v>3</v>
      </c>
      <c r="D8" s="33" t="s">
        <v>378</v>
      </c>
      <c r="F8" s="157"/>
      <c r="N8" s="327" t="s">
        <v>101</v>
      </c>
      <c r="O8" s="317" t="s">
        <v>102</v>
      </c>
      <c r="P8" s="117" t="str">
        <f t="shared" si="0"/>
        <v>H5: Right Turn Lane on Both Major Road Approaches: Signalized Intersection (3- or 4-leg)</v>
      </c>
      <c r="Q8" s="339" t="s">
        <v>76</v>
      </c>
      <c r="R8" s="337" t="s">
        <v>76</v>
      </c>
      <c r="S8" s="337">
        <v>20</v>
      </c>
      <c r="T8" s="340" t="s">
        <v>888</v>
      </c>
      <c r="U8" s="352" t="s">
        <v>94</v>
      </c>
      <c r="V8" s="149">
        <v>0.08</v>
      </c>
      <c r="W8" s="144">
        <f t="shared" si="1"/>
        <v>0.08</v>
      </c>
      <c r="X8" s="144">
        <f t="shared" si="2"/>
        <v>0.08</v>
      </c>
    </row>
    <row r="9" spans="1:24" ht="25.5" x14ac:dyDescent="0.2">
      <c r="A9" s="2" t="s">
        <v>343</v>
      </c>
      <c r="B9" s="207" t="s">
        <v>699</v>
      </c>
      <c r="C9" s="224">
        <v>4</v>
      </c>
      <c r="D9" s="33" t="s">
        <v>379</v>
      </c>
      <c r="F9" s="157"/>
      <c r="N9" s="328" t="s">
        <v>103</v>
      </c>
      <c r="O9" s="317" t="s">
        <v>104</v>
      </c>
      <c r="P9" s="117" t="str">
        <f t="shared" si="0"/>
        <v>H6: Channelized Right Turn Lane with Raised Median</v>
      </c>
      <c r="Q9" s="337" t="s">
        <v>76</v>
      </c>
      <c r="R9" s="337" t="s">
        <v>885</v>
      </c>
      <c r="S9" s="337">
        <v>20</v>
      </c>
      <c r="T9" s="336" t="s">
        <v>886</v>
      </c>
      <c r="U9" s="352" t="s">
        <v>94</v>
      </c>
      <c r="V9" s="149">
        <v>0.35</v>
      </c>
      <c r="W9" s="144">
        <f t="shared" si="1"/>
        <v>0.35</v>
      </c>
      <c r="X9" s="144">
        <f t="shared" si="2"/>
        <v>0</v>
      </c>
    </row>
    <row r="10" spans="1:24" ht="30" x14ac:dyDescent="0.2">
      <c r="A10" s="2" t="s">
        <v>344</v>
      </c>
      <c r="B10" s="207" t="s">
        <v>700</v>
      </c>
      <c r="C10" s="224">
        <v>5</v>
      </c>
      <c r="D10" s="33" t="s">
        <v>380</v>
      </c>
      <c r="F10" s="157"/>
      <c r="N10" s="325" t="s">
        <v>105</v>
      </c>
      <c r="O10" s="317" t="s">
        <v>106</v>
      </c>
      <c r="P10" s="117" t="str">
        <f t="shared" si="0"/>
        <v>H7: Left Turn Lane on Single Major Road Approach: Urban, Unsignalized Intersection (3-leg)</v>
      </c>
      <c r="Q10" s="337" t="s">
        <v>76</v>
      </c>
      <c r="R10" s="337" t="s">
        <v>76</v>
      </c>
      <c r="S10" s="337">
        <v>20</v>
      </c>
      <c r="T10" s="338" t="s">
        <v>887</v>
      </c>
      <c r="U10" s="341" t="s">
        <v>107</v>
      </c>
      <c r="V10" s="149">
        <v>0.33</v>
      </c>
      <c r="W10" s="144">
        <f t="shared" si="1"/>
        <v>0.33</v>
      </c>
      <c r="X10" s="144">
        <f t="shared" si="2"/>
        <v>0.33</v>
      </c>
    </row>
    <row r="11" spans="1:24" ht="30" x14ac:dyDescent="0.2">
      <c r="A11" s="2" t="s">
        <v>345</v>
      </c>
      <c r="B11" s="207" t="s">
        <v>701</v>
      </c>
      <c r="C11" s="224">
        <v>6</v>
      </c>
      <c r="D11" s="33" t="s">
        <v>381</v>
      </c>
      <c r="F11" s="157"/>
      <c r="N11" s="327" t="s">
        <v>108</v>
      </c>
      <c r="O11" s="317" t="s">
        <v>109</v>
      </c>
      <c r="P11" s="117" t="str">
        <f t="shared" si="0"/>
        <v>H8: Left Turn Lane on Both Major Road Approaches: Urban, Unsignalized Intersection (4-leg)</v>
      </c>
      <c r="Q11" s="337" t="s">
        <v>76</v>
      </c>
      <c r="R11" s="337" t="s">
        <v>76</v>
      </c>
      <c r="S11" s="337">
        <v>20</v>
      </c>
      <c r="T11" s="338" t="s">
        <v>887</v>
      </c>
      <c r="U11" s="341" t="s">
        <v>107</v>
      </c>
      <c r="V11" s="149">
        <v>0.47</v>
      </c>
      <c r="W11" s="144">
        <f t="shared" si="1"/>
        <v>0.47</v>
      </c>
      <c r="X11" s="144">
        <f t="shared" si="2"/>
        <v>0.47</v>
      </c>
    </row>
    <row r="12" spans="1:24" ht="30" x14ac:dyDescent="0.2">
      <c r="A12" s="2" t="s">
        <v>346</v>
      </c>
      <c r="B12" s="207" t="s">
        <v>702</v>
      </c>
      <c r="C12" s="224">
        <v>7</v>
      </c>
      <c r="D12" s="33" t="s">
        <v>382</v>
      </c>
      <c r="F12" s="157"/>
      <c r="N12" s="328" t="s">
        <v>110</v>
      </c>
      <c r="O12" s="317" t="s">
        <v>111</v>
      </c>
      <c r="P12" s="117" t="str">
        <f t="shared" si="0"/>
        <v>H9: Left Turn Lane on Single Major Road Approach: Rural, Unsignalized Intersection (3-leg)</v>
      </c>
      <c r="Q12" s="337" t="s">
        <v>76</v>
      </c>
      <c r="R12" s="337" t="s">
        <v>76</v>
      </c>
      <c r="S12" s="337">
        <v>20</v>
      </c>
      <c r="T12" s="338" t="s">
        <v>887</v>
      </c>
      <c r="U12" s="341" t="s">
        <v>6</v>
      </c>
      <c r="V12" s="149">
        <v>0.44</v>
      </c>
      <c r="W12" s="144">
        <f t="shared" si="1"/>
        <v>0.44</v>
      </c>
      <c r="X12" s="144">
        <f t="shared" si="2"/>
        <v>0.44</v>
      </c>
    </row>
    <row r="13" spans="1:24" ht="30" x14ac:dyDescent="0.2">
      <c r="A13" s="2" t="s">
        <v>347</v>
      </c>
      <c r="B13" s="207" t="s">
        <v>703</v>
      </c>
      <c r="C13" s="224">
        <v>8</v>
      </c>
      <c r="D13" s="33" t="s">
        <v>383</v>
      </c>
      <c r="F13" s="157"/>
      <c r="N13" s="325" t="s">
        <v>112</v>
      </c>
      <c r="O13" s="317" t="s">
        <v>113</v>
      </c>
      <c r="P13" s="117" t="str">
        <f t="shared" si="0"/>
        <v>H10: Left Turn Lane on Both Major Road Approaches: Rural, Unsignalized Intersection (4-leg)</v>
      </c>
      <c r="Q13" s="337" t="s">
        <v>76</v>
      </c>
      <c r="R13" s="337" t="s">
        <v>76</v>
      </c>
      <c r="S13" s="337">
        <v>20</v>
      </c>
      <c r="T13" s="338" t="s">
        <v>887</v>
      </c>
      <c r="U13" s="341" t="s">
        <v>6</v>
      </c>
      <c r="V13" s="149">
        <v>0.48</v>
      </c>
      <c r="W13" s="144">
        <f t="shared" si="1"/>
        <v>0.48</v>
      </c>
      <c r="X13" s="144">
        <f t="shared" si="2"/>
        <v>0.48</v>
      </c>
    </row>
    <row r="14" spans="1:24" ht="30" x14ac:dyDescent="0.2">
      <c r="A14" s="2" t="s">
        <v>348</v>
      </c>
      <c r="B14" s="207" t="s">
        <v>704</v>
      </c>
      <c r="C14" s="224">
        <v>9</v>
      </c>
      <c r="D14" s="209" t="s">
        <v>593</v>
      </c>
      <c r="F14" s="157"/>
      <c r="N14" s="327" t="s">
        <v>114</v>
      </c>
      <c r="O14" s="329" t="s">
        <v>115</v>
      </c>
      <c r="P14" s="117" t="str">
        <f t="shared" si="0"/>
        <v xml:space="preserve">H11: Left Turn Lane on Single Major Road Approach: Urban, Signalized Intersection (3-leg) </v>
      </c>
      <c r="Q14" s="337" t="s">
        <v>76</v>
      </c>
      <c r="R14" s="337" t="s">
        <v>76</v>
      </c>
      <c r="S14" s="337">
        <v>20</v>
      </c>
      <c r="T14" s="340" t="s">
        <v>888</v>
      </c>
      <c r="U14" s="341" t="s">
        <v>107</v>
      </c>
      <c r="V14" s="149">
        <v>7.0000000000000007E-2</v>
      </c>
      <c r="W14" s="144">
        <f t="shared" si="1"/>
        <v>7.0000000000000007E-2</v>
      </c>
      <c r="X14" s="144">
        <f t="shared" si="2"/>
        <v>7.0000000000000007E-2</v>
      </c>
    </row>
    <row r="15" spans="1:24" ht="30" x14ac:dyDescent="0.2">
      <c r="A15" s="2" t="s">
        <v>349</v>
      </c>
      <c r="B15" s="207" t="s">
        <v>705</v>
      </c>
      <c r="C15" s="224">
        <v>10</v>
      </c>
      <c r="D15" s="33" t="s">
        <v>384</v>
      </c>
      <c r="F15" s="157"/>
      <c r="N15" s="328" t="s">
        <v>118</v>
      </c>
      <c r="O15" s="330" t="s">
        <v>116</v>
      </c>
      <c r="P15" s="117" t="str">
        <f t="shared" si="0"/>
        <v>H12: Left Turn Lane on Single Major Road Approach, Urban, Signalized Intersection (4-leg)</v>
      </c>
      <c r="Q15" s="337" t="s">
        <v>76</v>
      </c>
      <c r="R15" s="337" t="s">
        <v>76</v>
      </c>
      <c r="S15" s="337">
        <v>20</v>
      </c>
      <c r="T15" s="340" t="s">
        <v>888</v>
      </c>
      <c r="U15" s="341" t="s">
        <v>107</v>
      </c>
      <c r="V15" s="150">
        <v>0.1</v>
      </c>
      <c r="W15" s="144">
        <f t="shared" si="1"/>
        <v>0.1</v>
      </c>
      <c r="X15" s="144">
        <f t="shared" si="2"/>
        <v>0.1</v>
      </c>
    </row>
    <row r="16" spans="1:24" ht="30" x14ac:dyDescent="0.2">
      <c r="A16" s="2" t="s">
        <v>350</v>
      </c>
      <c r="B16" s="207" t="s">
        <v>706</v>
      </c>
      <c r="C16" s="224">
        <v>11</v>
      </c>
      <c r="D16" s="33" t="s">
        <v>385</v>
      </c>
      <c r="F16" s="157"/>
      <c r="N16" s="325" t="s">
        <v>120</v>
      </c>
      <c r="O16" s="317" t="s">
        <v>119</v>
      </c>
      <c r="P16" s="117" t="str">
        <f t="shared" si="0"/>
        <v>H13: Left Turn Lane on Both Major Road Approaches: Urban, Signalized Intersection (4-leg)</v>
      </c>
      <c r="Q16" s="337" t="s">
        <v>76</v>
      </c>
      <c r="R16" s="337" t="s">
        <v>76</v>
      </c>
      <c r="S16" s="337">
        <v>20</v>
      </c>
      <c r="T16" s="340" t="s">
        <v>888</v>
      </c>
      <c r="U16" s="341" t="s">
        <v>107</v>
      </c>
      <c r="V16" s="149">
        <v>0.19</v>
      </c>
      <c r="W16" s="144">
        <f t="shared" si="1"/>
        <v>0.19</v>
      </c>
      <c r="X16" s="144">
        <f t="shared" si="2"/>
        <v>0.19</v>
      </c>
    </row>
    <row r="17" spans="1:24" ht="30" x14ac:dyDescent="0.2">
      <c r="A17" s="2" t="s">
        <v>351</v>
      </c>
      <c r="B17" s="207" t="s">
        <v>707</v>
      </c>
      <c r="C17" s="224">
        <v>12</v>
      </c>
      <c r="D17" s="33" t="s">
        <v>386</v>
      </c>
      <c r="F17" s="157"/>
      <c r="N17" s="327" t="s">
        <v>123</v>
      </c>
      <c r="O17" s="329" t="s">
        <v>121</v>
      </c>
      <c r="P17" s="117" t="str">
        <f t="shared" si="0"/>
        <v xml:space="preserve">H14: Left Turn Lane on Single Major Road Approach: Rural, Signalized Intersection (3-leg) </v>
      </c>
      <c r="Q17" s="337" t="s">
        <v>76</v>
      </c>
      <c r="R17" s="337" t="s">
        <v>76</v>
      </c>
      <c r="S17" s="337">
        <v>20</v>
      </c>
      <c r="T17" s="340" t="s">
        <v>888</v>
      </c>
      <c r="U17" s="341" t="s">
        <v>6</v>
      </c>
      <c r="V17" s="149">
        <v>0.15</v>
      </c>
      <c r="W17" s="144">
        <f t="shared" si="1"/>
        <v>0.15</v>
      </c>
      <c r="X17" s="144">
        <f t="shared" si="2"/>
        <v>0.15</v>
      </c>
    </row>
    <row r="18" spans="1:24" ht="30" x14ac:dyDescent="0.2">
      <c r="A18" s="2" t="s">
        <v>352</v>
      </c>
      <c r="B18" s="207" t="s">
        <v>708</v>
      </c>
      <c r="C18" s="224">
        <v>14</v>
      </c>
      <c r="D18" s="33" t="s">
        <v>387</v>
      </c>
      <c r="F18" s="157"/>
      <c r="N18" s="328" t="s">
        <v>125</v>
      </c>
      <c r="O18" s="330" t="s">
        <v>122</v>
      </c>
      <c r="P18" s="117" t="str">
        <f t="shared" si="0"/>
        <v>H15: Left Turn Lane on Single Major Road Approach, Rural, Signalized Intersection (4-leg)</v>
      </c>
      <c r="Q18" s="337" t="s">
        <v>76</v>
      </c>
      <c r="R18" s="337" t="s">
        <v>76</v>
      </c>
      <c r="S18" s="337">
        <v>20</v>
      </c>
      <c r="T18" s="340" t="s">
        <v>888</v>
      </c>
      <c r="U18" s="341" t="s">
        <v>6</v>
      </c>
      <c r="V18" s="150">
        <v>0.18</v>
      </c>
      <c r="W18" s="144">
        <f t="shared" si="1"/>
        <v>0.18</v>
      </c>
      <c r="X18" s="144">
        <f t="shared" si="2"/>
        <v>0.18</v>
      </c>
    </row>
    <row r="19" spans="1:24" ht="30" x14ac:dyDescent="0.2">
      <c r="A19" s="2" t="s">
        <v>353</v>
      </c>
      <c r="B19" s="207" t="s">
        <v>709</v>
      </c>
      <c r="C19" s="224">
        <v>15</v>
      </c>
      <c r="D19" s="33" t="s">
        <v>388</v>
      </c>
      <c r="F19" s="157"/>
      <c r="N19" s="325" t="s">
        <v>127</v>
      </c>
      <c r="O19" s="317" t="s">
        <v>124</v>
      </c>
      <c r="P19" s="117" t="str">
        <f t="shared" si="0"/>
        <v>H16: Left Turn Lane on Both Major Road Approaches: Rural, Signalized Intersection (4-leg)</v>
      </c>
      <c r="Q19" s="337" t="s">
        <v>76</v>
      </c>
      <c r="R19" s="337" t="s">
        <v>76</v>
      </c>
      <c r="S19" s="337">
        <v>20</v>
      </c>
      <c r="T19" s="340" t="s">
        <v>888</v>
      </c>
      <c r="U19" s="341" t="s">
        <v>6</v>
      </c>
      <c r="V19" s="149">
        <v>0.33</v>
      </c>
      <c r="W19" s="144">
        <f t="shared" si="1"/>
        <v>0.33</v>
      </c>
      <c r="X19" s="144">
        <f t="shared" si="2"/>
        <v>0.33</v>
      </c>
    </row>
    <row r="20" spans="1:24" ht="30" x14ac:dyDescent="0.2">
      <c r="A20" s="2" t="s">
        <v>354</v>
      </c>
      <c r="B20" s="207" t="s">
        <v>710</v>
      </c>
      <c r="C20" s="224">
        <v>16</v>
      </c>
      <c r="D20" s="33" t="s">
        <v>389</v>
      </c>
      <c r="F20" s="157"/>
      <c r="N20" s="327" t="s">
        <v>129</v>
      </c>
      <c r="O20" s="329" t="s">
        <v>126</v>
      </c>
      <c r="P20" s="117" t="str">
        <f t="shared" si="0"/>
        <v>H17: Channelized Left Turn Lane with Raised Median on All Approaches (3- or 4-leg)</v>
      </c>
      <c r="Q20" s="337" t="s">
        <v>76</v>
      </c>
      <c r="R20" s="337" t="s">
        <v>885</v>
      </c>
      <c r="S20" s="337">
        <v>20</v>
      </c>
      <c r="T20" s="336" t="s">
        <v>886</v>
      </c>
      <c r="U20" s="352" t="s">
        <v>94</v>
      </c>
      <c r="V20" s="149">
        <v>0.27</v>
      </c>
      <c r="W20" s="144">
        <f t="shared" si="1"/>
        <v>0.27</v>
      </c>
      <c r="X20" s="144">
        <f t="shared" si="2"/>
        <v>0</v>
      </c>
    </row>
    <row r="21" spans="1:24" ht="15.75" x14ac:dyDescent="0.2">
      <c r="A21" s="2" t="s">
        <v>355</v>
      </c>
      <c r="B21" s="207" t="s">
        <v>711</v>
      </c>
      <c r="C21" s="224">
        <v>17</v>
      </c>
      <c r="D21" s="33" t="s">
        <v>390</v>
      </c>
      <c r="F21" s="157"/>
      <c r="N21" s="328" t="s">
        <v>131</v>
      </c>
      <c r="O21" s="317" t="s">
        <v>128</v>
      </c>
      <c r="P21" s="117" t="str">
        <f t="shared" si="0"/>
        <v>H18: Install Roundabout from Minor Road Stop Control</v>
      </c>
      <c r="Q21" s="337" t="s">
        <v>76</v>
      </c>
      <c r="R21" s="337" t="s">
        <v>885</v>
      </c>
      <c r="S21" s="337">
        <v>20</v>
      </c>
      <c r="T21" s="338" t="s">
        <v>887</v>
      </c>
      <c r="U21" s="352" t="s">
        <v>94</v>
      </c>
      <c r="V21" s="149">
        <v>0.82</v>
      </c>
      <c r="W21" s="144">
        <f t="shared" si="1"/>
        <v>0.82</v>
      </c>
      <c r="X21" s="144">
        <f t="shared" si="2"/>
        <v>0</v>
      </c>
    </row>
    <row r="22" spans="1:24" ht="15.75" x14ac:dyDescent="0.2">
      <c r="A22" s="2" t="s">
        <v>356</v>
      </c>
      <c r="B22" s="207" t="s">
        <v>712</v>
      </c>
      <c r="C22" s="224">
        <v>18</v>
      </c>
      <c r="D22" s="33" t="s">
        <v>391</v>
      </c>
      <c r="F22" s="157"/>
      <c r="N22" s="325" t="s">
        <v>134</v>
      </c>
      <c r="O22" s="329" t="s">
        <v>130</v>
      </c>
      <c r="P22" s="117" t="str">
        <f t="shared" si="0"/>
        <v>H19: Install Roundabout from Signalized Intersection</v>
      </c>
      <c r="Q22" s="337" t="s">
        <v>76</v>
      </c>
      <c r="R22" s="337" t="s">
        <v>885</v>
      </c>
      <c r="S22" s="337">
        <v>20</v>
      </c>
      <c r="T22" s="340" t="s">
        <v>888</v>
      </c>
      <c r="U22" s="352" t="s">
        <v>94</v>
      </c>
      <c r="V22" s="149">
        <v>0.78</v>
      </c>
      <c r="W22" s="144">
        <f t="shared" si="1"/>
        <v>0.78</v>
      </c>
      <c r="X22" s="144">
        <f t="shared" si="2"/>
        <v>0</v>
      </c>
    </row>
    <row r="23" spans="1:24" ht="30" x14ac:dyDescent="0.2">
      <c r="A23" s="2" t="s">
        <v>357</v>
      </c>
      <c r="B23" s="207" t="s">
        <v>713</v>
      </c>
      <c r="C23" s="224">
        <v>19</v>
      </c>
      <c r="D23" s="33" t="s">
        <v>392</v>
      </c>
      <c r="F23" s="157"/>
      <c r="N23" s="327" t="s">
        <v>136</v>
      </c>
      <c r="O23" s="317" t="s">
        <v>132</v>
      </c>
      <c r="P23" s="117" t="str">
        <f t="shared" si="0"/>
        <v>H20: Convert to All-Way Stop Control (From Urban 2-Way or Yield Control)</v>
      </c>
      <c r="Q23" s="342" t="s">
        <v>133</v>
      </c>
      <c r="R23" s="337" t="s">
        <v>76</v>
      </c>
      <c r="S23" s="337">
        <v>10</v>
      </c>
      <c r="T23" s="338" t="s">
        <v>887</v>
      </c>
      <c r="U23" s="341" t="s">
        <v>107</v>
      </c>
      <c r="V23" s="149">
        <v>0.75</v>
      </c>
      <c r="W23" s="144">
        <f t="shared" si="1"/>
        <v>0.75</v>
      </c>
      <c r="X23" s="144">
        <f t="shared" si="2"/>
        <v>0.75</v>
      </c>
    </row>
    <row r="24" spans="1:24" ht="30" x14ac:dyDescent="0.2">
      <c r="A24" s="2" t="s">
        <v>358</v>
      </c>
      <c r="B24" s="207" t="s">
        <v>714</v>
      </c>
      <c r="C24" s="224">
        <v>20</v>
      </c>
      <c r="D24" s="33" t="s">
        <v>393</v>
      </c>
      <c r="F24" s="157"/>
      <c r="N24" s="328" t="s">
        <v>138</v>
      </c>
      <c r="O24" s="317" t="s">
        <v>135</v>
      </c>
      <c r="P24" s="117" t="str">
        <f t="shared" si="0"/>
        <v>H21: Convert to All-Way Stop Control (From Rural 2-Way or Yield Control)</v>
      </c>
      <c r="Q24" s="337" t="s">
        <v>76</v>
      </c>
      <c r="R24" s="337" t="s">
        <v>76</v>
      </c>
      <c r="S24" s="337">
        <v>10</v>
      </c>
      <c r="T24" s="338" t="s">
        <v>887</v>
      </c>
      <c r="U24" s="341" t="s">
        <v>6</v>
      </c>
      <c r="V24" s="149">
        <v>0.48</v>
      </c>
      <c r="W24" s="144">
        <f t="shared" si="1"/>
        <v>0.48</v>
      </c>
      <c r="X24" s="144">
        <f t="shared" si="2"/>
        <v>0.48</v>
      </c>
    </row>
    <row r="25" spans="1:24" ht="15.75" x14ac:dyDescent="0.2">
      <c r="A25" s="2" t="s">
        <v>359</v>
      </c>
      <c r="B25" s="207" t="s">
        <v>715</v>
      </c>
      <c r="C25" s="224">
        <v>21</v>
      </c>
      <c r="D25" s="33" t="s">
        <v>394</v>
      </c>
      <c r="F25" s="157"/>
      <c r="N25" s="325" t="s">
        <v>139</v>
      </c>
      <c r="O25" s="317" t="s">
        <v>841</v>
      </c>
      <c r="P25" s="117" t="str">
        <f t="shared" si="0"/>
        <v>H22: Install Urban Traffic Signal</v>
      </c>
      <c r="Q25" s="342" t="s">
        <v>133</v>
      </c>
      <c r="R25" s="337" t="s">
        <v>76</v>
      </c>
      <c r="S25" s="337">
        <v>20</v>
      </c>
      <c r="T25" s="338" t="s">
        <v>887</v>
      </c>
      <c r="U25" s="341" t="s">
        <v>107</v>
      </c>
      <c r="V25" s="149">
        <v>0.67</v>
      </c>
      <c r="W25" s="144">
        <f t="shared" si="1"/>
        <v>0.67</v>
      </c>
      <c r="X25" s="144">
        <f t="shared" si="2"/>
        <v>0.67</v>
      </c>
    </row>
    <row r="26" spans="1:24" ht="15.75" x14ac:dyDescent="0.2">
      <c r="A26" s="2" t="s">
        <v>360</v>
      </c>
      <c r="B26" s="207" t="s">
        <v>716</v>
      </c>
      <c r="C26" s="224">
        <v>22</v>
      </c>
      <c r="D26" s="33" t="s">
        <v>395</v>
      </c>
      <c r="F26" s="157"/>
      <c r="N26" s="327" t="s">
        <v>141</v>
      </c>
      <c r="O26" s="317" t="s">
        <v>908</v>
      </c>
      <c r="P26" s="117" t="str">
        <f t="shared" si="0"/>
        <v>H23: Install Urban Traffic Signal (Rear End)</v>
      </c>
      <c r="Q26" s="342" t="s">
        <v>137</v>
      </c>
      <c r="R26" s="337" t="s">
        <v>76</v>
      </c>
      <c r="S26" s="337">
        <v>20</v>
      </c>
      <c r="T26" s="338" t="s">
        <v>887</v>
      </c>
      <c r="U26" s="341" t="s">
        <v>107</v>
      </c>
      <c r="V26" s="149">
        <v>-1.43</v>
      </c>
      <c r="W26" s="144">
        <f t="shared" si="1"/>
        <v>-1.43</v>
      </c>
      <c r="X26" s="144">
        <f t="shared" si="2"/>
        <v>-1.43</v>
      </c>
    </row>
    <row r="27" spans="1:24" ht="15.75" x14ac:dyDescent="0.2">
      <c r="A27" s="2" t="s">
        <v>361</v>
      </c>
      <c r="B27" s="207" t="s">
        <v>717</v>
      </c>
      <c r="C27" s="224">
        <v>23</v>
      </c>
      <c r="D27" s="33" t="s">
        <v>396</v>
      </c>
      <c r="F27" s="157"/>
      <c r="N27" s="328" t="s">
        <v>143</v>
      </c>
      <c r="O27" s="317" t="s">
        <v>842</v>
      </c>
      <c r="P27" s="117" t="str">
        <f t="shared" si="0"/>
        <v>H24: Install Rural Traffic Signal</v>
      </c>
      <c r="Q27" s="342" t="s">
        <v>133</v>
      </c>
      <c r="R27" s="337" t="s">
        <v>76</v>
      </c>
      <c r="S27" s="337">
        <v>20</v>
      </c>
      <c r="T27" s="338" t="s">
        <v>887</v>
      </c>
      <c r="U27" s="341" t="s">
        <v>6</v>
      </c>
      <c r="V27" s="149">
        <v>0.77</v>
      </c>
      <c r="W27" s="144">
        <f t="shared" si="1"/>
        <v>0.77</v>
      </c>
      <c r="X27" s="144">
        <f t="shared" si="2"/>
        <v>0.77</v>
      </c>
    </row>
    <row r="28" spans="1:24" ht="15.75" x14ac:dyDescent="0.2">
      <c r="A28" s="2" t="s">
        <v>362</v>
      </c>
      <c r="B28" s="207" t="s">
        <v>718</v>
      </c>
      <c r="C28" s="224">
        <v>25</v>
      </c>
      <c r="D28" s="209" t="s">
        <v>598</v>
      </c>
      <c r="F28" s="157"/>
      <c r="N28" s="325" t="s">
        <v>145</v>
      </c>
      <c r="O28" s="317" t="s">
        <v>909</v>
      </c>
      <c r="P28" s="117" t="str">
        <f t="shared" si="0"/>
        <v>H25: Install Rural Traffic Signal (Rear End)</v>
      </c>
      <c r="Q28" s="342" t="s">
        <v>137</v>
      </c>
      <c r="R28" s="337" t="s">
        <v>76</v>
      </c>
      <c r="S28" s="337">
        <v>20</v>
      </c>
      <c r="T28" s="338" t="s">
        <v>887</v>
      </c>
      <c r="U28" s="341" t="s">
        <v>6</v>
      </c>
      <c r="V28" s="149">
        <v>-0.57999999999999996</v>
      </c>
      <c r="W28" s="144">
        <f t="shared" si="1"/>
        <v>-0.57999999999999996</v>
      </c>
      <c r="X28" s="144">
        <f t="shared" si="2"/>
        <v>-0.57999999999999996</v>
      </c>
    </row>
    <row r="29" spans="1:24" ht="30" x14ac:dyDescent="0.2">
      <c r="A29" s="2" t="s">
        <v>363</v>
      </c>
      <c r="B29" s="207" t="s">
        <v>719</v>
      </c>
      <c r="C29" s="224">
        <v>26</v>
      </c>
      <c r="D29" s="33" t="s">
        <v>339</v>
      </c>
      <c r="F29" s="157"/>
      <c r="N29" s="327" t="s">
        <v>148</v>
      </c>
      <c r="O29" s="329" t="s">
        <v>140</v>
      </c>
      <c r="P29" s="117" t="str">
        <f t="shared" si="0"/>
        <v>H26: Convert 4-Leg Intersection to Two 3-Leg Intersections (Minor St ADT is 15-30% of Total Entering Traffic)</v>
      </c>
      <c r="Q29" s="337" t="s">
        <v>76</v>
      </c>
      <c r="R29" s="337" t="s">
        <v>885</v>
      </c>
      <c r="S29" s="337">
        <v>20</v>
      </c>
      <c r="T29" s="338" t="s">
        <v>887</v>
      </c>
      <c r="U29" s="352" t="s">
        <v>94</v>
      </c>
      <c r="V29" s="149">
        <v>0.25</v>
      </c>
      <c r="W29" s="144">
        <f t="shared" si="1"/>
        <v>0.25</v>
      </c>
      <c r="X29" s="144">
        <f t="shared" si="2"/>
        <v>0</v>
      </c>
    </row>
    <row r="30" spans="1:24" ht="30" x14ac:dyDescent="0.2">
      <c r="A30" s="2" t="s">
        <v>364</v>
      </c>
      <c r="B30" s="207" t="s">
        <v>720</v>
      </c>
      <c r="C30" s="224">
        <v>27</v>
      </c>
      <c r="D30" s="33" t="s">
        <v>397</v>
      </c>
      <c r="F30" s="157"/>
      <c r="N30" s="328" t="s">
        <v>151</v>
      </c>
      <c r="O30" s="329" t="s">
        <v>142</v>
      </c>
      <c r="P30" s="117" t="str">
        <f t="shared" si="0"/>
        <v>H27: Convert 4-Leg Intersection to Two 3-Leg Intersections (Minor St ADT is 30% + of Total Entering Traffic)</v>
      </c>
      <c r="Q30" s="339" t="s">
        <v>76</v>
      </c>
      <c r="R30" s="337" t="s">
        <v>885</v>
      </c>
      <c r="S30" s="337">
        <v>20</v>
      </c>
      <c r="T30" s="338" t="s">
        <v>887</v>
      </c>
      <c r="U30" s="352" t="s">
        <v>94</v>
      </c>
      <c r="V30" s="149">
        <v>0.33</v>
      </c>
      <c r="W30" s="144">
        <f t="shared" si="1"/>
        <v>0.33</v>
      </c>
      <c r="X30" s="144">
        <f t="shared" si="2"/>
        <v>0</v>
      </c>
    </row>
    <row r="31" spans="1:24" ht="15.75" x14ac:dyDescent="0.2">
      <c r="A31" s="2" t="s">
        <v>365</v>
      </c>
      <c r="B31" s="207" t="s">
        <v>721</v>
      </c>
      <c r="C31" s="224">
        <v>28</v>
      </c>
      <c r="D31" s="33" t="s">
        <v>398</v>
      </c>
      <c r="F31" s="157"/>
      <c r="N31" s="325" t="s">
        <v>153</v>
      </c>
      <c r="O31" s="317" t="s">
        <v>144</v>
      </c>
      <c r="P31" s="117" t="str">
        <f t="shared" si="0"/>
        <v>H28: Install Rural Median Acceleration Lane</v>
      </c>
      <c r="Q31" s="337" t="s">
        <v>76</v>
      </c>
      <c r="R31" s="337" t="s">
        <v>885</v>
      </c>
      <c r="S31" s="337">
        <v>20</v>
      </c>
      <c r="T31" s="338" t="s">
        <v>887</v>
      </c>
      <c r="U31" s="341" t="s">
        <v>6</v>
      </c>
      <c r="V31" s="149">
        <v>0.45</v>
      </c>
      <c r="W31" s="144">
        <f t="shared" si="1"/>
        <v>0.45</v>
      </c>
      <c r="X31" s="144">
        <f t="shared" si="2"/>
        <v>0</v>
      </c>
    </row>
    <row r="32" spans="1:24" ht="25.5" x14ac:dyDescent="0.2">
      <c r="A32" s="2" t="s">
        <v>366</v>
      </c>
      <c r="B32" s="207" t="s">
        <v>722</v>
      </c>
      <c r="C32" s="224">
        <v>29</v>
      </c>
      <c r="D32" s="33" t="s">
        <v>399</v>
      </c>
      <c r="F32" s="157"/>
      <c r="N32" s="327" t="s">
        <v>156</v>
      </c>
      <c r="O32" s="317" t="s">
        <v>146</v>
      </c>
      <c r="P32" s="117" t="str">
        <f t="shared" si="0"/>
        <v>H29: Install Lighting at Intersection</v>
      </c>
      <c r="Q32" s="342" t="s">
        <v>147</v>
      </c>
      <c r="R32" s="337" t="s">
        <v>885</v>
      </c>
      <c r="S32" s="337">
        <v>20</v>
      </c>
      <c r="T32" s="336" t="s">
        <v>886</v>
      </c>
      <c r="U32" s="352" t="s">
        <v>94</v>
      </c>
      <c r="V32" s="149">
        <v>0.38</v>
      </c>
      <c r="W32" s="144">
        <f t="shared" si="1"/>
        <v>0.38</v>
      </c>
      <c r="X32" s="144">
        <f t="shared" si="2"/>
        <v>0</v>
      </c>
    </row>
    <row r="33" spans="1:24" ht="15.75" x14ac:dyDescent="0.2">
      <c r="A33" s="2" t="s">
        <v>367</v>
      </c>
      <c r="B33" s="207" t="s">
        <v>723</v>
      </c>
      <c r="C33" s="224">
        <v>30</v>
      </c>
      <c r="D33" s="33" t="s">
        <v>400</v>
      </c>
      <c r="F33" s="157"/>
      <c r="N33" s="328" t="s">
        <v>158</v>
      </c>
      <c r="O33" s="331" t="s">
        <v>149</v>
      </c>
      <c r="P33" s="117" t="str">
        <f t="shared" si="0"/>
        <v>H30: Install Lighting on a Roadway Segment</v>
      </c>
      <c r="Q33" s="342" t="s">
        <v>147</v>
      </c>
      <c r="R33" s="337" t="s">
        <v>885</v>
      </c>
      <c r="S33" s="337">
        <v>20</v>
      </c>
      <c r="T33" s="340" t="s">
        <v>150</v>
      </c>
      <c r="U33" s="352" t="s">
        <v>94</v>
      </c>
      <c r="V33" s="149">
        <v>0.28000000000000003</v>
      </c>
      <c r="W33" s="144">
        <f t="shared" si="1"/>
        <v>0.28000000000000003</v>
      </c>
      <c r="X33" s="144">
        <f t="shared" si="2"/>
        <v>0</v>
      </c>
    </row>
    <row r="34" spans="1:24" ht="15.75" x14ac:dyDescent="0.2">
      <c r="A34" s="2" t="s">
        <v>368</v>
      </c>
      <c r="B34" s="207" t="s">
        <v>724</v>
      </c>
      <c r="C34" s="224">
        <v>31</v>
      </c>
      <c r="D34" s="33" t="s">
        <v>401</v>
      </c>
      <c r="F34" s="157"/>
      <c r="N34" s="325" t="s">
        <v>160</v>
      </c>
      <c r="O34" s="317" t="s">
        <v>152</v>
      </c>
      <c r="P34" s="117" t="str">
        <f t="shared" si="0"/>
        <v>H31: Install Any Type of Median Barrier</v>
      </c>
      <c r="Q34" s="337" t="s">
        <v>76</v>
      </c>
      <c r="R34" s="337" t="s">
        <v>885</v>
      </c>
      <c r="S34" s="337">
        <v>20</v>
      </c>
      <c r="T34" s="340" t="s">
        <v>150</v>
      </c>
      <c r="U34" s="352" t="s">
        <v>94</v>
      </c>
      <c r="V34" s="149">
        <v>0.3</v>
      </c>
      <c r="W34" s="144">
        <f t="shared" si="1"/>
        <v>0.3</v>
      </c>
      <c r="X34" s="144">
        <f t="shared" si="2"/>
        <v>0</v>
      </c>
    </row>
    <row r="35" spans="1:24" ht="15.75" x14ac:dyDescent="0.2">
      <c r="A35" s="2" t="s">
        <v>369</v>
      </c>
      <c r="B35" s="207" t="s">
        <v>725</v>
      </c>
      <c r="C35" s="224">
        <v>32</v>
      </c>
      <c r="D35" s="33" t="s">
        <v>402</v>
      </c>
      <c r="F35" s="157"/>
      <c r="N35" s="327" t="s">
        <v>162</v>
      </c>
      <c r="O35" s="317" t="s">
        <v>154</v>
      </c>
      <c r="P35" s="117" t="str">
        <f t="shared" si="0"/>
        <v>H32: Install New Guardrail (Not Median Barrier Application)</v>
      </c>
      <c r="Q35" s="342" t="s">
        <v>155</v>
      </c>
      <c r="R35" s="337" t="s">
        <v>885</v>
      </c>
      <c r="S35" s="337">
        <v>20</v>
      </c>
      <c r="T35" s="340" t="s">
        <v>150</v>
      </c>
      <c r="U35" s="352" t="s">
        <v>94</v>
      </c>
      <c r="V35" s="149">
        <v>0.47</v>
      </c>
      <c r="W35" s="144">
        <f t="shared" si="1"/>
        <v>0.47</v>
      </c>
      <c r="X35" s="144">
        <f t="shared" si="2"/>
        <v>0</v>
      </c>
    </row>
    <row r="36" spans="1:24" ht="15.75" x14ac:dyDescent="0.2">
      <c r="A36" s="2" t="s">
        <v>370</v>
      </c>
      <c r="B36" s="207" t="s">
        <v>726</v>
      </c>
      <c r="C36" s="224">
        <v>33</v>
      </c>
      <c r="D36" s="33" t="s">
        <v>403</v>
      </c>
      <c r="F36" s="157"/>
      <c r="N36" s="328" t="s">
        <v>164</v>
      </c>
      <c r="O36" s="317" t="s">
        <v>157</v>
      </c>
      <c r="P36" s="117" t="str">
        <f t="shared" si="0"/>
        <v>H33: Install Two Way Left Turn Lane on 2-Lane Road</v>
      </c>
      <c r="Q36" s="342" t="s">
        <v>137</v>
      </c>
      <c r="R36" s="337" t="s">
        <v>76</v>
      </c>
      <c r="S36" s="337">
        <v>20</v>
      </c>
      <c r="T36" s="340" t="s">
        <v>150</v>
      </c>
      <c r="U36" s="352" t="s">
        <v>94</v>
      </c>
      <c r="V36" s="149">
        <v>0.39</v>
      </c>
      <c r="W36" s="144">
        <f t="shared" si="1"/>
        <v>0.39</v>
      </c>
      <c r="X36" s="144">
        <f t="shared" si="2"/>
        <v>0.39</v>
      </c>
    </row>
    <row r="37" spans="1:24" ht="15.75" x14ac:dyDescent="0.2">
      <c r="A37" s="2" t="s">
        <v>371</v>
      </c>
      <c r="B37" s="207" t="s">
        <v>727</v>
      </c>
      <c r="C37" s="224">
        <v>35</v>
      </c>
      <c r="D37" s="33" t="s">
        <v>404</v>
      </c>
      <c r="F37" s="157"/>
      <c r="N37" s="325" t="s">
        <v>166</v>
      </c>
      <c r="O37" s="317" t="s">
        <v>159</v>
      </c>
      <c r="P37" s="117" t="str">
        <f t="shared" si="0"/>
        <v>H34: Reduce Urban Driveways from 48 to 26 - 48 per mile</v>
      </c>
      <c r="Q37" s="339" t="s">
        <v>76</v>
      </c>
      <c r="R37" s="337" t="s">
        <v>885</v>
      </c>
      <c r="S37" s="337">
        <v>20</v>
      </c>
      <c r="T37" s="340" t="s">
        <v>150</v>
      </c>
      <c r="U37" s="341" t="s">
        <v>107</v>
      </c>
      <c r="V37" s="149">
        <v>0.28999999999999998</v>
      </c>
      <c r="W37" s="144">
        <f t="shared" si="1"/>
        <v>0.28999999999999998</v>
      </c>
      <c r="X37" s="144">
        <f t="shared" si="2"/>
        <v>0</v>
      </c>
    </row>
    <row r="38" spans="1:24" ht="15.75" x14ac:dyDescent="0.2">
      <c r="A38" s="2" t="s">
        <v>372</v>
      </c>
      <c r="B38" s="207" t="s">
        <v>728</v>
      </c>
      <c r="C38" s="224">
        <v>36</v>
      </c>
      <c r="D38" s="33" t="s">
        <v>405</v>
      </c>
      <c r="F38" s="157"/>
      <c r="N38" s="327" t="s">
        <v>168</v>
      </c>
      <c r="O38" s="317" t="s">
        <v>161</v>
      </c>
      <c r="P38" s="117" t="str">
        <f t="shared" si="0"/>
        <v>H35: Reduce Urban Driveways from 26 - 48 to 10 - 24 per mile</v>
      </c>
      <c r="Q38" s="339" t="s">
        <v>76</v>
      </c>
      <c r="R38" s="337" t="s">
        <v>885</v>
      </c>
      <c r="S38" s="337">
        <v>20</v>
      </c>
      <c r="T38" s="340" t="s">
        <v>150</v>
      </c>
      <c r="U38" s="341" t="s">
        <v>107</v>
      </c>
      <c r="V38" s="149">
        <v>0.31</v>
      </c>
      <c r="W38" s="144">
        <f t="shared" si="1"/>
        <v>0.31</v>
      </c>
      <c r="X38" s="144">
        <f t="shared" si="2"/>
        <v>0</v>
      </c>
    </row>
    <row r="39" spans="1:24" ht="15.75" x14ac:dyDescent="0.2">
      <c r="B39" s="207" t="s">
        <v>729</v>
      </c>
      <c r="C39" s="224">
        <v>37</v>
      </c>
      <c r="D39" s="33" t="s">
        <v>406</v>
      </c>
      <c r="F39" s="157"/>
      <c r="N39" s="328" t="s">
        <v>170</v>
      </c>
      <c r="O39" s="317" t="s">
        <v>163</v>
      </c>
      <c r="P39" s="117" t="str">
        <f t="shared" si="0"/>
        <v>H36: Reduce Urban Driveways from 10 - 24 to less than 10 per mile</v>
      </c>
      <c r="Q39" s="339" t="s">
        <v>76</v>
      </c>
      <c r="R39" s="337" t="s">
        <v>885</v>
      </c>
      <c r="S39" s="337">
        <v>20</v>
      </c>
      <c r="T39" s="340" t="s">
        <v>150</v>
      </c>
      <c r="U39" s="341" t="s">
        <v>107</v>
      </c>
      <c r="V39" s="149">
        <v>0.25</v>
      </c>
      <c r="W39" s="144">
        <f t="shared" si="1"/>
        <v>0.25</v>
      </c>
      <c r="X39" s="144">
        <f t="shared" si="2"/>
        <v>0</v>
      </c>
    </row>
    <row r="40" spans="1:24" ht="15.75" x14ac:dyDescent="0.2">
      <c r="B40" s="207" t="s">
        <v>730</v>
      </c>
      <c r="C40" s="224">
        <v>38</v>
      </c>
      <c r="D40" s="33" t="s">
        <v>407</v>
      </c>
      <c r="F40" s="157"/>
      <c r="N40" s="325" t="s">
        <v>172</v>
      </c>
      <c r="O40" s="317" t="s">
        <v>165</v>
      </c>
      <c r="P40" s="117" t="str">
        <f t="shared" si="0"/>
        <v>H37: Provide a Raised Median, Urban 2-Lane Road</v>
      </c>
      <c r="Q40" s="339" t="s">
        <v>76</v>
      </c>
      <c r="R40" s="337" t="s">
        <v>885</v>
      </c>
      <c r="S40" s="337">
        <v>20</v>
      </c>
      <c r="T40" s="340" t="s">
        <v>150</v>
      </c>
      <c r="U40" s="341" t="s">
        <v>107</v>
      </c>
      <c r="V40" s="149">
        <v>0.39</v>
      </c>
      <c r="W40" s="144">
        <f t="shared" si="1"/>
        <v>0.39</v>
      </c>
      <c r="X40" s="144">
        <f t="shared" si="2"/>
        <v>0</v>
      </c>
    </row>
    <row r="41" spans="1:24" ht="15.75" x14ac:dyDescent="0.2">
      <c r="B41" s="207" t="s">
        <v>731</v>
      </c>
      <c r="C41" s="224">
        <v>39</v>
      </c>
      <c r="D41" s="33" t="s">
        <v>408</v>
      </c>
      <c r="F41" s="157"/>
      <c r="N41" s="327" t="s">
        <v>173</v>
      </c>
      <c r="O41" s="317" t="s">
        <v>167</v>
      </c>
      <c r="P41" s="117" t="str">
        <f t="shared" si="0"/>
        <v>H38: Provide a Raised Median, Urban Multi-Lane Road</v>
      </c>
      <c r="Q41" s="339" t="s">
        <v>76</v>
      </c>
      <c r="R41" s="337" t="s">
        <v>885</v>
      </c>
      <c r="S41" s="337">
        <v>20</v>
      </c>
      <c r="T41" s="340" t="s">
        <v>150</v>
      </c>
      <c r="U41" s="341" t="s">
        <v>107</v>
      </c>
      <c r="V41" s="149">
        <v>0.22</v>
      </c>
      <c r="W41" s="144">
        <f t="shared" si="1"/>
        <v>0.22</v>
      </c>
      <c r="X41" s="144">
        <f t="shared" si="2"/>
        <v>0</v>
      </c>
    </row>
    <row r="42" spans="1:24" ht="15.75" x14ac:dyDescent="0.2">
      <c r="B42" s="207" t="s">
        <v>732</v>
      </c>
      <c r="C42" s="224">
        <v>40</v>
      </c>
      <c r="D42" s="33" t="s">
        <v>409</v>
      </c>
      <c r="F42" s="157"/>
      <c r="N42" s="328" t="s">
        <v>175</v>
      </c>
      <c r="O42" s="317" t="s">
        <v>169</v>
      </c>
      <c r="P42" s="117" t="str">
        <f t="shared" si="0"/>
        <v>H39: Provide a Raised Median, Rural Multi-Lane Road</v>
      </c>
      <c r="Q42" s="339" t="s">
        <v>76</v>
      </c>
      <c r="R42" s="337" t="s">
        <v>885</v>
      </c>
      <c r="S42" s="337">
        <v>20</v>
      </c>
      <c r="T42" s="340" t="s">
        <v>150</v>
      </c>
      <c r="U42" s="341" t="s">
        <v>6</v>
      </c>
      <c r="V42" s="149">
        <v>0.12</v>
      </c>
      <c r="W42" s="144">
        <f t="shared" si="1"/>
        <v>0.12</v>
      </c>
      <c r="X42" s="144">
        <f t="shared" si="2"/>
        <v>0</v>
      </c>
    </row>
    <row r="43" spans="1:24" ht="15.75" x14ac:dyDescent="0.2">
      <c r="B43" s="207" t="s">
        <v>733</v>
      </c>
      <c r="C43" s="224">
        <v>41</v>
      </c>
      <c r="D43" s="33" t="s">
        <v>410</v>
      </c>
      <c r="F43" s="157"/>
      <c r="N43" s="325" t="s">
        <v>177</v>
      </c>
      <c r="O43" s="317" t="s">
        <v>171</v>
      </c>
      <c r="P43" s="117" t="str">
        <f t="shared" si="0"/>
        <v>H40: Install Traversable Median (4 ft. or more)</v>
      </c>
      <c r="Q43" s="337" t="s">
        <v>76</v>
      </c>
      <c r="R43" s="337" t="s">
        <v>76</v>
      </c>
      <c r="S43" s="337">
        <v>20</v>
      </c>
      <c r="T43" s="340" t="s">
        <v>150</v>
      </c>
      <c r="U43" s="352" t="s">
        <v>94</v>
      </c>
      <c r="V43" s="149">
        <v>0.12</v>
      </c>
      <c r="W43" s="144">
        <f t="shared" si="1"/>
        <v>0.12</v>
      </c>
      <c r="X43" s="144">
        <f t="shared" si="2"/>
        <v>0.12</v>
      </c>
    </row>
    <row r="44" spans="1:24" ht="15.75" x14ac:dyDescent="0.2">
      <c r="B44" s="207" t="s">
        <v>734</v>
      </c>
      <c r="C44" s="224">
        <v>42</v>
      </c>
      <c r="D44" s="33" t="s">
        <v>411</v>
      </c>
      <c r="F44" s="157"/>
      <c r="N44" s="327" t="s">
        <v>179</v>
      </c>
      <c r="O44" s="317" t="s">
        <v>843</v>
      </c>
      <c r="P44" s="117" t="str">
        <f t="shared" si="0"/>
        <v>H41: Install Passing Lane  or Climbing Lane on Rural, 2-Lane Roadway</v>
      </c>
      <c r="Q44" s="337" t="s">
        <v>76</v>
      </c>
      <c r="R44" s="337" t="s">
        <v>885</v>
      </c>
      <c r="S44" s="337">
        <v>20</v>
      </c>
      <c r="T44" s="340" t="s">
        <v>150</v>
      </c>
      <c r="U44" s="341" t="s">
        <v>6</v>
      </c>
      <c r="V44" s="149">
        <v>0.25</v>
      </c>
      <c r="W44" s="144">
        <f t="shared" si="1"/>
        <v>0.25</v>
      </c>
      <c r="X44" s="144">
        <f t="shared" si="2"/>
        <v>0</v>
      </c>
    </row>
    <row r="45" spans="1:24" ht="15.75" x14ac:dyDescent="0.2">
      <c r="B45" s="207" t="s">
        <v>735</v>
      </c>
      <c r="C45" s="224">
        <v>43</v>
      </c>
      <c r="D45" s="33"/>
      <c r="F45" s="157"/>
      <c r="N45" s="328" t="s">
        <v>181</v>
      </c>
      <c r="O45" s="317" t="s">
        <v>174</v>
      </c>
      <c r="P45" s="117" t="str">
        <f t="shared" si="0"/>
        <v>H42: Widen Rural Paved Lane Width by 1 foot</v>
      </c>
      <c r="Q45" s="337" t="s">
        <v>76</v>
      </c>
      <c r="R45" s="337" t="s">
        <v>76</v>
      </c>
      <c r="S45" s="337">
        <v>20</v>
      </c>
      <c r="T45" s="340" t="s">
        <v>150</v>
      </c>
      <c r="U45" s="341" t="s">
        <v>6</v>
      </c>
      <c r="V45" s="149">
        <v>0.05</v>
      </c>
      <c r="W45" s="144">
        <f t="shared" si="1"/>
        <v>0.05</v>
      </c>
      <c r="X45" s="144">
        <f t="shared" si="2"/>
        <v>0.05</v>
      </c>
    </row>
    <row r="46" spans="1:24" ht="15.75" x14ac:dyDescent="0.2">
      <c r="B46" s="207" t="s">
        <v>736</v>
      </c>
      <c r="C46" s="224">
        <v>44</v>
      </c>
      <c r="D46" s="33" t="s">
        <v>412</v>
      </c>
      <c r="F46" s="157"/>
      <c r="N46" s="325" t="s">
        <v>183</v>
      </c>
      <c r="O46" s="317" t="s">
        <v>176</v>
      </c>
      <c r="P46" s="117" t="str">
        <f t="shared" si="0"/>
        <v>H43: Flatten Horizontal Curve (Increase Radius)</v>
      </c>
      <c r="Q46" s="337" t="s">
        <v>76</v>
      </c>
      <c r="R46" s="337" t="s">
        <v>76</v>
      </c>
      <c r="S46" s="337">
        <v>20</v>
      </c>
      <c r="T46" s="340" t="s">
        <v>150</v>
      </c>
      <c r="U46" s="352" t="s">
        <v>94</v>
      </c>
      <c r="V46" s="149" t="s">
        <v>624</v>
      </c>
      <c r="W46" s="144" t="str">
        <f t="shared" si="1"/>
        <v>#</v>
      </c>
      <c r="X46" s="144" t="str">
        <f t="shared" si="2"/>
        <v>#</v>
      </c>
    </row>
    <row r="47" spans="1:24" ht="15.75" x14ac:dyDescent="0.2">
      <c r="B47" s="207" t="s">
        <v>737</v>
      </c>
      <c r="C47" s="224">
        <v>45</v>
      </c>
      <c r="D47" s="33" t="s">
        <v>413</v>
      </c>
      <c r="F47" s="157"/>
      <c r="N47" s="327" t="s">
        <v>185</v>
      </c>
      <c r="O47" s="317" t="s">
        <v>178</v>
      </c>
      <c r="P47" s="117" t="str">
        <f t="shared" si="0"/>
        <v>H44: Flatten Crest Vertical Curve</v>
      </c>
      <c r="Q47" s="337" t="s">
        <v>76</v>
      </c>
      <c r="R47" s="337" t="s">
        <v>76</v>
      </c>
      <c r="S47" s="337">
        <v>20</v>
      </c>
      <c r="T47" s="340" t="s">
        <v>150</v>
      </c>
      <c r="U47" s="352" t="s">
        <v>94</v>
      </c>
      <c r="V47" s="149">
        <v>0.2</v>
      </c>
      <c r="W47" s="144">
        <f t="shared" si="1"/>
        <v>0.2</v>
      </c>
      <c r="X47" s="144">
        <f t="shared" si="2"/>
        <v>0.2</v>
      </c>
    </row>
    <row r="48" spans="1:24" ht="30" x14ac:dyDescent="0.2">
      <c r="B48" s="207" t="s">
        <v>738</v>
      </c>
      <c r="C48" s="224">
        <v>46</v>
      </c>
      <c r="D48" s="33" t="s">
        <v>414</v>
      </c>
      <c r="F48" s="157"/>
      <c r="N48" s="328" t="s">
        <v>188</v>
      </c>
      <c r="O48" s="317" t="s">
        <v>180</v>
      </c>
      <c r="P48" s="117" t="str">
        <f t="shared" si="0"/>
        <v>H45: Improve Superelevation Variance (SV) on Rural Curves (Between 0.01 and 0.02)</v>
      </c>
      <c r="Q48" s="339" t="s">
        <v>76</v>
      </c>
      <c r="R48" s="337" t="s">
        <v>76</v>
      </c>
      <c r="S48" s="337">
        <v>20</v>
      </c>
      <c r="T48" s="340" t="s">
        <v>150</v>
      </c>
      <c r="U48" s="341" t="s">
        <v>6</v>
      </c>
      <c r="V48" s="149" t="s">
        <v>624</v>
      </c>
      <c r="W48" s="144" t="str">
        <f t="shared" si="1"/>
        <v>#</v>
      </c>
      <c r="X48" s="144" t="str">
        <f t="shared" si="2"/>
        <v>#</v>
      </c>
    </row>
    <row r="49" spans="2:24" ht="30" x14ac:dyDescent="0.2">
      <c r="B49" s="207" t="s">
        <v>739</v>
      </c>
      <c r="C49" s="224">
        <v>47</v>
      </c>
      <c r="D49" s="33" t="s">
        <v>415</v>
      </c>
      <c r="F49" s="157"/>
      <c r="N49" s="325" t="s">
        <v>191</v>
      </c>
      <c r="O49" s="317" t="s">
        <v>182</v>
      </c>
      <c r="P49" s="117" t="str">
        <f t="shared" si="0"/>
        <v>H46: Improve Superelevation Variance (SV) on Rural Curves (More than 0.02)</v>
      </c>
      <c r="Q49" s="339" t="s">
        <v>76</v>
      </c>
      <c r="R49" s="337" t="s">
        <v>76</v>
      </c>
      <c r="S49" s="337">
        <v>20</v>
      </c>
      <c r="T49" s="340" t="s">
        <v>150</v>
      </c>
      <c r="U49" s="341" t="s">
        <v>6</v>
      </c>
      <c r="V49" s="149" t="s">
        <v>624</v>
      </c>
      <c r="W49" s="144" t="str">
        <f t="shared" si="1"/>
        <v>#</v>
      </c>
      <c r="X49" s="144" t="str">
        <f t="shared" si="2"/>
        <v>#</v>
      </c>
    </row>
    <row r="50" spans="2:24" ht="15.75" x14ac:dyDescent="0.2">
      <c r="B50" s="207" t="s">
        <v>740</v>
      </c>
      <c r="C50" s="224">
        <v>48</v>
      </c>
      <c r="D50" s="33" t="s">
        <v>416</v>
      </c>
      <c r="F50" s="157"/>
      <c r="N50" s="327" t="s">
        <v>193</v>
      </c>
      <c r="O50" s="317" t="s">
        <v>184</v>
      </c>
      <c r="P50" s="117" t="str">
        <f t="shared" si="0"/>
        <v>H47: Convert from Urban Two-Way to One-Way Traffic</v>
      </c>
      <c r="Q50" s="337" t="s">
        <v>76</v>
      </c>
      <c r="R50" s="337" t="s">
        <v>76</v>
      </c>
      <c r="S50" s="337">
        <v>20</v>
      </c>
      <c r="T50" s="340" t="s">
        <v>150</v>
      </c>
      <c r="U50" s="341" t="s">
        <v>107</v>
      </c>
      <c r="V50" s="149">
        <v>0.47</v>
      </c>
      <c r="W50" s="144">
        <f t="shared" si="1"/>
        <v>0.47</v>
      </c>
      <c r="X50" s="144">
        <f t="shared" si="2"/>
        <v>0.47</v>
      </c>
    </row>
    <row r="51" spans="2:24" ht="30" x14ac:dyDescent="0.2">
      <c r="B51" s="207" t="s">
        <v>741</v>
      </c>
      <c r="C51" s="224">
        <v>49</v>
      </c>
      <c r="D51" s="33" t="s">
        <v>417</v>
      </c>
      <c r="F51" s="157"/>
      <c r="N51" s="328" t="s">
        <v>194</v>
      </c>
      <c r="O51" s="329" t="s">
        <v>685</v>
      </c>
      <c r="P51" s="117" t="str">
        <f t="shared" si="0"/>
        <v>H48: Increase Pavement Friction by Installing High Friction Surface Treatment - Curves Application</v>
      </c>
      <c r="Q51" s="343" t="s">
        <v>155</v>
      </c>
      <c r="R51" s="337" t="s">
        <v>76</v>
      </c>
      <c r="S51" s="337">
        <v>10</v>
      </c>
      <c r="T51" s="340" t="s">
        <v>150</v>
      </c>
      <c r="U51" s="352" t="s">
        <v>94</v>
      </c>
      <c r="V51" s="149">
        <v>0.52</v>
      </c>
      <c r="W51" s="144">
        <f t="shared" si="1"/>
        <v>0.52</v>
      </c>
      <c r="X51" s="144">
        <f t="shared" si="2"/>
        <v>0.52</v>
      </c>
    </row>
    <row r="52" spans="2:24" ht="30" x14ac:dyDescent="0.2">
      <c r="B52" s="207" t="s">
        <v>742</v>
      </c>
      <c r="C52" s="224">
        <v>50</v>
      </c>
      <c r="D52" s="209" t="s">
        <v>595</v>
      </c>
      <c r="F52" s="157"/>
      <c r="N52" s="325" t="s">
        <v>196</v>
      </c>
      <c r="O52" s="332" t="s">
        <v>684</v>
      </c>
      <c r="P52" s="117" t="str">
        <f t="shared" si="0"/>
        <v>H49: Increase Pavement Friction by Installing High Friction Surface Treatment - Ramps Application</v>
      </c>
      <c r="Q52" s="343" t="s">
        <v>187</v>
      </c>
      <c r="R52" s="344" t="s">
        <v>76</v>
      </c>
      <c r="S52" s="344">
        <v>10</v>
      </c>
      <c r="T52" s="338" t="s">
        <v>150</v>
      </c>
      <c r="U52" s="352" t="s">
        <v>94</v>
      </c>
      <c r="V52" s="149">
        <v>0.86</v>
      </c>
      <c r="W52" s="144">
        <f t="shared" si="1"/>
        <v>0.86</v>
      </c>
      <c r="X52" s="144">
        <f t="shared" si="2"/>
        <v>0.86</v>
      </c>
    </row>
    <row r="53" spans="2:24" ht="15.75" x14ac:dyDescent="0.2">
      <c r="B53" s="207" t="s">
        <v>743</v>
      </c>
      <c r="C53" s="224">
        <v>51</v>
      </c>
      <c r="D53" s="33" t="s">
        <v>418</v>
      </c>
      <c r="F53" s="157"/>
      <c r="N53" s="327" t="s">
        <v>199</v>
      </c>
      <c r="O53" s="317" t="s">
        <v>189</v>
      </c>
      <c r="P53" s="117" t="str">
        <f t="shared" si="0"/>
        <v>H50: Install Urban Variable Speed Limit Signs</v>
      </c>
      <c r="Q53" s="337" t="s">
        <v>76</v>
      </c>
      <c r="R53" s="337" t="s">
        <v>76</v>
      </c>
      <c r="S53" s="337">
        <v>10</v>
      </c>
      <c r="T53" s="340" t="s">
        <v>150</v>
      </c>
      <c r="U53" s="341" t="s">
        <v>107</v>
      </c>
      <c r="V53" s="149">
        <v>0.08</v>
      </c>
      <c r="W53" s="144">
        <f t="shared" si="1"/>
        <v>0.08</v>
      </c>
      <c r="X53" s="144">
        <f t="shared" si="2"/>
        <v>0.08</v>
      </c>
    </row>
    <row r="54" spans="2:24" ht="30" x14ac:dyDescent="0.2">
      <c r="B54" s="207" t="s">
        <v>744</v>
      </c>
      <c r="C54" s="224">
        <v>52</v>
      </c>
      <c r="D54" s="33" t="s">
        <v>419</v>
      </c>
      <c r="F54" s="157"/>
      <c r="N54" s="328" t="s">
        <v>201</v>
      </c>
      <c r="O54" s="330" t="s">
        <v>190</v>
      </c>
      <c r="P54" s="117" t="str">
        <f t="shared" si="0"/>
        <v>H51: Install Urban Variable Speed Limit Signs with Queue/Weather Warning System</v>
      </c>
      <c r="Q54" s="338" t="s">
        <v>76</v>
      </c>
      <c r="R54" s="338" t="s">
        <v>76</v>
      </c>
      <c r="S54" s="338">
        <v>10</v>
      </c>
      <c r="T54" s="338" t="s">
        <v>150</v>
      </c>
      <c r="U54" s="345" t="s">
        <v>117</v>
      </c>
      <c r="V54" s="151">
        <v>0.14000000000000001</v>
      </c>
      <c r="W54" s="144">
        <f t="shared" si="1"/>
        <v>0.14000000000000001</v>
      </c>
      <c r="X54" s="144">
        <f t="shared" si="2"/>
        <v>0.14000000000000001</v>
      </c>
    </row>
    <row r="55" spans="2:24" ht="15.75" x14ac:dyDescent="0.2">
      <c r="B55" s="207" t="s">
        <v>745</v>
      </c>
      <c r="C55" s="224">
        <v>53</v>
      </c>
      <c r="D55" s="33" t="s">
        <v>420</v>
      </c>
      <c r="F55" s="157"/>
      <c r="N55" s="325" t="s">
        <v>203</v>
      </c>
      <c r="O55" s="317" t="s">
        <v>192</v>
      </c>
      <c r="P55" s="117" t="str">
        <f t="shared" si="0"/>
        <v>H52: Install Rural Variable Speed Limit Signs</v>
      </c>
      <c r="Q55" s="339" t="s">
        <v>76</v>
      </c>
      <c r="R55" s="337" t="s">
        <v>76</v>
      </c>
      <c r="S55" s="337">
        <v>10</v>
      </c>
      <c r="T55" s="340" t="s">
        <v>150</v>
      </c>
      <c r="U55" s="341" t="s">
        <v>6</v>
      </c>
      <c r="V55" s="149">
        <v>0.2</v>
      </c>
      <c r="W55" s="144">
        <f t="shared" si="1"/>
        <v>0.2</v>
      </c>
      <c r="X55" s="144">
        <f t="shared" si="2"/>
        <v>0.2</v>
      </c>
    </row>
    <row r="56" spans="2:24" ht="30" x14ac:dyDescent="0.2">
      <c r="B56" s="207" t="s">
        <v>746</v>
      </c>
      <c r="C56" s="224">
        <v>54</v>
      </c>
      <c r="D56" s="33" t="s">
        <v>421</v>
      </c>
      <c r="F56" s="157"/>
      <c r="N56" s="328" t="s">
        <v>205</v>
      </c>
      <c r="O56" s="317" t="s">
        <v>195</v>
      </c>
      <c r="P56" s="117" t="str">
        <f t="shared" si="0"/>
        <v>H53: Convert 4-Lane Roadway to 3-Lane Roadway with Center Turn Lane (Road Diet)</v>
      </c>
      <c r="Q56" s="337" t="s">
        <v>76</v>
      </c>
      <c r="R56" s="337" t="s">
        <v>76</v>
      </c>
      <c r="S56" s="337">
        <v>20</v>
      </c>
      <c r="T56" s="340" t="s">
        <v>150</v>
      </c>
      <c r="U56" s="341" t="s">
        <v>107</v>
      </c>
      <c r="V56" s="149">
        <v>0.28999999999999998</v>
      </c>
      <c r="W56" s="144">
        <f t="shared" si="1"/>
        <v>0.28999999999999998</v>
      </c>
      <c r="X56" s="144">
        <f t="shared" si="2"/>
        <v>0.28999999999999998</v>
      </c>
    </row>
    <row r="57" spans="2:24" ht="15.75" x14ac:dyDescent="0.2">
      <c r="B57" s="207" t="s">
        <v>747</v>
      </c>
      <c r="C57" s="224">
        <v>58</v>
      </c>
      <c r="D57" s="33" t="s">
        <v>422</v>
      </c>
      <c r="F57" s="157"/>
      <c r="N57" s="325" t="s">
        <v>208</v>
      </c>
      <c r="O57" s="317" t="s">
        <v>197</v>
      </c>
      <c r="P57" s="117" t="str">
        <f t="shared" si="0"/>
        <v>H54: Install Truck Escape Ramp</v>
      </c>
      <c r="Q57" s="342" t="s">
        <v>198</v>
      </c>
      <c r="R57" s="337" t="s">
        <v>76</v>
      </c>
      <c r="S57" s="337">
        <v>20</v>
      </c>
      <c r="T57" s="340" t="s">
        <v>150</v>
      </c>
      <c r="U57" s="352" t="s">
        <v>94</v>
      </c>
      <c r="V57" s="149">
        <v>0.2</v>
      </c>
      <c r="W57" s="144">
        <f t="shared" si="1"/>
        <v>0.2</v>
      </c>
      <c r="X57" s="144">
        <f t="shared" si="2"/>
        <v>0.2</v>
      </c>
    </row>
    <row r="58" spans="2:24" ht="15.75" x14ac:dyDescent="0.2">
      <c r="B58" s="207" t="s">
        <v>748</v>
      </c>
      <c r="C58" s="224">
        <v>60</v>
      </c>
      <c r="D58" s="209" t="s">
        <v>596</v>
      </c>
      <c r="F58" s="157"/>
      <c r="N58" s="327" t="s">
        <v>209</v>
      </c>
      <c r="O58" s="330" t="s">
        <v>200</v>
      </c>
      <c r="P58" s="117" t="str">
        <f t="shared" si="0"/>
        <v>H55: Install Guide Signs</v>
      </c>
      <c r="Q58" s="344" t="s">
        <v>76</v>
      </c>
      <c r="R58" s="344" t="s">
        <v>76</v>
      </c>
      <c r="S58" s="344">
        <v>20</v>
      </c>
      <c r="T58" s="338" t="s">
        <v>150</v>
      </c>
      <c r="U58" s="352" t="s">
        <v>94</v>
      </c>
      <c r="V58" s="150">
        <v>0.15</v>
      </c>
      <c r="W58" s="144">
        <f t="shared" si="1"/>
        <v>0.15</v>
      </c>
      <c r="X58" s="144">
        <f t="shared" si="2"/>
        <v>0.15</v>
      </c>
    </row>
    <row r="59" spans="2:24" ht="30" x14ac:dyDescent="0.2">
      <c r="B59" s="207" t="s">
        <v>749</v>
      </c>
      <c r="C59" s="224">
        <v>61</v>
      </c>
      <c r="D59" s="33" t="s">
        <v>423</v>
      </c>
      <c r="F59" s="157"/>
      <c r="N59" s="328" t="s">
        <v>638</v>
      </c>
      <c r="O59" s="330" t="s">
        <v>202</v>
      </c>
      <c r="P59" s="117" t="str">
        <f t="shared" si="0"/>
        <v>H56: Provide an Auxiliary Lane Between an Entrance Ramp and Exit Ramp (Freeway Interchange)</v>
      </c>
      <c r="Q59" s="344" t="s">
        <v>76</v>
      </c>
      <c r="R59" s="344" t="s">
        <v>76</v>
      </c>
      <c r="S59" s="344">
        <v>20</v>
      </c>
      <c r="T59" s="338" t="s">
        <v>150</v>
      </c>
      <c r="U59" s="352" t="s">
        <v>94</v>
      </c>
      <c r="V59" s="150">
        <v>0.2</v>
      </c>
      <c r="W59" s="144">
        <f t="shared" si="1"/>
        <v>0.2</v>
      </c>
      <c r="X59" s="144">
        <f t="shared" si="2"/>
        <v>0.2</v>
      </c>
    </row>
    <row r="60" spans="2:24" ht="30" x14ac:dyDescent="0.2">
      <c r="B60" s="207" t="s">
        <v>750</v>
      </c>
      <c r="C60" s="224">
        <v>62</v>
      </c>
      <c r="D60" s="33" t="s">
        <v>424</v>
      </c>
      <c r="F60" s="157"/>
      <c r="N60" s="325" t="s">
        <v>639</v>
      </c>
      <c r="O60" s="332" t="s">
        <v>204</v>
      </c>
      <c r="P60" s="117" t="str">
        <f t="shared" si="0"/>
        <v>H57: Extend Deceleration Lane by Approximately 100 ft (Freeway Interchange)</v>
      </c>
      <c r="Q60" s="344" t="s">
        <v>76</v>
      </c>
      <c r="R60" s="344" t="s">
        <v>76</v>
      </c>
      <c r="S60" s="344">
        <v>20</v>
      </c>
      <c r="T60" s="338" t="s">
        <v>150</v>
      </c>
      <c r="U60" s="352" t="s">
        <v>94</v>
      </c>
      <c r="V60" s="150">
        <v>7.0000000000000007E-2</v>
      </c>
      <c r="W60" s="144">
        <f t="shared" si="1"/>
        <v>7.0000000000000007E-2</v>
      </c>
      <c r="X60" s="144">
        <f t="shared" si="2"/>
        <v>7.0000000000000007E-2</v>
      </c>
    </row>
    <row r="61" spans="2:24" ht="30" x14ac:dyDescent="0.2">
      <c r="B61" s="207" t="s">
        <v>751</v>
      </c>
      <c r="C61" s="224">
        <v>63</v>
      </c>
      <c r="D61" s="33" t="s">
        <v>425</v>
      </c>
      <c r="F61" s="157"/>
      <c r="N61" s="327" t="s">
        <v>640</v>
      </c>
      <c r="O61" s="332" t="s">
        <v>206</v>
      </c>
      <c r="P61" s="117" t="str">
        <f t="shared" si="0"/>
        <v>H58: Extend Acceleration Lane by Approximately 100 ft (Freeway Interchange)</v>
      </c>
      <c r="Q61" s="344" t="s">
        <v>76</v>
      </c>
      <c r="R61" s="344" t="s">
        <v>76</v>
      </c>
      <c r="S61" s="344">
        <v>20</v>
      </c>
      <c r="T61" s="338" t="s">
        <v>150</v>
      </c>
      <c r="U61" s="352" t="s">
        <v>94</v>
      </c>
      <c r="V61" s="150">
        <v>0.11</v>
      </c>
      <c r="W61" s="144">
        <f t="shared" si="1"/>
        <v>0.11</v>
      </c>
      <c r="X61" s="144">
        <f t="shared" si="2"/>
        <v>0.11</v>
      </c>
    </row>
    <row r="62" spans="2:24" ht="15.75" x14ac:dyDescent="0.2">
      <c r="B62" s="207" t="s">
        <v>752</v>
      </c>
      <c r="C62" s="224">
        <v>64</v>
      </c>
      <c r="D62" s="209" t="s">
        <v>597</v>
      </c>
      <c r="F62" s="157"/>
      <c r="N62" s="328" t="s">
        <v>691</v>
      </c>
      <c r="O62" s="332" t="s">
        <v>207</v>
      </c>
      <c r="P62" s="117" t="str">
        <f t="shared" si="0"/>
        <v>H59: Add Acceleration Lane (Interchange)</v>
      </c>
      <c r="Q62" s="344" t="s">
        <v>76</v>
      </c>
      <c r="R62" s="344" t="s">
        <v>76</v>
      </c>
      <c r="S62" s="344">
        <v>20</v>
      </c>
      <c r="T62" s="338" t="s">
        <v>150</v>
      </c>
      <c r="U62" s="352" t="s">
        <v>94</v>
      </c>
      <c r="V62" s="152" t="s">
        <v>624</v>
      </c>
      <c r="W62" s="144" t="str">
        <f t="shared" si="1"/>
        <v>#</v>
      </c>
      <c r="X62" s="144" t="str">
        <f t="shared" si="2"/>
        <v>#</v>
      </c>
    </row>
    <row r="63" spans="2:24" ht="30" x14ac:dyDescent="0.2">
      <c r="B63" s="207" t="s">
        <v>753</v>
      </c>
      <c r="C63" s="224">
        <v>66</v>
      </c>
      <c r="D63" s="33" t="s">
        <v>426</v>
      </c>
      <c r="F63" s="157"/>
      <c r="N63" s="325" t="s">
        <v>844</v>
      </c>
      <c r="O63" s="332" t="s">
        <v>845</v>
      </c>
      <c r="P63" s="117" t="str">
        <f t="shared" si="0"/>
        <v>H60: Reduce Intersection Skew Angle (Minor Street Stop-Controlled Intersections Only) on 3-Leg intersection</v>
      </c>
      <c r="Q63" s="344" t="s">
        <v>76</v>
      </c>
      <c r="R63" s="344" t="s">
        <v>76</v>
      </c>
      <c r="S63" s="344">
        <v>20</v>
      </c>
      <c r="T63" s="338" t="s">
        <v>887</v>
      </c>
      <c r="U63" s="345" t="s">
        <v>6</v>
      </c>
      <c r="V63" s="150" t="s">
        <v>624</v>
      </c>
      <c r="W63" s="144" t="str">
        <f t="shared" si="1"/>
        <v>#</v>
      </c>
      <c r="X63" s="144" t="str">
        <f t="shared" si="2"/>
        <v>#</v>
      </c>
    </row>
    <row r="64" spans="2:24" ht="30" x14ac:dyDescent="0.2">
      <c r="B64" s="207" t="s">
        <v>754</v>
      </c>
      <c r="C64" s="224">
        <v>67</v>
      </c>
      <c r="D64" s="33" t="s">
        <v>427</v>
      </c>
      <c r="F64" s="157"/>
      <c r="N64" s="327" t="s">
        <v>846</v>
      </c>
      <c r="O64" s="332" t="s">
        <v>847</v>
      </c>
      <c r="P64" s="117" t="str">
        <f t="shared" si="0"/>
        <v>H61: Reduce Intersection Skew Angle (Minor Street Stop-Controlled Intersections Only) on 4-Leg intersection</v>
      </c>
      <c r="Q64" s="344" t="s">
        <v>76</v>
      </c>
      <c r="R64" s="344" t="s">
        <v>76</v>
      </c>
      <c r="S64" s="344">
        <v>20</v>
      </c>
      <c r="T64" s="338" t="s">
        <v>887</v>
      </c>
      <c r="U64" s="345" t="s">
        <v>6</v>
      </c>
      <c r="V64" s="150" t="s">
        <v>624</v>
      </c>
      <c r="W64" s="144" t="str">
        <f t="shared" si="1"/>
        <v>#</v>
      </c>
      <c r="X64" s="144" t="str">
        <f t="shared" si="2"/>
        <v>#</v>
      </c>
    </row>
    <row r="65" spans="2:24" ht="15.75" x14ac:dyDescent="0.2">
      <c r="B65" s="207" t="s">
        <v>755</v>
      </c>
      <c r="C65" s="224">
        <v>68</v>
      </c>
      <c r="D65" s="33" t="s">
        <v>428</v>
      </c>
      <c r="F65" s="157"/>
      <c r="N65" s="328" t="s">
        <v>848</v>
      </c>
      <c r="O65" s="332" t="s">
        <v>210</v>
      </c>
      <c r="P65" s="117" t="str">
        <f t="shared" si="0"/>
        <v>H62: Truck Priority System (Detection)</v>
      </c>
      <c r="Q65" s="343" t="s">
        <v>211</v>
      </c>
      <c r="R65" s="344" t="s">
        <v>76</v>
      </c>
      <c r="S65" s="344">
        <v>10</v>
      </c>
      <c r="T65" s="340" t="s">
        <v>888</v>
      </c>
      <c r="U65" s="352" t="s">
        <v>94</v>
      </c>
      <c r="V65" s="150">
        <v>0.09</v>
      </c>
      <c r="W65" s="144">
        <f t="shared" si="1"/>
        <v>0.09</v>
      </c>
      <c r="X65" s="144">
        <f t="shared" si="2"/>
        <v>0.09</v>
      </c>
    </row>
    <row r="66" spans="2:24" ht="15.75" x14ac:dyDescent="0.2">
      <c r="B66" s="207" t="s">
        <v>756</v>
      </c>
      <c r="C66" s="224">
        <v>69</v>
      </c>
      <c r="D66" s="33" t="s">
        <v>429</v>
      </c>
      <c r="F66" s="157"/>
      <c r="N66" s="325" t="s">
        <v>849</v>
      </c>
      <c r="O66" s="332" t="s">
        <v>641</v>
      </c>
      <c r="P66" s="117" t="str">
        <f t="shared" si="0"/>
        <v>H63: Dual/Double Left Turn Lanes</v>
      </c>
      <c r="Q66" s="344" t="s">
        <v>76</v>
      </c>
      <c r="R66" s="337" t="s">
        <v>885</v>
      </c>
      <c r="S66" s="344">
        <v>20</v>
      </c>
      <c r="T66" s="340" t="s">
        <v>888</v>
      </c>
      <c r="U66" s="352" t="s">
        <v>94</v>
      </c>
      <c r="V66" s="150">
        <v>0.28999999999999998</v>
      </c>
      <c r="W66" s="144">
        <f t="shared" si="1"/>
        <v>0.28999999999999998</v>
      </c>
      <c r="X66" s="144">
        <f t="shared" si="2"/>
        <v>0</v>
      </c>
    </row>
    <row r="67" spans="2:24" ht="15.75" x14ac:dyDescent="0.2">
      <c r="B67" s="207" t="s">
        <v>757</v>
      </c>
      <c r="C67" s="224">
        <v>70</v>
      </c>
      <c r="D67" s="33" t="s">
        <v>430</v>
      </c>
      <c r="F67" s="157"/>
      <c r="N67" s="327" t="s">
        <v>850</v>
      </c>
      <c r="O67" s="332" t="s">
        <v>642</v>
      </c>
      <c r="P67" s="117" t="str">
        <f t="shared" si="0"/>
        <v>H64: Convert Two-Way Left-Turn Lane to Raised Median</v>
      </c>
      <c r="Q67" s="344" t="s">
        <v>76</v>
      </c>
      <c r="R67" s="344" t="s">
        <v>76</v>
      </c>
      <c r="S67" s="344">
        <v>20</v>
      </c>
      <c r="T67" s="338" t="s">
        <v>150</v>
      </c>
      <c r="U67" s="352" t="s">
        <v>94</v>
      </c>
      <c r="V67" s="150">
        <v>0.47</v>
      </c>
      <c r="W67" s="144">
        <f t="shared" si="1"/>
        <v>0.47</v>
      </c>
      <c r="X67" s="144">
        <f t="shared" si="2"/>
        <v>0.47</v>
      </c>
    </row>
    <row r="68" spans="2:24" ht="15.75" x14ac:dyDescent="0.2">
      <c r="B68" s="207" t="s">
        <v>758</v>
      </c>
      <c r="C68" s="224">
        <v>71</v>
      </c>
      <c r="D68" s="33" t="s">
        <v>431</v>
      </c>
      <c r="F68" s="157"/>
      <c r="N68" s="328" t="s">
        <v>851</v>
      </c>
      <c r="O68" s="332" t="s">
        <v>643</v>
      </c>
      <c r="P68" s="117" t="str">
        <f t="shared" si="0"/>
        <v>H65: Install offset (buffered) right turn lane</v>
      </c>
      <c r="Q68" s="343" t="s">
        <v>644</v>
      </c>
      <c r="R68" s="344" t="s">
        <v>76</v>
      </c>
      <c r="S68" s="344">
        <v>20</v>
      </c>
      <c r="T68" s="338" t="s">
        <v>150</v>
      </c>
      <c r="U68" s="345" t="s">
        <v>6</v>
      </c>
      <c r="V68" s="150">
        <v>0.69</v>
      </c>
      <c r="W68" s="144">
        <f t="shared" si="1"/>
        <v>0.69</v>
      </c>
      <c r="X68" s="144">
        <f t="shared" si="2"/>
        <v>0.69</v>
      </c>
    </row>
    <row r="69" spans="2:24" ht="15.75" x14ac:dyDescent="0.2">
      <c r="B69" s="207" t="s">
        <v>759</v>
      </c>
      <c r="C69" s="224">
        <v>72</v>
      </c>
      <c r="D69" s="33" t="s">
        <v>432</v>
      </c>
      <c r="F69" s="157"/>
      <c r="N69" s="325" t="s">
        <v>852</v>
      </c>
      <c r="O69" s="332" t="s">
        <v>666</v>
      </c>
      <c r="P69" s="117" t="str">
        <f t="shared" si="0"/>
        <v>H66: Install Speed Humps/Table (not on state highways)</v>
      </c>
      <c r="Q69" s="344" t="s">
        <v>76</v>
      </c>
      <c r="R69" s="344" t="s">
        <v>76</v>
      </c>
      <c r="S69" s="344">
        <v>20</v>
      </c>
      <c r="T69" s="338" t="s">
        <v>150</v>
      </c>
      <c r="U69" s="345" t="s">
        <v>107</v>
      </c>
      <c r="V69" s="149">
        <v>0.5</v>
      </c>
      <c r="W69" s="144">
        <f t="shared" si="1"/>
        <v>0.5</v>
      </c>
      <c r="X69" s="144">
        <f t="shared" si="2"/>
        <v>0.5</v>
      </c>
    </row>
    <row r="70" spans="2:24" ht="25.5" x14ac:dyDescent="0.2">
      <c r="B70" s="207" t="s">
        <v>760</v>
      </c>
      <c r="C70" s="224">
        <v>75</v>
      </c>
      <c r="D70" s="33" t="s">
        <v>433</v>
      </c>
      <c r="F70" s="157"/>
      <c r="N70" s="327" t="s">
        <v>212</v>
      </c>
      <c r="O70" s="317" t="s">
        <v>146</v>
      </c>
      <c r="P70" s="117" t="str">
        <f t="shared" si="0"/>
        <v>I1: Install Lighting at Intersection</v>
      </c>
      <c r="Q70" s="342" t="s">
        <v>147</v>
      </c>
      <c r="R70" s="337" t="s">
        <v>885</v>
      </c>
      <c r="S70" s="337">
        <v>20</v>
      </c>
      <c r="T70" s="336" t="s">
        <v>886</v>
      </c>
      <c r="U70" s="352" t="s">
        <v>94</v>
      </c>
      <c r="V70" s="150">
        <v>0.38</v>
      </c>
      <c r="W70" s="144">
        <f t="shared" si="1"/>
        <v>0.38</v>
      </c>
      <c r="X70" s="144">
        <f t="shared" si="2"/>
        <v>0</v>
      </c>
    </row>
    <row r="71" spans="2:24" ht="30" x14ac:dyDescent="0.2">
      <c r="B71" s="207" t="s">
        <v>761</v>
      </c>
      <c r="C71" s="224">
        <v>81</v>
      </c>
      <c r="D71" s="33" t="s">
        <v>434</v>
      </c>
      <c r="F71" s="157"/>
      <c r="N71" s="356" t="s">
        <v>73</v>
      </c>
      <c r="O71" s="329" t="s">
        <v>899</v>
      </c>
      <c r="P71" s="117" t="str">
        <f t="shared" ref="P71:P79" si="3">(N71&amp;":"&amp;" "&amp;O71)</f>
        <v>I2: (2 CMs):  Improve Signal Hardware: Lenses, Reflectorized Back plates, Size, and Number</v>
      </c>
      <c r="Q71" s="337" t="s">
        <v>76</v>
      </c>
      <c r="R71" s="337" t="s">
        <v>76</v>
      </c>
      <c r="S71" s="337">
        <v>20</v>
      </c>
      <c r="T71" s="340" t="s">
        <v>888</v>
      </c>
      <c r="U71" s="352" t="s">
        <v>94</v>
      </c>
      <c r="V71" s="150">
        <v>0.2</v>
      </c>
      <c r="W71" s="144">
        <f t="shared" ref="W71:W79" si="4">V71</f>
        <v>0.2</v>
      </c>
      <c r="X71" s="144">
        <f t="shared" ref="X71:X79" si="5">IF(R71="all",V71,0)</f>
        <v>0.2</v>
      </c>
    </row>
    <row r="72" spans="2:24" ht="30" x14ac:dyDescent="0.2">
      <c r="B72" s="207" t="s">
        <v>762</v>
      </c>
      <c r="C72" s="224">
        <v>91</v>
      </c>
      <c r="D72" s="33" t="s">
        <v>435</v>
      </c>
      <c r="F72" s="157"/>
      <c r="N72" s="356" t="s">
        <v>73</v>
      </c>
      <c r="O72" s="329" t="s">
        <v>900</v>
      </c>
      <c r="P72" s="117" t="str">
        <f t="shared" si="3"/>
        <v>I2: (3 - 4 CMs): Improve Signal Hardware: Lenses, Reflectorized Back plates, Size, and Number</v>
      </c>
      <c r="Q72" s="337" t="s">
        <v>76</v>
      </c>
      <c r="R72" s="337" t="s">
        <v>76</v>
      </c>
      <c r="S72" s="337">
        <v>20</v>
      </c>
      <c r="T72" s="340" t="s">
        <v>888</v>
      </c>
      <c r="U72" s="352" t="s">
        <v>94</v>
      </c>
      <c r="V72" s="150">
        <v>0.25</v>
      </c>
      <c r="W72" s="144">
        <f t="shared" si="4"/>
        <v>0.25</v>
      </c>
      <c r="X72" s="144">
        <f t="shared" si="5"/>
        <v>0.25</v>
      </c>
    </row>
    <row r="73" spans="2:24" ht="30" x14ac:dyDescent="0.2">
      <c r="B73" s="207" t="s">
        <v>763</v>
      </c>
      <c r="C73" s="224">
        <v>92</v>
      </c>
      <c r="D73" s="33" t="s">
        <v>436</v>
      </c>
      <c r="F73" s="157"/>
      <c r="N73" s="356" t="s">
        <v>73</v>
      </c>
      <c r="O73" s="329" t="s">
        <v>901</v>
      </c>
      <c r="P73" s="117" t="str">
        <f t="shared" si="3"/>
        <v>I2: (5 - 6 CMs): Improve Signal Hardware: Lenses, Reflectorized Back plates, Size, and Number</v>
      </c>
      <c r="Q73" s="337" t="s">
        <v>76</v>
      </c>
      <c r="R73" s="337" t="s">
        <v>76</v>
      </c>
      <c r="S73" s="337">
        <v>20</v>
      </c>
      <c r="T73" s="340" t="s">
        <v>888</v>
      </c>
      <c r="U73" s="352" t="s">
        <v>94</v>
      </c>
      <c r="V73" s="150">
        <v>0.3</v>
      </c>
      <c r="W73" s="144">
        <f t="shared" si="4"/>
        <v>0.3</v>
      </c>
      <c r="X73" s="144">
        <f t="shared" si="5"/>
        <v>0.3</v>
      </c>
    </row>
    <row r="74" spans="2:24" ht="15.75" x14ac:dyDescent="0.2">
      <c r="B74" s="207" t="s">
        <v>764</v>
      </c>
      <c r="C74" s="224">
        <v>100</v>
      </c>
      <c r="D74" s="209" t="s">
        <v>599</v>
      </c>
      <c r="F74" s="157"/>
      <c r="N74" s="327" t="s">
        <v>213</v>
      </c>
      <c r="O74" s="330" t="s">
        <v>645</v>
      </c>
      <c r="P74" s="117" t="str">
        <f t="shared" si="3"/>
        <v>I3: Add 3-inch yellow retroreflective sheeting to signal backplates</v>
      </c>
      <c r="Q74" s="344" t="s">
        <v>76</v>
      </c>
      <c r="R74" s="344" t="s">
        <v>76</v>
      </c>
      <c r="S74" s="344">
        <v>10</v>
      </c>
      <c r="T74" s="340" t="s">
        <v>888</v>
      </c>
      <c r="U74" s="345" t="s">
        <v>107</v>
      </c>
      <c r="V74" s="150">
        <v>0.15</v>
      </c>
      <c r="W74" s="144">
        <f t="shared" si="4"/>
        <v>0.15</v>
      </c>
      <c r="X74" s="144">
        <f t="shared" si="5"/>
        <v>0.15</v>
      </c>
    </row>
    <row r="75" spans="2:24" ht="15.75" x14ac:dyDescent="0.2">
      <c r="B75" s="207" t="s">
        <v>765</v>
      </c>
      <c r="C75" s="224">
        <v>102</v>
      </c>
      <c r="D75" s="33" t="s">
        <v>437</v>
      </c>
      <c r="F75" s="157"/>
      <c r="N75" s="327" t="s">
        <v>216</v>
      </c>
      <c r="O75" s="330" t="s">
        <v>646</v>
      </c>
      <c r="P75" s="117" t="str">
        <f t="shared" si="3"/>
        <v>I4: Replace 8-inch red signal heads with 12-inch</v>
      </c>
      <c r="Q75" s="343" t="s">
        <v>133</v>
      </c>
      <c r="R75" s="344" t="s">
        <v>76</v>
      </c>
      <c r="S75" s="344">
        <v>10</v>
      </c>
      <c r="T75" s="340" t="s">
        <v>888</v>
      </c>
      <c r="U75" s="352" t="s">
        <v>94</v>
      </c>
      <c r="V75" s="150">
        <v>0.42</v>
      </c>
      <c r="W75" s="144">
        <f t="shared" si="4"/>
        <v>0.42</v>
      </c>
      <c r="X75" s="144">
        <f t="shared" si="5"/>
        <v>0.42</v>
      </c>
    </row>
    <row r="76" spans="2:24" ht="15.75" x14ac:dyDescent="0.2">
      <c r="B76" s="207" t="s">
        <v>766</v>
      </c>
      <c r="C76" s="224">
        <v>103</v>
      </c>
      <c r="D76" s="33" t="s">
        <v>438</v>
      </c>
      <c r="F76" s="157"/>
      <c r="N76" s="327" t="s">
        <v>218</v>
      </c>
      <c r="O76" s="330" t="s">
        <v>647</v>
      </c>
      <c r="P76" s="117" t="str">
        <f t="shared" si="3"/>
        <v>I5: Increase Signal Head Quantity - Additional Primary Head</v>
      </c>
      <c r="Q76" s="344" t="s">
        <v>76</v>
      </c>
      <c r="R76" s="344" t="s">
        <v>76</v>
      </c>
      <c r="S76" s="344">
        <v>10</v>
      </c>
      <c r="T76" s="340" t="s">
        <v>888</v>
      </c>
      <c r="U76" s="345" t="s">
        <v>107</v>
      </c>
      <c r="V76" s="150">
        <v>0.28000000000000003</v>
      </c>
      <c r="W76" s="144">
        <f t="shared" si="4"/>
        <v>0.28000000000000003</v>
      </c>
      <c r="X76" s="144">
        <f t="shared" si="5"/>
        <v>0.28000000000000003</v>
      </c>
    </row>
    <row r="77" spans="2:24" ht="30" x14ac:dyDescent="0.2">
      <c r="B77" s="207" t="s">
        <v>767</v>
      </c>
      <c r="C77" s="224">
        <v>104</v>
      </c>
      <c r="D77" s="33" t="s">
        <v>49</v>
      </c>
      <c r="F77" s="157"/>
      <c r="N77" s="327" t="s">
        <v>74</v>
      </c>
      <c r="O77" s="330" t="s">
        <v>648</v>
      </c>
      <c r="P77" s="117" t="str">
        <f t="shared" si="3"/>
        <v>I6: Replace Incandescent Traffic Signal Bulbs with Light Emitting Diodes (LEDs)</v>
      </c>
      <c r="Q77" s="343" t="s">
        <v>889</v>
      </c>
      <c r="R77" s="344" t="s">
        <v>76</v>
      </c>
      <c r="S77" s="344">
        <v>10</v>
      </c>
      <c r="T77" s="340" t="s">
        <v>888</v>
      </c>
      <c r="U77" s="345" t="s">
        <v>107</v>
      </c>
      <c r="V77" s="150">
        <v>0.17</v>
      </c>
      <c r="W77" s="144">
        <f t="shared" si="4"/>
        <v>0.17</v>
      </c>
      <c r="X77" s="144">
        <f t="shared" si="5"/>
        <v>0.17</v>
      </c>
    </row>
    <row r="78" spans="2:24" ht="30" customHeight="1" x14ac:dyDescent="0.2">
      <c r="B78" s="207" t="s">
        <v>768</v>
      </c>
      <c r="C78" s="224">
        <v>105</v>
      </c>
      <c r="D78" s="33" t="s">
        <v>439</v>
      </c>
      <c r="F78" s="157"/>
      <c r="N78" s="327" t="s">
        <v>220</v>
      </c>
      <c r="O78" s="330" t="s">
        <v>649</v>
      </c>
      <c r="P78" s="117" t="str">
        <f t="shared" si="3"/>
        <v>I7: Replace night time flash with stead operation</v>
      </c>
      <c r="Q78" s="344" t="s">
        <v>76</v>
      </c>
      <c r="R78" s="344" t="s">
        <v>76</v>
      </c>
      <c r="S78" s="344">
        <v>10</v>
      </c>
      <c r="T78" s="340" t="s">
        <v>888</v>
      </c>
      <c r="U78" s="352" t="s">
        <v>94</v>
      </c>
      <c r="V78" s="150">
        <v>0.48</v>
      </c>
      <c r="W78" s="144">
        <f t="shared" si="4"/>
        <v>0.48</v>
      </c>
      <c r="X78" s="144">
        <f t="shared" si="5"/>
        <v>0.48</v>
      </c>
    </row>
    <row r="79" spans="2:24" ht="15.75" x14ac:dyDescent="0.2">
      <c r="B79" s="207" t="s">
        <v>769</v>
      </c>
      <c r="C79" s="224">
        <v>110</v>
      </c>
      <c r="D79" s="33" t="s">
        <v>440</v>
      </c>
      <c r="F79" s="157"/>
      <c r="N79" s="327" t="s">
        <v>222</v>
      </c>
      <c r="O79" s="329" t="s">
        <v>214</v>
      </c>
      <c r="P79" s="117" t="str">
        <f t="shared" si="3"/>
        <v>I8: Replace Doghouse with Flashing Yellow Arrow Signal Heads</v>
      </c>
      <c r="Q79" s="342" t="s">
        <v>215</v>
      </c>
      <c r="R79" s="337" t="s">
        <v>76</v>
      </c>
      <c r="S79" s="337">
        <v>20</v>
      </c>
      <c r="T79" s="340" t="s">
        <v>888</v>
      </c>
      <c r="U79" s="352" t="s">
        <v>94</v>
      </c>
      <c r="V79" s="150">
        <v>0.25</v>
      </c>
      <c r="W79" s="144">
        <f t="shared" si="4"/>
        <v>0.25</v>
      </c>
      <c r="X79" s="144">
        <f t="shared" si="5"/>
        <v>0.25</v>
      </c>
    </row>
    <row r="80" spans="2:24" ht="45.75" customHeight="1" x14ac:dyDescent="0.2">
      <c r="B80" s="207" t="s">
        <v>770</v>
      </c>
      <c r="C80" s="224">
        <v>120</v>
      </c>
      <c r="D80" s="33" t="s">
        <v>352</v>
      </c>
      <c r="F80" s="157"/>
      <c r="N80" s="327" t="s">
        <v>224</v>
      </c>
      <c r="O80" s="329" t="s">
        <v>217</v>
      </c>
      <c r="P80" s="117" t="str">
        <f t="shared" ref="P80:P107" si="6">(N80&amp;":"&amp;" "&amp;O80)</f>
        <v>I9: Replace Urban Permissive or Protected/Permissive Left Turns to Protected Only</v>
      </c>
      <c r="Q80" s="342" t="s">
        <v>215</v>
      </c>
      <c r="R80" s="337" t="s">
        <v>76</v>
      </c>
      <c r="S80" s="337">
        <v>20</v>
      </c>
      <c r="T80" s="340" t="s">
        <v>888</v>
      </c>
      <c r="U80" s="341" t="s">
        <v>107</v>
      </c>
      <c r="V80" s="149">
        <v>0.99</v>
      </c>
      <c r="W80" s="144">
        <f>V80</f>
        <v>0.99</v>
      </c>
      <c r="X80" s="144">
        <f>IF(R80="all",V80,0)</f>
        <v>0.99</v>
      </c>
    </row>
    <row r="81" spans="2:24" ht="15.75" x14ac:dyDescent="0.2">
      <c r="B81" s="207" t="s">
        <v>771</v>
      </c>
      <c r="C81" s="224">
        <v>123</v>
      </c>
      <c r="D81" s="33" t="s">
        <v>441</v>
      </c>
      <c r="F81" s="157"/>
      <c r="N81" s="327" t="s">
        <v>226</v>
      </c>
      <c r="O81" s="330" t="s">
        <v>853</v>
      </c>
      <c r="P81" s="117" t="str">
        <f t="shared" si="6"/>
        <v>I10: Protected Left Turn - Split Side Street Signal Phasing</v>
      </c>
      <c r="Q81" s="343" t="s">
        <v>215</v>
      </c>
      <c r="R81" s="344" t="s">
        <v>76</v>
      </c>
      <c r="S81" s="344">
        <v>10</v>
      </c>
      <c r="T81" s="340" t="s">
        <v>888</v>
      </c>
      <c r="U81" s="352" t="s">
        <v>94</v>
      </c>
      <c r="V81" s="149">
        <v>0.7</v>
      </c>
      <c r="W81" s="144">
        <f>V81</f>
        <v>0.7</v>
      </c>
      <c r="X81" s="144">
        <f>IF(R81="all",V81,0)</f>
        <v>0.7</v>
      </c>
    </row>
    <row r="82" spans="2:24" ht="15.75" x14ac:dyDescent="0.2">
      <c r="B82" s="207" t="s">
        <v>772</v>
      </c>
      <c r="C82" s="224">
        <v>130</v>
      </c>
      <c r="D82" s="33" t="s">
        <v>442</v>
      </c>
      <c r="F82" s="157"/>
      <c r="N82" s="327" t="s">
        <v>228</v>
      </c>
      <c r="O82" s="329" t="s">
        <v>219</v>
      </c>
      <c r="P82" s="117" t="str">
        <f t="shared" si="6"/>
        <v>I11: Replace Urban Permissive Left Turns to Protected/Permissive</v>
      </c>
      <c r="Q82" s="342" t="s">
        <v>215</v>
      </c>
      <c r="R82" s="337" t="s">
        <v>885</v>
      </c>
      <c r="S82" s="337">
        <v>20</v>
      </c>
      <c r="T82" s="340" t="s">
        <v>888</v>
      </c>
      <c r="U82" s="341" t="s">
        <v>107</v>
      </c>
      <c r="V82" s="149">
        <v>0.16</v>
      </c>
      <c r="W82" s="144">
        <f>V82</f>
        <v>0.16</v>
      </c>
      <c r="X82" s="144">
        <f>IF(R82="all",V82,0)</f>
        <v>0</v>
      </c>
    </row>
    <row r="83" spans="2:24" ht="15.75" x14ac:dyDescent="0.2">
      <c r="B83" s="207" t="s">
        <v>773</v>
      </c>
      <c r="C83" s="224">
        <v>131</v>
      </c>
      <c r="D83" s="33" t="s">
        <v>443</v>
      </c>
      <c r="F83" s="157"/>
      <c r="N83" s="327" t="s">
        <v>229</v>
      </c>
      <c r="O83" s="330" t="s">
        <v>650</v>
      </c>
      <c r="P83" s="117" t="str">
        <f t="shared" si="6"/>
        <v>I12: Change from permissive only to FYA - permissive only</v>
      </c>
      <c r="Q83" s="343" t="s">
        <v>215</v>
      </c>
      <c r="R83" s="344" t="s">
        <v>76</v>
      </c>
      <c r="S83" s="344">
        <v>10</v>
      </c>
      <c r="T83" s="340" t="s">
        <v>888</v>
      </c>
      <c r="U83" s="352" t="s">
        <v>94</v>
      </c>
      <c r="V83" s="149">
        <v>0.5</v>
      </c>
      <c r="W83" s="144">
        <f t="shared" ref="W83:W91" si="7">V83</f>
        <v>0.5</v>
      </c>
      <c r="X83" s="144">
        <f t="shared" ref="X83:X91" si="8">IF(R83="all",V83,0)</f>
        <v>0.5</v>
      </c>
    </row>
    <row r="84" spans="2:24" ht="15.75" x14ac:dyDescent="0.2">
      <c r="B84" s="207" t="s">
        <v>774</v>
      </c>
      <c r="C84" s="224">
        <v>132</v>
      </c>
      <c r="D84" s="33" t="s">
        <v>444</v>
      </c>
      <c r="F84" s="157"/>
      <c r="N84" s="327" t="s">
        <v>230</v>
      </c>
      <c r="O84" s="329" t="s">
        <v>686</v>
      </c>
      <c r="P84" s="117" t="str">
        <f t="shared" si="6"/>
        <v>I13: Install Adaptive Signal Timing of Urban Traffic Signals</v>
      </c>
      <c r="Q84" s="337" t="s">
        <v>76</v>
      </c>
      <c r="R84" s="337" t="s">
        <v>76</v>
      </c>
      <c r="S84" s="337">
        <v>10</v>
      </c>
      <c r="T84" s="340" t="s">
        <v>888</v>
      </c>
      <c r="U84" s="341" t="s">
        <v>107</v>
      </c>
      <c r="V84" s="149">
        <v>0.17</v>
      </c>
      <c r="W84" s="144">
        <f t="shared" si="7"/>
        <v>0.17</v>
      </c>
      <c r="X84" s="144">
        <f t="shared" si="8"/>
        <v>0.17</v>
      </c>
    </row>
    <row r="85" spans="2:24" ht="30" x14ac:dyDescent="0.2">
      <c r="B85" s="207" t="s">
        <v>775</v>
      </c>
      <c r="C85" s="224">
        <v>138</v>
      </c>
      <c r="D85" s="33" t="s">
        <v>445</v>
      </c>
      <c r="F85" s="157"/>
      <c r="N85" s="327" t="s">
        <v>232</v>
      </c>
      <c r="O85" s="329" t="s">
        <v>221</v>
      </c>
      <c r="P85" s="117" t="str">
        <f t="shared" si="6"/>
        <v>I14: Install Actuated Advance Warning Dilemma Zone Protection System at High Speed Signals (Microwave Detection)</v>
      </c>
      <c r="Q85" s="337" t="s">
        <v>76</v>
      </c>
      <c r="R85" s="337" t="s">
        <v>76</v>
      </c>
      <c r="S85" s="337">
        <v>10</v>
      </c>
      <c r="T85" s="340" t="s">
        <v>888</v>
      </c>
      <c r="U85" s="352" t="s">
        <v>94</v>
      </c>
      <c r="V85" s="149">
        <v>0.08</v>
      </c>
      <c r="W85" s="144">
        <f t="shared" si="7"/>
        <v>0.08</v>
      </c>
      <c r="X85" s="144">
        <f t="shared" si="8"/>
        <v>0.08</v>
      </c>
    </row>
    <row r="86" spans="2:24" ht="30" x14ac:dyDescent="0.2">
      <c r="B86" s="207" t="s">
        <v>776</v>
      </c>
      <c r="C86" s="224">
        <v>140</v>
      </c>
      <c r="D86" s="33" t="s">
        <v>446</v>
      </c>
      <c r="F86" s="157"/>
      <c r="N86" s="327" t="s">
        <v>234</v>
      </c>
      <c r="O86" s="329" t="s">
        <v>223</v>
      </c>
      <c r="P86" s="117" t="str">
        <f t="shared" si="6"/>
        <v>I15: Install Flashing Beacons as Advance Warning at Intersections (Not Coordinated with Signal Timing)</v>
      </c>
      <c r="Q86" s="337" t="s">
        <v>76</v>
      </c>
      <c r="R86" s="337" t="s">
        <v>76</v>
      </c>
      <c r="S86" s="337">
        <v>10</v>
      </c>
      <c r="T86" s="336" t="s">
        <v>886</v>
      </c>
      <c r="U86" s="352" t="s">
        <v>94</v>
      </c>
      <c r="V86" s="149">
        <v>0.13</v>
      </c>
      <c r="W86" s="144">
        <f t="shared" si="7"/>
        <v>0.13</v>
      </c>
      <c r="X86" s="144">
        <f t="shared" si="8"/>
        <v>0.13</v>
      </c>
    </row>
    <row r="87" spans="2:24" ht="30" x14ac:dyDescent="0.2">
      <c r="B87" s="207" t="s">
        <v>777</v>
      </c>
      <c r="C87" s="224">
        <v>141</v>
      </c>
      <c r="D87" s="33" t="s">
        <v>447</v>
      </c>
      <c r="F87" s="157"/>
      <c r="N87" s="327" t="s">
        <v>236</v>
      </c>
      <c r="O87" s="329" t="s">
        <v>225</v>
      </c>
      <c r="P87" s="117" t="str">
        <f t="shared" si="6"/>
        <v>I16: Install Actuated/Coordinated Flashing Beacons as Advance Warning for Signalized Intersections</v>
      </c>
      <c r="Q87" s="342" t="s">
        <v>137</v>
      </c>
      <c r="R87" s="337" t="s">
        <v>76</v>
      </c>
      <c r="S87" s="337">
        <v>10</v>
      </c>
      <c r="T87" s="340" t="s">
        <v>888</v>
      </c>
      <c r="U87" s="352" t="s">
        <v>94</v>
      </c>
      <c r="V87" s="149">
        <v>0.1</v>
      </c>
      <c r="W87" s="144">
        <f t="shared" si="7"/>
        <v>0.1</v>
      </c>
      <c r="X87" s="144">
        <f t="shared" si="8"/>
        <v>0.1</v>
      </c>
    </row>
    <row r="88" spans="2:24" ht="25.5" x14ac:dyDescent="0.2">
      <c r="B88" s="207" t="s">
        <v>778</v>
      </c>
      <c r="C88" s="224">
        <v>142</v>
      </c>
      <c r="D88" s="33" t="s">
        <v>448</v>
      </c>
      <c r="F88" s="157"/>
      <c r="N88" s="327" t="s">
        <v>237</v>
      </c>
      <c r="O88" s="317" t="s">
        <v>227</v>
      </c>
      <c r="P88" s="117" t="str">
        <f t="shared" si="6"/>
        <v>I17: Increase Triangle Sight Distance</v>
      </c>
      <c r="Q88" s="337" t="s">
        <v>76</v>
      </c>
      <c r="R88" s="337" t="s">
        <v>885</v>
      </c>
      <c r="S88" s="337">
        <v>10</v>
      </c>
      <c r="T88" s="336" t="s">
        <v>886</v>
      </c>
      <c r="U88" s="352" t="s">
        <v>94</v>
      </c>
      <c r="V88" s="149">
        <v>0.48</v>
      </c>
      <c r="W88" s="144">
        <f t="shared" si="7"/>
        <v>0.48</v>
      </c>
      <c r="X88" s="144">
        <f t="shared" si="8"/>
        <v>0</v>
      </c>
    </row>
    <row r="89" spans="2:24" ht="30" x14ac:dyDescent="0.2">
      <c r="B89" s="207" t="s">
        <v>779</v>
      </c>
      <c r="C89" s="224">
        <v>143</v>
      </c>
      <c r="D89" s="33" t="s">
        <v>449</v>
      </c>
      <c r="F89" s="157"/>
      <c r="N89" s="327" t="s">
        <v>239</v>
      </c>
      <c r="O89" s="329" t="s">
        <v>186</v>
      </c>
      <c r="P89" s="117" t="str">
        <f t="shared" si="6"/>
        <v>I18: Increase Pavement Friction by Installing High Friction Surface Treatment - Intersection or Segment Application</v>
      </c>
      <c r="Q89" s="342" t="s">
        <v>187</v>
      </c>
      <c r="R89" s="337" t="s">
        <v>76</v>
      </c>
      <c r="S89" s="337">
        <v>10</v>
      </c>
      <c r="T89" s="336" t="s">
        <v>886</v>
      </c>
      <c r="U89" s="352" t="s">
        <v>94</v>
      </c>
      <c r="V89" s="149">
        <v>0.56999999999999995</v>
      </c>
      <c r="W89" s="144">
        <f t="shared" si="7"/>
        <v>0.56999999999999995</v>
      </c>
      <c r="X89" s="144">
        <f t="shared" si="8"/>
        <v>0.56999999999999995</v>
      </c>
    </row>
    <row r="90" spans="2:24" ht="30" x14ac:dyDescent="0.2">
      <c r="B90" s="207" t="s">
        <v>780</v>
      </c>
      <c r="C90" s="224">
        <v>144</v>
      </c>
      <c r="D90" s="33" t="s">
        <v>450</v>
      </c>
      <c r="F90" s="157"/>
      <c r="N90" s="327" t="s">
        <v>653</v>
      </c>
      <c r="O90" s="317" t="s">
        <v>854</v>
      </c>
      <c r="P90" s="117" t="str">
        <f t="shared" si="6"/>
        <v>I19: Left Turning Traffic Calming Treatments (Left Turn Wedge), Posted Speeds &lt; 35 MPH</v>
      </c>
      <c r="Q90" s="342" t="s">
        <v>215</v>
      </c>
      <c r="R90" s="337" t="s">
        <v>76</v>
      </c>
      <c r="S90" s="337">
        <v>20</v>
      </c>
      <c r="T90" s="340" t="s">
        <v>888</v>
      </c>
      <c r="U90" s="345" t="s">
        <v>107</v>
      </c>
      <c r="V90" s="149">
        <v>0.1</v>
      </c>
      <c r="W90" s="144">
        <f t="shared" si="7"/>
        <v>0.1</v>
      </c>
      <c r="X90" s="144">
        <f t="shared" si="8"/>
        <v>0.1</v>
      </c>
    </row>
    <row r="91" spans="2:24" ht="30" x14ac:dyDescent="0.2">
      <c r="B91" s="207" t="s">
        <v>781</v>
      </c>
      <c r="C91" s="224">
        <v>150</v>
      </c>
      <c r="D91" s="33" t="s">
        <v>451</v>
      </c>
      <c r="F91" s="157"/>
      <c r="N91" s="327" t="s">
        <v>655</v>
      </c>
      <c r="O91" s="317" t="s">
        <v>855</v>
      </c>
      <c r="P91" s="117" t="str">
        <f t="shared" si="6"/>
        <v>I20: Left Turning Traffic Calming Treatments (Hardened Centerline), posted speeds &lt;35 MPH</v>
      </c>
      <c r="Q91" s="342" t="s">
        <v>215</v>
      </c>
      <c r="R91" s="337" t="s">
        <v>76</v>
      </c>
      <c r="S91" s="337">
        <v>20</v>
      </c>
      <c r="T91" s="340" t="s">
        <v>888</v>
      </c>
      <c r="U91" s="345" t="s">
        <v>107</v>
      </c>
      <c r="V91" s="149">
        <v>0.1</v>
      </c>
      <c r="W91" s="144">
        <f t="shared" si="7"/>
        <v>0.1</v>
      </c>
      <c r="X91" s="144">
        <f t="shared" si="8"/>
        <v>0.1</v>
      </c>
    </row>
    <row r="92" spans="2:24" ht="45" x14ac:dyDescent="0.2">
      <c r="B92" s="207" t="s">
        <v>782</v>
      </c>
      <c r="C92" s="224">
        <v>151</v>
      </c>
      <c r="D92" s="33" t="s">
        <v>452</v>
      </c>
      <c r="F92" s="157"/>
      <c r="N92" s="356" t="s">
        <v>657</v>
      </c>
      <c r="O92" s="354" t="s">
        <v>896</v>
      </c>
      <c r="P92" s="117" t="str">
        <f t="shared" si="6"/>
        <v>I21: (1 - 2 CMs): Improve Intersection Warning: Stop Ahead Pavement Markings, Stop Ahead Signs, Larger Signs, Additional Stop Signs and/or Other Intersection Warning or Regulatory Signs</v>
      </c>
      <c r="Q92" s="337" t="s">
        <v>76</v>
      </c>
      <c r="R92" s="337" t="s">
        <v>76</v>
      </c>
      <c r="S92" s="337">
        <v>10</v>
      </c>
      <c r="T92" s="338" t="s">
        <v>887</v>
      </c>
      <c r="U92" s="352" t="s">
        <v>94</v>
      </c>
      <c r="V92" s="149">
        <v>0.2</v>
      </c>
      <c r="W92" s="144">
        <f t="shared" ref="W92:W97" si="9">V92</f>
        <v>0.2</v>
      </c>
      <c r="X92" s="144">
        <f t="shared" ref="X92:X97" si="10">IF(R92="all",V92,0)</f>
        <v>0.2</v>
      </c>
    </row>
    <row r="93" spans="2:24" ht="45" x14ac:dyDescent="0.2">
      <c r="B93" s="207" t="s">
        <v>783</v>
      </c>
      <c r="C93" s="224">
        <v>153</v>
      </c>
      <c r="D93" s="33" t="s">
        <v>453</v>
      </c>
      <c r="F93" s="157"/>
      <c r="N93" s="356" t="s">
        <v>657</v>
      </c>
      <c r="O93" s="354" t="s">
        <v>897</v>
      </c>
      <c r="P93" s="117" t="str">
        <f t="shared" si="6"/>
        <v>I21: (3 - 4 CMs)- Improve Intersection Warning: Stop Ahead Pavement Markings, Stop Ahead Signs, Larger Signs, Additional Stop Signs and/or Other Intersection Warning or Regulatory Signs</v>
      </c>
      <c r="Q93" s="337" t="s">
        <v>76</v>
      </c>
      <c r="R93" s="337" t="s">
        <v>76</v>
      </c>
      <c r="S93" s="337">
        <v>10</v>
      </c>
      <c r="T93" s="338" t="s">
        <v>887</v>
      </c>
      <c r="U93" s="352" t="s">
        <v>94</v>
      </c>
      <c r="V93" s="149">
        <v>0.25</v>
      </c>
      <c r="W93" s="144">
        <f t="shared" si="9"/>
        <v>0.25</v>
      </c>
      <c r="X93" s="144">
        <f t="shared" si="10"/>
        <v>0.25</v>
      </c>
    </row>
    <row r="94" spans="2:24" ht="45" x14ac:dyDescent="0.2">
      <c r="B94" s="207" t="s">
        <v>784</v>
      </c>
      <c r="C94" s="224">
        <v>154</v>
      </c>
      <c r="D94" s="33" t="s">
        <v>454</v>
      </c>
      <c r="F94" s="157"/>
      <c r="N94" s="356" t="s">
        <v>657</v>
      </c>
      <c r="O94" s="354" t="s">
        <v>898</v>
      </c>
      <c r="P94" s="117" t="str">
        <f t="shared" si="6"/>
        <v>I21: (5 - 7 CMs): Improve Intersection Warning: Stop Ahead Pavement Markings, Stop Ahead Signs, Larger Signs, Additional Stop Signs and/or Other Intersection Warning or Regulatory Signs</v>
      </c>
      <c r="Q94" s="337" t="s">
        <v>76</v>
      </c>
      <c r="R94" s="337" t="s">
        <v>76</v>
      </c>
      <c r="S94" s="337">
        <v>10</v>
      </c>
      <c r="T94" s="338" t="s">
        <v>887</v>
      </c>
      <c r="U94" s="352" t="s">
        <v>94</v>
      </c>
      <c r="V94" s="149">
        <v>0.3</v>
      </c>
      <c r="W94" s="144">
        <f t="shared" si="9"/>
        <v>0.3</v>
      </c>
      <c r="X94" s="144">
        <f t="shared" si="10"/>
        <v>0.3</v>
      </c>
    </row>
    <row r="95" spans="2:24" ht="15.75" x14ac:dyDescent="0.2">
      <c r="B95" s="207" t="s">
        <v>785</v>
      </c>
      <c r="C95" s="224">
        <v>155</v>
      </c>
      <c r="D95" s="33" t="s">
        <v>578</v>
      </c>
      <c r="F95" s="157"/>
      <c r="N95" s="327" t="s">
        <v>856</v>
      </c>
      <c r="O95" s="330" t="s">
        <v>857</v>
      </c>
      <c r="P95" s="117" t="str">
        <f t="shared" si="6"/>
        <v>I22: Install Advance Warning Signs (Signal Ahead)</v>
      </c>
      <c r="Q95" s="343" t="s">
        <v>133</v>
      </c>
      <c r="R95" s="344" t="s">
        <v>76</v>
      </c>
      <c r="S95" s="344">
        <v>10</v>
      </c>
      <c r="T95" s="340" t="s">
        <v>888</v>
      </c>
      <c r="U95" s="345" t="s">
        <v>107</v>
      </c>
      <c r="V95" s="149">
        <v>0.35</v>
      </c>
      <c r="W95" s="144">
        <f t="shared" si="9"/>
        <v>0.35</v>
      </c>
      <c r="X95" s="144">
        <f t="shared" si="10"/>
        <v>0.35</v>
      </c>
    </row>
    <row r="96" spans="2:24" ht="30" x14ac:dyDescent="0.2">
      <c r="B96" s="207" t="s">
        <v>786</v>
      </c>
      <c r="C96" s="224">
        <v>157</v>
      </c>
      <c r="D96" s="33" t="s">
        <v>455</v>
      </c>
      <c r="F96" s="157"/>
      <c r="N96" s="327" t="s">
        <v>858</v>
      </c>
      <c r="O96" s="330" t="s">
        <v>651</v>
      </c>
      <c r="P96" s="117" t="str">
        <f t="shared" si="6"/>
        <v>I23: Increase retroreflectivity of Stop Signs (reflective strips on sign post optional)</v>
      </c>
      <c r="Q96" s="343" t="s">
        <v>133</v>
      </c>
      <c r="R96" s="344" t="s">
        <v>76</v>
      </c>
      <c r="S96" s="344">
        <v>10</v>
      </c>
      <c r="T96" s="338" t="s">
        <v>887</v>
      </c>
      <c r="U96" s="352" t="s">
        <v>94</v>
      </c>
      <c r="V96" s="296">
        <v>7.0000000000000007E-2</v>
      </c>
      <c r="W96" s="144">
        <f t="shared" si="9"/>
        <v>7.0000000000000007E-2</v>
      </c>
      <c r="X96" s="144">
        <f t="shared" si="10"/>
        <v>7.0000000000000007E-2</v>
      </c>
    </row>
    <row r="97" spans="2:24" ht="30" x14ac:dyDescent="0.2">
      <c r="B97" s="207" t="s">
        <v>787</v>
      </c>
      <c r="C97" s="224">
        <v>160</v>
      </c>
      <c r="D97" s="33" t="s">
        <v>456</v>
      </c>
      <c r="F97" s="157"/>
      <c r="N97" s="327" t="s">
        <v>859</v>
      </c>
      <c r="O97" s="317" t="s">
        <v>231</v>
      </c>
      <c r="P97" s="117" t="str">
        <f t="shared" si="6"/>
        <v>I24: Provide Flashing Beacons at All-Way Stop Controlled Intersections</v>
      </c>
      <c r="Q97" s="342" t="s">
        <v>133</v>
      </c>
      <c r="R97" s="337" t="s">
        <v>76</v>
      </c>
      <c r="S97" s="337">
        <v>10</v>
      </c>
      <c r="T97" s="338" t="s">
        <v>887</v>
      </c>
      <c r="U97" s="352" t="s">
        <v>94</v>
      </c>
      <c r="V97" s="296">
        <v>0.28000000000000003</v>
      </c>
      <c r="W97" s="144">
        <f t="shared" si="9"/>
        <v>0.28000000000000003</v>
      </c>
      <c r="X97" s="144">
        <f t="shared" si="10"/>
        <v>0.28000000000000003</v>
      </c>
    </row>
    <row r="98" spans="2:24" ht="30" x14ac:dyDescent="0.2">
      <c r="B98" s="207" t="s">
        <v>788</v>
      </c>
      <c r="C98" s="224">
        <v>161</v>
      </c>
      <c r="D98" s="33" t="s">
        <v>457</v>
      </c>
      <c r="F98" s="157"/>
      <c r="N98" s="327" t="s">
        <v>860</v>
      </c>
      <c r="O98" s="317" t="s">
        <v>233</v>
      </c>
      <c r="P98" s="117" t="str">
        <f t="shared" si="6"/>
        <v>I25: Provide Flashing Beacons at Minor Road Stop Controlled Intersections</v>
      </c>
      <c r="Q98" s="346" t="s">
        <v>133</v>
      </c>
      <c r="R98" s="337" t="s">
        <v>76</v>
      </c>
      <c r="S98" s="337">
        <v>10</v>
      </c>
      <c r="T98" s="338" t="s">
        <v>887</v>
      </c>
      <c r="U98" s="352" t="s">
        <v>94</v>
      </c>
      <c r="V98" s="149">
        <v>0.13</v>
      </c>
      <c r="W98" s="144">
        <f>V98</f>
        <v>0.13</v>
      </c>
      <c r="X98" s="144">
        <f t="shared" ref="X98:X167" si="11">IF(R98="all",V98,0)</f>
        <v>0.13</v>
      </c>
    </row>
    <row r="99" spans="2:24" ht="30" x14ac:dyDescent="0.2">
      <c r="B99" s="207" t="s">
        <v>789</v>
      </c>
      <c r="C99" s="224">
        <v>162</v>
      </c>
      <c r="D99" s="33" t="s">
        <v>458</v>
      </c>
      <c r="F99" s="157"/>
      <c r="N99" s="327" t="s">
        <v>861</v>
      </c>
      <c r="O99" s="317" t="s">
        <v>235</v>
      </c>
      <c r="P99" s="117" t="str">
        <f t="shared" si="6"/>
        <v>I26: Provide Actuated Flashing Beacons Triggered by Approaching Vehicles at Unsignalized Intersections</v>
      </c>
      <c r="Q99" s="337" t="s">
        <v>76</v>
      </c>
      <c r="R99" s="337" t="s">
        <v>76</v>
      </c>
      <c r="S99" s="337">
        <v>10</v>
      </c>
      <c r="T99" s="338" t="s">
        <v>887</v>
      </c>
      <c r="U99" s="352" t="s">
        <v>94</v>
      </c>
      <c r="V99" s="149">
        <v>0.27</v>
      </c>
      <c r="W99" s="144">
        <f>V99</f>
        <v>0.27</v>
      </c>
      <c r="X99" s="144">
        <f t="shared" si="11"/>
        <v>0.27</v>
      </c>
    </row>
    <row r="100" spans="2:24" ht="15.75" x14ac:dyDescent="0.2">
      <c r="B100" s="207" t="s">
        <v>790</v>
      </c>
      <c r="C100" s="224">
        <v>163</v>
      </c>
      <c r="D100" s="209" t="s">
        <v>594</v>
      </c>
      <c r="F100" s="157"/>
      <c r="N100" s="327" t="s">
        <v>862</v>
      </c>
      <c r="O100" s="317" t="s">
        <v>652</v>
      </c>
      <c r="P100" s="117" t="str">
        <f t="shared" si="6"/>
        <v>I27: Install Transverse Rumble Strips on Stop Controlled Approach(es)</v>
      </c>
      <c r="Q100" s="337" t="s">
        <v>76</v>
      </c>
      <c r="R100" s="337" t="s">
        <v>890</v>
      </c>
      <c r="S100" s="359">
        <v>10</v>
      </c>
      <c r="T100" s="338" t="s">
        <v>887</v>
      </c>
      <c r="U100" s="352" t="s">
        <v>94</v>
      </c>
      <c r="V100" s="149">
        <v>0.25</v>
      </c>
      <c r="W100" s="144">
        <f>V100</f>
        <v>0.25</v>
      </c>
      <c r="X100" s="144">
        <f t="shared" si="11"/>
        <v>0</v>
      </c>
    </row>
    <row r="101" spans="2:24" ht="30" x14ac:dyDescent="0.2">
      <c r="B101" s="207" t="s">
        <v>791</v>
      </c>
      <c r="C101" s="224">
        <v>164</v>
      </c>
      <c r="D101" s="33" t="s">
        <v>459</v>
      </c>
      <c r="F101" s="157"/>
      <c r="N101" s="327" t="s">
        <v>863</v>
      </c>
      <c r="O101" s="317" t="s">
        <v>238</v>
      </c>
      <c r="P101" s="117" t="str">
        <f t="shared" si="6"/>
        <v>I28: Install 6 ft. or greater Raised Divider on Stop Approach (Splitter Island)</v>
      </c>
      <c r="Q101" s="337" t="s">
        <v>76</v>
      </c>
      <c r="R101" s="337" t="s">
        <v>76</v>
      </c>
      <c r="S101" s="337">
        <v>20</v>
      </c>
      <c r="T101" s="338" t="s">
        <v>887</v>
      </c>
      <c r="U101" s="352" t="s">
        <v>94</v>
      </c>
      <c r="V101" s="149">
        <v>0.15</v>
      </c>
      <c r="W101" s="144">
        <v>0</v>
      </c>
      <c r="X101" s="144">
        <f t="shared" si="11"/>
        <v>0.15</v>
      </c>
    </row>
    <row r="102" spans="2:24" ht="15.75" x14ac:dyDescent="0.2">
      <c r="B102" s="207" t="s">
        <v>792</v>
      </c>
      <c r="C102" s="224">
        <v>171</v>
      </c>
      <c r="D102" s="33" t="s">
        <v>460</v>
      </c>
      <c r="F102" s="157"/>
      <c r="N102" s="327" t="s">
        <v>864</v>
      </c>
      <c r="O102" s="330" t="s">
        <v>240</v>
      </c>
      <c r="P102" s="117" t="str">
        <f t="shared" si="6"/>
        <v>I29: Prohibit Right-Turn-On-Red</v>
      </c>
      <c r="Q102" s="344" t="s">
        <v>76</v>
      </c>
      <c r="R102" s="344" t="s">
        <v>76</v>
      </c>
      <c r="S102" s="344">
        <v>10</v>
      </c>
      <c r="T102" s="340" t="s">
        <v>888</v>
      </c>
      <c r="U102" s="352" t="s">
        <v>94</v>
      </c>
      <c r="V102" s="149">
        <v>0.09</v>
      </c>
      <c r="W102" s="144">
        <f t="shared" ref="W102:W167" si="12">V102</f>
        <v>0.09</v>
      </c>
      <c r="X102" s="144">
        <f t="shared" si="11"/>
        <v>0.09</v>
      </c>
    </row>
    <row r="103" spans="2:24" ht="15.75" x14ac:dyDescent="0.2">
      <c r="B103" s="207" t="s">
        <v>793</v>
      </c>
      <c r="C103" s="224">
        <v>172</v>
      </c>
      <c r="D103" s="33" t="s">
        <v>461</v>
      </c>
      <c r="F103" s="157"/>
      <c r="N103" s="327" t="s">
        <v>865</v>
      </c>
      <c r="O103" s="330" t="s">
        <v>654</v>
      </c>
      <c r="P103" s="117" t="str">
        <f t="shared" si="6"/>
        <v>I30: Provide "Stop Ahead" pavement markings</v>
      </c>
      <c r="Q103" s="344" t="s">
        <v>76</v>
      </c>
      <c r="R103" s="344" t="s">
        <v>76</v>
      </c>
      <c r="S103" s="344">
        <v>10</v>
      </c>
      <c r="T103" s="338" t="s">
        <v>887</v>
      </c>
      <c r="U103" s="345" t="s">
        <v>6</v>
      </c>
      <c r="V103" s="150">
        <v>0.31</v>
      </c>
      <c r="W103" s="144">
        <f t="shared" si="12"/>
        <v>0.31</v>
      </c>
      <c r="X103" s="144">
        <f t="shared" si="11"/>
        <v>0.31</v>
      </c>
    </row>
    <row r="104" spans="2:24" ht="15.75" x14ac:dyDescent="0.2">
      <c r="B104" s="207" t="s">
        <v>794</v>
      </c>
      <c r="C104" s="224">
        <v>173</v>
      </c>
      <c r="D104" s="33" t="s">
        <v>462</v>
      </c>
      <c r="F104" s="157"/>
      <c r="N104" s="327" t="s">
        <v>866</v>
      </c>
      <c r="O104" s="330" t="s">
        <v>656</v>
      </c>
      <c r="P104" s="117" t="str">
        <f t="shared" si="6"/>
        <v>I31: Provide overhead lane-use signs</v>
      </c>
      <c r="Q104" s="343" t="s">
        <v>889</v>
      </c>
      <c r="R104" s="344" t="s">
        <v>76</v>
      </c>
      <c r="S104" s="344">
        <v>10</v>
      </c>
      <c r="T104" s="340" t="s">
        <v>888</v>
      </c>
      <c r="U104" s="352" t="s">
        <v>94</v>
      </c>
      <c r="V104" s="150">
        <v>0.1</v>
      </c>
      <c r="W104" s="144">
        <f t="shared" si="12"/>
        <v>0.1</v>
      </c>
      <c r="X104" s="144">
        <f t="shared" si="11"/>
        <v>0.1</v>
      </c>
    </row>
    <row r="105" spans="2:24" ht="75" x14ac:dyDescent="0.2">
      <c r="B105" s="207" t="s">
        <v>795</v>
      </c>
      <c r="C105" s="224">
        <v>174</v>
      </c>
      <c r="D105" s="33" t="s">
        <v>463</v>
      </c>
      <c r="F105" s="157"/>
      <c r="N105" s="356" t="s">
        <v>867</v>
      </c>
      <c r="O105" s="355" t="s">
        <v>895</v>
      </c>
      <c r="P105" s="117" t="str">
        <f t="shared" si="6"/>
        <v xml:space="preserve">I32: (2 CMs): Install Wrong Way Driving Countermeasures: Signing, Pavement markings, Geometric Modifications, and ITS Technologies (seeTable 3.1 in Wrong-Way Driving Analysis and Recommendations Final Report)
</v>
      </c>
      <c r="Q105" s="344" t="s">
        <v>76</v>
      </c>
      <c r="R105" s="338" t="s">
        <v>76</v>
      </c>
      <c r="S105" s="358">
        <v>20</v>
      </c>
      <c r="T105" s="338" t="s">
        <v>887</v>
      </c>
      <c r="U105" s="352" t="s">
        <v>94</v>
      </c>
      <c r="V105" s="150">
        <v>0.2</v>
      </c>
      <c r="W105" s="144">
        <f t="shared" si="12"/>
        <v>0.2</v>
      </c>
      <c r="X105" s="144">
        <f t="shared" si="11"/>
        <v>0.2</v>
      </c>
    </row>
    <row r="106" spans="2:24" ht="75" x14ac:dyDescent="0.2">
      <c r="B106" s="207" t="s">
        <v>796</v>
      </c>
      <c r="C106" s="224">
        <v>180</v>
      </c>
      <c r="D106" s="33" t="s">
        <v>464</v>
      </c>
      <c r="F106" s="157"/>
      <c r="N106" s="356" t="s">
        <v>867</v>
      </c>
      <c r="O106" s="355" t="s">
        <v>903</v>
      </c>
      <c r="P106" s="117" t="str">
        <f t="shared" si="6"/>
        <v xml:space="preserve">I32: (3 CMs): Install Wrong Way Driving Countermeasures: Signing, Pavement markings, Geometric Modifications, and ITS Technologies (seeTable 3.1 in Wrong-Way Driving Analysis and Recommendations Final Report)
</v>
      </c>
      <c r="Q106" s="344" t="s">
        <v>76</v>
      </c>
      <c r="R106" s="338" t="s">
        <v>76</v>
      </c>
      <c r="S106" s="358">
        <v>20</v>
      </c>
      <c r="T106" s="338" t="s">
        <v>887</v>
      </c>
      <c r="U106" s="352" t="s">
        <v>94</v>
      </c>
      <c r="V106" s="150">
        <v>0.3</v>
      </c>
      <c r="W106" s="144">
        <f t="shared" si="12"/>
        <v>0.3</v>
      </c>
      <c r="X106" s="144">
        <f t="shared" si="11"/>
        <v>0.3</v>
      </c>
    </row>
    <row r="107" spans="2:24" ht="75" x14ac:dyDescent="0.2">
      <c r="B107" s="207" t="s">
        <v>797</v>
      </c>
      <c r="C107" s="224">
        <v>181</v>
      </c>
      <c r="D107" s="33" t="s">
        <v>465</v>
      </c>
      <c r="F107" s="157"/>
      <c r="N107" s="356" t="s">
        <v>867</v>
      </c>
      <c r="O107" s="355" t="s">
        <v>902</v>
      </c>
      <c r="P107" s="117" t="str">
        <f t="shared" si="6"/>
        <v xml:space="preserve">I32: (4 or more CMs): Install Wrong Way Driving Countermeasures: Signing, Pavement markings, Geometric Modifications, and ITS Technologies (seeTable 3.1 in Wrong-Way Driving Analysis and Recommendations Final Report)
</v>
      </c>
      <c r="Q107" s="344" t="s">
        <v>76</v>
      </c>
      <c r="R107" s="338" t="s">
        <v>76</v>
      </c>
      <c r="S107" s="358">
        <v>20</v>
      </c>
      <c r="T107" s="338" t="s">
        <v>887</v>
      </c>
      <c r="U107" s="352" t="s">
        <v>94</v>
      </c>
      <c r="V107" s="150">
        <v>0.4</v>
      </c>
      <c r="W107" s="144">
        <f t="shared" si="12"/>
        <v>0.4</v>
      </c>
      <c r="X107" s="144">
        <f t="shared" si="11"/>
        <v>0.4</v>
      </c>
    </row>
    <row r="108" spans="2:24" ht="25.5" x14ac:dyDescent="0.2">
      <c r="B108" s="207" t="s">
        <v>798</v>
      </c>
      <c r="C108" s="224">
        <v>189</v>
      </c>
      <c r="D108" s="33" t="s">
        <v>466</v>
      </c>
      <c r="F108" s="157"/>
      <c r="N108" s="327" t="s">
        <v>868</v>
      </c>
      <c r="O108" s="317" t="s">
        <v>869</v>
      </c>
      <c r="P108" s="117" t="str">
        <f t="shared" ref="P108:P109" si="13">(N108&amp;":"&amp;" "&amp;O108)</f>
        <v>I33: Curb Extensions</v>
      </c>
      <c r="Q108" s="344" t="s">
        <v>76</v>
      </c>
      <c r="R108" s="338" t="s">
        <v>76</v>
      </c>
      <c r="S108" s="337">
        <v>20</v>
      </c>
      <c r="T108" s="340" t="s">
        <v>886</v>
      </c>
      <c r="U108" s="341" t="s">
        <v>107</v>
      </c>
      <c r="V108" s="150">
        <v>0.3</v>
      </c>
      <c r="W108" s="144">
        <f t="shared" si="12"/>
        <v>0.3</v>
      </c>
      <c r="X108" s="144">
        <f t="shared" si="11"/>
        <v>0.3</v>
      </c>
    </row>
    <row r="109" spans="2:24" ht="15.75" x14ac:dyDescent="0.2">
      <c r="B109" s="207" t="s">
        <v>799</v>
      </c>
      <c r="C109" s="224">
        <v>191</v>
      </c>
      <c r="D109" s="33" t="s">
        <v>467</v>
      </c>
      <c r="F109" s="157"/>
      <c r="N109" s="327" t="s">
        <v>75</v>
      </c>
      <c r="O109" s="329" t="s">
        <v>241</v>
      </c>
      <c r="P109" s="117" t="str">
        <f t="shared" si="13"/>
        <v>BP1: Install Pedestrian Countdown Timer(s)</v>
      </c>
      <c r="Q109" s="342" t="s">
        <v>77</v>
      </c>
      <c r="R109" s="337" t="s">
        <v>76</v>
      </c>
      <c r="S109" s="337">
        <v>20</v>
      </c>
      <c r="T109" s="340" t="s">
        <v>888</v>
      </c>
      <c r="U109" s="352" t="s">
        <v>94</v>
      </c>
      <c r="V109" s="150">
        <v>0.7</v>
      </c>
      <c r="W109" s="144">
        <f t="shared" si="12"/>
        <v>0.7</v>
      </c>
      <c r="X109" s="144">
        <f t="shared" si="11"/>
        <v>0.7</v>
      </c>
    </row>
    <row r="110" spans="2:24" ht="25.5" x14ac:dyDescent="0.2">
      <c r="B110" s="207" t="s">
        <v>800</v>
      </c>
      <c r="C110" s="224">
        <v>193</v>
      </c>
      <c r="D110" s="33" t="s">
        <v>468</v>
      </c>
      <c r="F110" s="157"/>
      <c r="N110" s="327" t="s">
        <v>242</v>
      </c>
      <c r="O110" s="317" t="s">
        <v>687</v>
      </c>
      <c r="P110" s="117" t="str">
        <f t="shared" ref="P110:P133" si="14">(N110&amp;":"&amp;" "&amp;O110)</f>
        <v>BP2: Provide Intersection Lighting (Bike &amp; Ped)</v>
      </c>
      <c r="Q110" s="342" t="s">
        <v>243</v>
      </c>
      <c r="R110" s="337" t="s">
        <v>885</v>
      </c>
      <c r="S110" s="337">
        <v>20</v>
      </c>
      <c r="T110" s="340" t="s">
        <v>886</v>
      </c>
      <c r="U110" s="352" t="s">
        <v>94</v>
      </c>
      <c r="V110" s="150">
        <v>0.42</v>
      </c>
      <c r="W110" s="144">
        <f t="shared" si="12"/>
        <v>0.42</v>
      </c>
      <c r="X110" s="144">
        <f t="shared" si="11"/>
        <v>0</v>
      </c>
    </row>
    <row r="111" spans="2:24" ht="30" x14ac:dyDescent="0.2">
      <c r="B111" s="207" t="s">
        <v>801</v>
      </c>
      <c r="C111" s="224">
        <v>194</v>
      </c>
      <c r="D111" s="33" t="s">
        <v>469</v>
      </c>
      <c r="F111" s="157"/>
      <c r="N111" s="327" t="s">
        <v>244</v>
      </c>
      <c r="O111" s="329" t="s">
        <v>245</v>
      </c>
      <c r="P111" s="117" t="str">
        <f t="shared" si="14"/>
        <v>BP3: Install Urban Leading Pedestrian or Bicycle Interval at Signalized Intersection</v>
      </c>
      <c r="Q111" s="342" t="s">
        <v>246</v>
      </c>
      <c r="R111" s="337" t="s">
        <v>76</v>
      </c>
      <c r="S111" s="337">
        <v>10</v>
      </c>
      <c r="T111" s="340" t="s">
        <v>888</v>
      </c>
      <c r="U111" s="341" t="s">
        <v>107</v>
      </c>
      <c r="V111" s="149">
        <v>0.37</v>
      </c>
      <c r="W111" s="144">
        <f t="shared" si="12"/>
        <v>0.37</v>
      </c>
      <c r="X111" s="144">
        <f t="shared" si="11"/>
        <v>0.37</v>
      </c>
    </row>
    <row r="112" spans="2:24" ht="15.75" x14ac:dyDescent="0.2">
      <c r="B112" s="207" t="s">
        <v>802</v>
      </c>
      <c r="C112" s="224">
        <v>200</v>
      </c>
      <c r="D112" s="33" t="s">
        <v>470</v>
      </c>
      <c r="F112" s="157"/>
      <c r="N112" s="327" t="s">
        <v>247</v>
      </c>
      <c r="O112" s="329" t="s">
        <v>248</v>
      </c>
      <c r="P112" s="117" t="str">
        <f t="shared" si="14"/>
        <v>BP4: Install No Pedestrian Phase Feature with Flashing Yellow Arrow</v>
      </c>
      <c r="Q112" s="342" t="s">
        <v>77</v>
      </c>
      <c r="R112" s="337" t="s">
        <v>76</v>
      </c>
      <c r="S112" s="337">
        <v>20</v>
      </c>
      <c r="T112" s="340" t="s">
        <v>888</v>
      </c>
      <c r="U112" s="352" t="s">
        <v>94</v>
      </c>
      <c r="V112" s="149">
        <v>0.43</v>
      </c>
      <c r="W112" s="144">
        <f t="shared" si="12"/>
        <v>0.43</v>
      </c>
      <c r="X112" s="144">
        <f t="shared" si="11"/>
        <v>0.43</v>
      </c>
    </row>
    <row r="113" spans="2:24" ht="27.75" customHeight="1" x14ac:dyDescent="0.2">
      <c r="B113" s="207" t="s">
        <v>803</v>
      </c>
      <c r="C113" s="224">
        <v>201</v>
      </c>
      <c r="D113" s="33" t="s">
        <v>471</v>
      </c>
      <c r="F113" s="157"/>
      <c r="N113" s="327" t="s">
        <v>249</v>
      </c>
      <c r="O113" s="317" t="s">
        <v>870</v>
      </c>
      <c r="P113" s="117" t="str">
        <f t="shared" si="14"/>
        <v>BP5: Reduce Right Turn Permissive Conflicts (right turn arrow)</v>
      </c>
      <c r="Q113" s="343" t="s">
        <v>246</v>
      </c>
      <c r="R113" s="344" t="s">
        <v>76</v>
      </c>
      <c r="S113" s="337">
        <v>20</v>
      </c>
      <c r="T113" s="340" t="s">
        <v>888</v>
      </c>
      <c r="U113" s="352" t="s">
        <v>94</v>
      </c>
      <c r="V113" s="149">
        <v>0.2</v>
      </c>
      <c r="W113" s="144">
        <f t="shared" si="12"/>
        <v>0.2</v>
      </c>
      <c r="X113" s="144">
        <f t="shared" si="11"/>
        <v>0.2</v>
      </c>
    </row>
    <row r="114" spans="2:24" ht="25.5" x14ac:dyDescent="0.2">
      <c r="B114" s="207" t="s">
        <v>804</v>
      </c>
      <c r="C114" s="224">
        <v>210</v>
      </c>
      <c r="D114" s="33" t="s">
        <v>472</v>
      </c>
      <c r="F114" s="157"/>
      <c r="N114" s="327" t="s">
        <v>252</v>
      </c>
      <c r="O114" s="329" t="s">
        <v>250</v>
      </c>
      <c r="P114" s="117" t="str">
        <f t="shared" si="14"/>
        <v>BP6: Install Urban Green Bike Lanes at Conflict Points</v>
      </c>
      <c r="Q114" s="342" t="s">
        <v>251</v>
      </c>
      <c r="R114" s="337" t="s">
        <v>76</v>
      </c>
      <c r="S114" s="337">
        <v>10</v>
      </c>
      <c r="T114" s="340" t="s">
        <v>886</v>
      </c>
      <c r="U114" s="341" t="s">
        <v>107</v>
      </c>
      <c r="V114" s="149">
        <v>0.39</v>
      </c>
      <c r="W114" s="144">
        <f t="shared" si="12"/>
        <v>0.39</v>
      </c>
      <c r="X114" s="144">
        <f t="shared" si="11"/>
        <v>0.39</v>
      </c>
    </row>
    <row r="115" spans="2:24" ht="15.75" x14ac:dyDescent="0.2">
      <c r="B115" s="207" t="s">
        <v>805</v>
      </c>
      <c r="C115" s="224">
        <v>211</v>
      </c>
      <c r="D115" s="33" t="s">
        <v>473</v>
      </c>
      <c r="F115" s="157"/>
      <c r="N115" s="327" t="s">
        <v>254</v>
      </c>
      <c r="O115" s="329" t="s">
        <v>253</v>
      </c>
      <c r="P115" s="117" t="str">
        <f t="shared" si="14"/>
        <v>BP7: Install Bike Box at Conflict Points</v>
      </c>
      <c r="Q115" s="342" t="s">
        <v>251</v>
      </c>
      <c r="R115" s="337" t="s">
        <v>76</v>
      </c>
      <c r="S115" s="337">
        <v>10</v>
      </c>
      <c r="T115" s="340" t="s">
        <v>888</v>
      </c>
      <c r="U115" s="352" t="s">
        <v>94</v>
      </c>
      <c r="V115" s="149">
        <v>0.35</v>
      </c>
      <c r="W115" s="144">
        <f t="shared" si="12"/>
        <v>0.35</v>
      </c>
      <c r="X115" s="144">
        <f t="shared" si="11"/>
        <v>0.35</v>
      </c>
    </row>
    <row r="116" spans="2:24" ht="15.75" x14ac:dyDescent="0.2">
      <c r="B116" s="207" t="s">
        <v>806</v>
      </c>
      <c r="C116" s="224">
        <v>212</v>
      </c>
      <c r="D116" s="33" t="s">
        <v>478</v>
      </c>
      <c r="F116" s="157"/>
      <c r="N116" s="327" t="s">
        <v>871</v>
      </c>
      <c r="O116" s="317" t="s">
        <v>658</v>
      </c>
      <c r="P116" s="117" t="str">
        <f t="shared" si="14"/>
        <v>BP8: Install Pedestrian Refuge Island</v>
      </c>
      <c r="Q116" s="342" t="s">
        <v>77</v>
      </c>
      <c r="R116" s="337" t="s">
        <v>76</v>
      </c>
      <c r="S116" s="337">
        <v>20</v>
      </c>
      <c r="T116" s="340" t="s">
        <v>150</v>
      </c>
      <c r="U116" s="352" t="s">
        <v>94</v>
      </c>
      <c r="V116" s="149">
        <v>0.31</v>
      </c>
      <c r="W116" s="144">
        <f t="shared" si="12"/>
        <v>0.31</v>
      </c>
      <c r="X116" s="144">
        <f t="shared" si="11"/>
        <v>0.31</v>
      </c>
    </row>
    <row r="117" spans="2:24" ht="15.75" x14ac:dyDescent="0.2">
      <c r="B117" s="207" t="s">
        <v>807</v>
      </c>
      <c r="C117" s="224">
        <v>215</v>
      </c>
      <c r="D117" s="33" t="s">
        <v>474</v>
      </c>
      <c r="F117" s="157"/>
      <c r="N117" s="327" t="s">
        <v>872</v>
      </c>
      <c r="O117" s="333" t="s">
        <v>688</v>
      </c>
      <c r="P117" s="117" t="str">
        <f t="shared" si="14"/>
        <v>BP9: Install Rectangular Rapid Flashing Beacon (2-Lane Road)</v>
      </c>
      <c r="Q117" s="342" t="s">
        <v>77</v>
      </c>
      <c r="R117" s="347" t="s">
        <v>76</v>
      </c>
      <c r="S117" s="347">
        <v>20</v>
      </c>
      <c r="T117" s="340" t="s">
        <v>150</v>
      </c>
      <c r="U117" s="352" t="s">
        <v>94</v>
      </c>
      <c r="V117" s="149">
        <v>0.1</v>
      </c>
      <c r="W117" s="144">
        <f t="shared" si="12"/>
        <v>0.1</v>
      </c>
      <c r="X117" s="144">
        <f t="shared" si="11"/>
        <v>0.1</v>
      </c>
    </row>
    <row r="118" spans="2:24" ht="15.75" x14ac:dyDescent="0.2">
      <c r="B118" s="207" t="s">
        <v>808</v>
      </c>
      <c r="C118" s="224">
        <v>225</v>
      </c>
      <c r="D118" s="33" t="s">
        <v>475</v>
      </c>
      <c r="F118" s="157"/>
      <c r="N118" s="327" t="s">
        <v>873</v>
      </c>
      <c r="O118" s="332" t="s">
        <v>681</v>
      </c>
      <c r="P118" s="117" t="str">
        <f t="shared" si="14"/>
        <v>BP10: Install Pedestrian Activated Beacon at Intersection</v>
      </c>
      <c r="Q118" s="343" t="s">
        <v>246</v>
      </c>
      <c r="R118" s="344" t="s">
        <v>76</v>
      </c>
      <c r="S118" s="344">
        <v>20</v>
      </c>
      <c r="T118" s="340" t="s">
        <v>150</v>
      </c>
      <c r="U118" s="345" t="s">
        <v>107</v>
      </c>
      <c r="V118" s="149">
        <v>0.1</v>
      </c>
      <c r="W118" s="144">
        <f t="shared" si="12"/>
        <v>0.1</v>
      </c>
      <c r="X118" s="144">
        <f t="shared" si="11"/>
        <v>0.1</v>
      </c>
    </row>
    <row r="119" spans="2:24" ht="30" x14ac:dyDescent="0.2">
      <c r="B119" s="207" t="s">
        <v>809</v>
      </c>
      <c r="C119" s="224">
        <v>226</v>
      </c>
      <c r="D119" s="33" t="s">
        <v>476</v>
      </c>
      <c r="F119" s="157"/>
      <c r="N119" s="327" t="s">
        <v>255</v>
      </c>
      <c r="O119" s="333" t="s">
        <v>689</v>
      </c>
      <c r="P119" s="117" t="str">
        <f t="shared" si="14"/>
        <v>BP11: Install Rectangular Rapid Flashing Beacon without Median (3-Lane or More Roadway)</v>
      </c>
      <c r="Q119" s="342" t="s">
        <v>77</v>
      </c>
      <c r="R119" s="347" t="s">
        <v>76</v>
      </c>
      <c r="S119" s="347">
        <v>20</v>
      </c>
      <c r="T119" s="340" t="s">
        <v>150</v>
      </c>
      <c r="U119" s="352" t="s">
        <v>94</v>
      </c>
      <c r="V119" s="149">
        <v>0.1</v>
      </c>
      <c r="W119" s="144">
        <f t="shared" si="12"/>
        <v>0.1</v>
      </c>
      <c r="X119" s="144">
        <f t="shared" si="11"/>
        <v>0.1</v>
      </c>
    </row>
    <row r="120" spans="2:24" ht="30" x14ac:dyDescent="0.2">
      <c r="B120" s="207" t="s">
        <v>810</v>
      </c>
      <c r="C120" s="224">
        <v>227</v>
      </c>
      <c r="D120" s="33" t="s">
        <v>477</v>
      </c>
      <c r="F120" s="157"/>
      <c r="N120" s="327" t="s">
        <v>257</v>
      </c>
      <c r="O120" s="333" t="s">
        <v>690</v>
      </c>
      <c r="P120" s="117" t="str">
        <f t="shared" si="14"/>
        <v>BP12: Install Rectangular Rapid Flashing Beacon with Median (3-Lane or More Roadway)</v>
      </c>
      <c r="Q120" s="342" t="s">
        <v>77</v>
      </c>
      <c r="R120" s="347" t="s">
        <v>76</v>
      </c>
      <c r="S120" s="347">
        <v>20</v>
      </c>
      <c r="T120" s="340" t="s">
        <v>150</v>
      </c>
      <c r="U120" s="352" t="s">
        <v>94</v>
      </c>
      <c r="V120" s="149">
        <v>0.56000000000000005</v>
      </c>
      <c r="W120" s="144">
        <f t="shared" si="12"/>
        <v>0.56000000000000005</v>
      </c>
      <c r="X120" s="144">
        <f t="shared" si="11"/>
        <v>0.56000000000000005</v>
      </c>
    </row>
    <row r="121" spans="2:24" ht="15.75" x14ac:dyDescent="0.2">
      <c r="B121" s="207" t="s">
        <v>811</v>
      </c>
      <c r="C121" s="224">
        <v>228</v>
      </c>
      <c r="D121" s="209" t="s">
        <v>601</v>
      </c>
      <c r="F121" s="157"/>
      <c r="N121" s="327" t="s">
        <v>259</v>
      </c>
      <c r="O121" s="332" t="s">
        <v>682</v>
      </c>
      <c r="P121" s="117" t="str">
        <f t="shared" si="14"/>
        <v>BP13: Install Pedestrian Activated Beacon Midblock</v>
      </c>
      <c r="Q121" s="343" t="s">
        <v>246</v>
      </c>
      <c r="R121" s="344" t="s">
        <v>76</v>
      </c>
      <c r="S121" s="344">
        <v>20</v>
      </c>
      <c r="T121" s="340" t="s">
        <v>150</v>
      </c>
      <c r="U121" s="345" t="s">
        <v>107</v>
      </c>
      <c r="V121" s="149">
        <v>0.1</v>
      </c>
      <c r="W121" s="144">
        <f t="shared" si="12"/>
        <v>0.1</v>
      </c>
      <c r="X121" s="144">
        <f t="shared" si="11"/>
        <v>0.1</v>
      </c>
    </row>
    <row r="122" spans="2:24" ht="30" x14ac:dyDescent="0.2">
      <c r="B122" s="207" t="s">
        <v>812</v>
      </c>
      <c r="C122" s="224">
        <v>229</v>
      </c>
      <c r="D122" s="33" t="s">
        <v>479</v>
      </c>
      <c r="F122" s="157"/>
      <c r="N122" s="327" t="s">
        <v>261</v>
      </c>
      <c r="O122" s="332" t="s">
        <v>683</v>
      </c>
      <c r="P122" s="117" t="str">
        <f t="shared" si="14"/>
        <v>BP14: Install Pedestrian Activated Beacon (flashing Beacon in conjuction with median and stop bar)</v>
      </c>
      <c r="Q122" s="343" t="s">
        <v>246</v>
      </c>
      <c r="R122" s="344" t="s">
        <v>76</v>
      </c>
      <c r="S122" s="344">
        <v>20</v>
      </c>
      <c r="T122" s="340" t="s">
        <v>150</v>
      </c>
      <c r="U122" s="345" t="s">
        <v>107</v>
      </c>
      <c r="V122" s="149">
        <v>0.56000000000000005</v>
      </c>
      <c r="W122" s="144">
        <f t="shared" si="12"/>
        <v>0.56000000000000005</v>
      </c>
      <c r="X122" s="144">
        <f t="shared" si="11"/>
        <v>0.56000000000000005</v>
      </c>
    </row>
    <row r="123" spans="2:24" ht="30" x14ac:dyDescent="0.2">
      <c r="B123" s="207" t="s">
        <v>813</v>
      </c>
      <c r="C123" s="224">
        <v>231</v>
      </c>
      <c r="D123" s="33" t="s">
        <v>480</v>
      </c>
      <c r="F123" s="157"/>
      <c r="N123" s="327" t="s">
        <v>263</v>
      </c>
      <c r="O123" s="317" t="s">
        <v>256</v>
      </c>
      <c r="P123" s="117" t="str">
        <f t="shared" si="14"/>
        <v>BP15: Install Continental Crosswalk Markings and Advance Pedestrian Warning Signs at Uncontrolled Locations</v>
      </c>
      <c r="Q123" s="342" t="s">
        <v>77</v>
      </c>
      <c r="R123" s="337" t="s">
        <v>76</v>
      </c>
      <c r="S123" s="337">
        <v>10</v>
      </c>
      <c r="T123" s="340" t="s">
        <v>150</v>
      </c>
      <c r="U123" s="352" t="s">
        <v>94</v>
      </c>
      <c r="V123" s="149">
        <v>0.15</v>
      </c>
      <c r="W123" s="144">
        <f t="shared" si="12"/>
        <v>0.15</v>
      </c>
      <c r="X123" s="144">
        <f t="shared" si="11"/>
        <v>0.15</v>
      </c>
    </row>
    <row r="124" spans="2:24" ht="30" x14ac:dyDescent="0.2">
      <c r="B124" s="207" t="s">
        <v>814</v>
      </c>
      <c r="C124" s="224">
        <v>233</v>
      </c>
      <c r="D124" s="33" t="s">
        <v>481</v>
      </c>
      <c r="F124" s="157"/>
      <c r="N124" s="327" t="s">
        <v>265</v>
      </c>
      <c r="O124" s="317" t="s">
        <v>258</v>
      </c>
      <c r="P124" s="117" t="str">
        <f t="shared" si="14"/>
        <v xml:space="preserve">BP16: Install Curb Ramps and Extensions with a Marked Crosswalk and Pedestrian Warning Signs </v>
      </c>
      <c r="Q124" s="342" t="s">
        <v>77</v>
      </c>
      <c r="R124" s="337" t="s">
        <v>76</v>
      </c>
      <c r="S124" s="337">
        <v>20</v>
      </c>
      <c r="T124" s="340" t="s">
        <v>150</v>
      </c>
      <c r="U124" s="352" t="s">
        <v>94</v>
      </c>
      <c r="V124" s="149">
        <v>0.37</v>
      </c>
      <c r="W124" s="144">
        <f t="shared" si="12"/>
        <v>0.37</v>
      </c>
      <c r="X124" s="144">
        <f t="shared" si="11"/>
        <v>0.37</v>
      </c>
    </row>
    <row r="125" spans="2:24" ht="15.75" x14ac:dyDescent="0.2">
      <c r="B125" s="207" t="s">
        <v>815</v>
      </c>
      <c r="C125" s="224">
        <v>240</v>
      </c>
      <c r="D125" s="33" t="s">
        <v>482</v>
      </c>
      <c r="F125" s="157"/>
      <c r="N125" s="327" t="s">
        <v>266</v>
      </c>
      <c r="O125" s="317" t="s">
        <v>260</v>
      </c>
      <c r="P125" s="117" t="str">
        <f t="shared" si="14"/>
        <v>BP17: Install Advance Pedestrian or Bicycle Warning Signs</v>
      </c>
      <c r="Q125" s="342" t="s">
        <v>246</v>
      </c>
      <c r="R125" s="337" t="s">
        <v>76</v>
      </c>
      <c r="S125" s="337">
        <v>10</v>
      </c>
      <c r="T125" s="340" t="s">
        <v>150</v>
      </c>
      <c r="U125" s="352" t="s">
        <v>94</v>
      </c>
      <c r="V125" s="149">
        <v>0.05</v>
      </c>
      <c r="W125" s="144">
        <f t="shared" si="12"/>
        <v>0.05</v>
      </c>
      <c r="X125" s="144">
        <f t="shared" si="11"/>
        <v>0.05</v>
      </c>
    </row>
    <row r="126" spans="2:24" ht="15.75" x14ac:dyDescent="0.2">
      <c r="B126" s="207" t="s">
        <v>816</v>
      </c>
      <c r="C126" s="224">
        <v>241</v>
      </c>
      <c r="D126" s="33" t="s">
        <v>483</v>
      </c>
      <c r="F126" s="157"/>
      <c r="N126" s="327" t="s">
        <v>268</v>
      </c>
      <c r="O126" s="317" t="s">
        <v>262</v>
      </c>
      <c r="P126" s="117" t="str">
        <f t="shared" si="14"/>
        <v>BP18: Install Pedestrian Signal</v>
      </c>
      <c r="Q126" s="342" t="s">
        <v>246</v>
      </c>
      <c r="R126" s="337" t="s">
        <v>76</v>
      </c>
      <c r="S126" s="337">
        <v>20</v>
      </c>
      <c r="T126" s="340" t="s">
        <v>150</v>
      </c>
      <c r="U126" s="352" t="s">
        <v>94</v>
      </c>
      <c r="V126" s="149">
        <v>0.55000000000000004</v>
      </c>
      <c r="W126" s="144">
        <f t="shared" si="12"/>
        <v>0.55000000000000004</v>
      </c>
      <c r="X126" s="144">
        <f t="shared" si="11"/>
        <v>0.55000000000000004</v>
      </c>
    </row>
    <row r="127" spans="2:24" ht="15.75" x14ac:dyDescent="0.2">
      <c r="B127" s="207" t="s">
        <v>817</v>
      </c>
      <c r="C127" s="224">
        <v>242</v>
      </c>
      <c r="D127" s="33" t="s">
        <v>484</v>
      </c>
      <c r="F127" s="157"/>
      <c r="N127" s="327" t="s">
        <v>270</v>
      </c>
      <c r="O127" s="317" t="s">
        <v>264</v>
      </c>
      <c r="P127" s="117" t="str">
        <f t="shared" si="14"/>
        <v>BP19: Install Pedestrian Hybrid Beacon</v>
      </c>
      <c r="Q127" s="342" t="s">
        <v>246</v>
      </c>
      <c r="R127" s="337" t="s">
        <v>76</v>
      </c>
      <c r="S127" s="337">
        <v>20</v>
      </c>
      <c r="T127" s="340" t="s">
        <v>150</v>
      </c>
      <c r="U127" s="341" t="s">
        <v>107</v>
      </c>
      <c r="V127" s="149">
        <v>0.55000000000000004</v>
      </c>
      <c r="W127" s="144">
        <f t="shared" si="12"/>
        <v>0.55000000000000004</v>
      </c>
      <c r="X127" s="144">
        <f t="shared" si="11"/>
        <v>0.55000000000000004</v>
      </c>
    </row>
    <row r="128" spans="2:24" ht="30" x14ac:dyDescent="0.2">
      <c r="B128" s="207" t="s">
        <v>818</v>
      </c>
      <c r="C128" s="224">
        <v>244</v>
      </c>
      <c r="D128" s="33" t="s">
        <v>485</v>
      </c>
      <c r="F128" s="157"/>
      <c r="N128" s="327" t="s">
        <v>272</v>
      </c>
      <c r="O128" s="317" t="s">
        <v>195</v>
      </c>
      <c r="P128" s="117" t="str">
        <f t="shared" si="14"/>
        <v>BP20: Convert 4-Lane Roadway to 3-Lane Roadway with Center Turn Lane (Road Diet)</v>
      </c>
      <c r="Q128" s="337" t="s">
        <v>76</v>
      </c>
      <c r="R128" s="337" t="s">
        <v>76</v>
      </c>
      <c r="S128" s="337">
        <v>20</v>
      </c>
      <c r="T128" s="340" t="s">
        <v>150</v>
      </c>
      <c r="U128" s="341" t="s">
        <v>107</v>
      </c>
      <c r="V128" s="149">
        <v>0.28999999999999998</v>
      </c>
      <c r="W128" s="144">
        <f t="shared" si="12"/>
        <v>0.28999999999999998</v>
      </c>
      <c r="X128" s="144">
        <f t="shared" si="11"/>
        <v>0.28999999999999998</v>
      </c>
    </row>
    <row r="129" spans="2:24" ht="15.75" x14ac:dyDescent="0.2">
      <c r="B129" s="207" t="s">
        <v>819</v>
      </c>
      <c r="C129" s="224">
        <v>250</v>
      </c>
      <c r="D129" s="33" t="s">
        <v>486</v>
      </c>
      <c r="F129" s="157"/>
      <c r="N129" s="327" t="s">
        <v>315</v>
      </c>
      <c r="O129" s="331" t="s">
        <v>267</v>
      </c>
      <c r="P129" s="117" t="str">
        <f t="shared" si="14"/>
        <v>BP21: Install Bike Signal</v>
      </c>
      <c r="Q129" s="342" t="s">
        <v>251</v>
      </c>
      <c r="R129" s="337" t="s">
        <v>76</v>
      </c>
      <c r="S129" s="337">
        <v>20</v>
      </c>
      <c r="T129" s="340" t="s">
        <v>888</v>
      </c>
      <c r="U129" s="352" t="s">
        <v>94</v>
      </c>
      <c r="V129" s="149">
        <v>0.45</v>
      </c>
      <c r="W129" s="144">
        <f t="shared" si="12"/>
        <v>0.45</v>
      </c>
      <c r="X129" s="144">
        <f t="shared" si="11"/>
        <v>0.45</v>
      </c>
    </row>
    <row r="130" spans="2:24" ht="15.75" x14ac:dyDescent="0.2">
      <c r="B130" s="207" t="s">
        <v>820</v>
      </c>
      <c r="C130" s="224">
        <v>251</v>
      </c>
      <c r="D130" s="209" t="s">
        <v>590</v>
      </c>
      <c r="F130" s="157"/>
      <c r="N130" s="327" t="s">
        <v>659</v>
      </c>
      <c r="O130" s="329" t="s">
        <v>269</v>
      </c>
      <c r="P130" s="117" t="str">
        <f t="shared" si="14"/>
        <v>BP22: Install Bike Lanes</v>
      </c>
      <c r="Q130" s="342" t="s">
        <v>251</v>
      </c>
      <c r="R130" s="337" t="s">
        <v>76</v>
      </c>
      <c r="S130" s="337">
        <v>20</v>
      </c>
      <c r="T130" s="340" t="s">
        <v>150</v>
      </c>
      <c r="U130" s="352" t="s">
        <v>94</v>
      </c>
      <c r="V130" s="149">
        <v>0.36</v>
      </c>
      <c r="W130" s="144">
        <f t="shared" si="12"/>
        <v>0.36</v>
      </c>
      <c r="X130" s="144">
        <f t="shared" si="11"/>
        <v>0.36</v>
      </c>
    </row>
    <row r="131" spans="2:24" ht="15.75" x14ac:dyDescent="0.2">
      <c r="B131" s="207" t="s">
        <v>821</v>
      </c>
      <c r="C131" s="224">
        <v>255</v>
      </c>
      <c r="D131" s="33" t="s">
        <v>487</v>
      </c>
      <c r="F131" s="157"/>
      <c r="N131" s="327" t="s">
        <v>660</v>
      </c>
      <c r="O131" s="329" t="s">
        <v>271</v>
      </c>
      <c r="P131" s="117" t="str">
        <f t="shared" si="14"/>
        <v>BP23: Install Cycle Tracks</v>
      </c>
      <c r="Q131" s="342" t="s">
        <v>251</v>
      </c>
      <c r="R131" s="337" t="s">
        <v>885</v>
      </c>
      <c r="S131" s="337">
        <v>20</v>
      </c>
      <c r="T131" s="340" t="s">
        <v>150</v>
      </c>
      <c r="U131" s="341" t="s">
        <v>107</v>
      </c>
      <c r="V131" s="149">
        <v>0.59</v>
      </c>
      <c r="W131" s="144">
        <f t="shared" si="12"/>
        <v>0.59</v>
      </c>
      <c r="X131" s="144">
        <f t="shared" si="11"/>
        <v>0</v>
      </c>
    </row>
    <row r="132" spans="2:24" ht="15.75" x14ac:dyDescent="0.2">
      <c r="B132" s="207" t="s">
        <v>822</v>
      </c>
      <c r="C132" s="224">
        <v>260</v>
      </c>
      <c r="D132" s="209" t="s">
        <v>600</v>
      </c>
      <c r="F132" s="157"/>
      <c r="N132" s="327" t="s">
        <v>661</v>
      </c>
      <c r="O132" s="329" t="s">
        <v>273</v>
      </c>
      <c r="P132" s="117" t="str">
        <f t="shared" si="14"/>
        <v>BP24: Install Buffered Bike Lanes</v>
      </c>
      <c r="Q132" s="342" t="s">
        <v>251</v>
      </c>
      <c r="R132" s="337" t="s">
        <v>885</v>
      </c>
      <c r="S132" s="337">
        <v>20</v>
      </c>
      <c r="T132" s="340" t="s">
        <v>150</v>
      </c>
      <c r="U132" s="341" t="s">
        <v>107</v>
      </c>
      <c r="V132" s="149">
        <v>0.47</v>
      </c>
      <c r="W132" s="144">
        <f t="shared" si="12"/>
        <v>0.47</v>
      </c>
      <c r="X132" s="144">
        <f t="shared" si="11"/>
        <v>0</v>
      </c>
    </row>
    <row r="133" spans="2:24" ht="15.75" x14ac:dyDescent="0.2">
      <c r="B133" s="207" t="s">
        <v>823</v>
      </c>
      <c r="C133" s="224">
        <v>270</v>
      </c>
      <c r="D133" s="33" t="s">
        <v>488</v>
      </c>
      <c r="F133" s="157"/>
      <c r="N133" s="327" t="s">
        <v>665</v>
      </c>
      <c r="O133" s="330" t="s">
        <v>240</v>
      </c>
      <c r="P133" s="117" t="str">
        <f t="shared" si="14"/>
        <v>BP25: Prohibit Right-Turn-On-Red</v>
      </c>
      <c r="Q133" s="343" t="s">
        <v>246</v>
      </c>
      <c r="R133" s="344" t="s">
        <v>76</v>
      </c>
      <c r="S133" s="344">
        <v>10</v>
      </c>
      <c r="T133" s="340" t="s">
        <v>888</v>
      </c>
      <c r="U133" s="352" t="s">
        <v>94</v>
      </c>
      <c r="V133" s="149">
        <v>0.41</v>
      </c>
      <c r="W133" s="144">
        <f t="shared" si="12"/>
        <v>0.41</v>
      </c>
      <c r="X133" s="144">
        <f t="shared" si="11"/>
        <v>0.41</v>
      </c>
    </row>
    <row r="134" spans="2:24" ht="15.75" x14ac:dyDescent="0.2">
      <c r="B134" s="207" t="s">
        <v>824</v>
      </c>
      <c r="C134" s="224">
        <v>271</v>
      </c>
      <c r="D134" s="33" t="s">
        <v>489</v>
      </c>
      <c r="F134" s="157"/>
      <c r="N134" s="327" t="s">
        <v>874</v>
      </c>
      <c r="O134" s="330" t="s">
        <v>662</v>
      </c>
      <c r="P134" s="117" t="str">
        <f t="shared" ref="P134:P167" si="15">(N134&amp;":"&amp;" "&amp;O134)</f>
        <v>BP26: Advanced Yield and Stop Markings &amp; Signs</v>
      </c>
      <c r="Q134" s="343" t="s">
        <v>246</v>
      </c>
      <c r="R134" s="344" t="s">
        <v>76</v>
      </c>
      <c r="S134" s="344">
        <v>10</v>
      </c>
      <c r="T134" s="340" t="s">
        <v>150</v>
      </c>
      <c r="U134" s="352" t="s">
        <v>94</v>
      </c>
      <c r="V134" s="150">
        <v>0.25</v>
      </c>
      <c r="W134" s="144">
        <f t="shared" si="12"/>
        <v>0.25</v>
      </c>
      <c r="X134" s="144">
        <f t="shared" si="11"/>
        <v>0.25</v>
      </c>
    </row>
    <row r="135" spans="2:24" ht="15.75" x14ac:dyDescent="0.2">
      <c r="B135" s="207" t="s">
        <v>825</v>
      </c>
      <c r="C135" s="224">
        <v>272</v>
      </c>
      <c r="D135" s="33" t="s">
        <v>490</v>
      </c>
      <c r="F135" s="157"/>
      <c r="N135" s="327" t="s">
        <v>875</v>
      </c>
      <c r="O135" s="330" t="s">
        <v>663</v>
      </c>
      <c r="P135" s="117" t="str">
        <f t="shared" si="15"/>
        <v>BP27: Install Bicycle Boulevard</v>
      </c>
      <c r="Q135" s="343" t="s">
        <v>246</v>
      </c>
      <c r="R135" s="344" t="s">
        <v>76</v>
      </c>
      <c r="S135" s="344">
        <v>10</v>
      </c>
      <c r="T135" s="340" t="s">
        <v>150</v>
      </c>
      <c r="U135" s="352" t="s">
        <v>94</v>
      </c>
      <c r="V135" s="150">
        <v>0.63</v>
      </c>
      <c r="W135" s="144">
        <f t="shared" si="12"/>
        <v>0.63</v>
      </c>
      <c r="X135" s="144">
        <f t="shared" si="11"/>
        <v>0.63</v>
      </c>
    </row>
    <row r="136" spans="2:24" ht="25.5" x14ac:dyDescent="0.2">
      <c r="B136" s="207" t="s">
        <v>826</v>
      </c>
      <c r="C136" s="224">
        <v>273</v>
      </c>
      <c r="D136" s="33" t="s">
        <v>491</v>
      </c>
      <c r="F136" s="157"/>
      <c r="N136" s="327" t="s">
        <v>876</v>
      </c>
      <c r="O136" s="332" t="s">
        <v>664</v>
      </c>
      <c r="P136" s="117" t="str">
        <f t="shared" si="15"/>
        <v>BP28: Install Raised Crosswalk</v>
      </c>
      <c r="Q136" s="343" t="s">
        <v>246</v>
      </c>
      <c r="R136" s="344" t="s">
        <v>76</v>
      </c>
      <c r="S136" s="344">
        <v>20</v>
      </c>
      <c r="T136" s="336" t="s">
        <v>886</v>
      </c>
      <c r="U136" s="345" t="s">
        <v>107</v>
      </c>
      <c r="V136" s="150">
        <v>0.3</v>
      </c>
      <c r="W136" s="144">
        <f t="shared" si="12"/>
        <v>0.3</v>
      </c>
      <c r="X136" s="144">
        <f t="shared" si="11"/>
        <v>0.3</v>
      </c>
    </row>
    <row r="137" spans="2:24" ht="15.75" x14ac:dyDescent="0.2">
      <c r="B137" s="207" t="s">
        <v>827</v>
      </c>
      <c r="C137" s="224">
        <v>281</v>
      </c>
      <c r="D137" s="33" t="s">
        <v>492</v>
      </c>
      <c r="F137" s="157"/>
      <c r="N137" s="327" t="s">
        <v>877</v>
      </c>
      <c r="O137" s="317" t="s">
        <v>878</v>
      </c>
      <c r="P137" s="117" t="str">
        <f t="shared" si="15"/>
        <v>BP29: Sidewalk</v>
      </c>
      <c r="Q137" s="343" t="s">
        <v>891</v>
      </c>
      <c r="R137" s="338" t="s">
        <v>76</v>
      </c>
      <c r="S137" s="337">
        <v>20</v>
      </c>
      <c r="T137" s="340" t="s">
        <v>150</v>
      </c>
      <c r="U137" s="352" t="s">
        <v>94</v>
      </c>
      <c r="V137" s="150">
        <v>0.2</v>
      </c>
      <c r="W137" s="144">
        <f t="shared" si="12"/>
        <v>0.2</v>
      </c>
      <c r="X137" s="144">
        <f t="shared" si="11"/>
        <v>0.2</v>
      </c>
    </row>
    <row r="138" spans="2:24" ht="15.75" x14ac:dyDescent="0.2">
      <c r="B138" s="207" t="s">
        <v>828</v>
      </c>
      <c r="C138" s="224">
        <v>282</v>
      </c>
      <c r="D138" s="33" t="s">
        <v>493</v>
      </c>
      <c r="F138" s="157"/>
      <c r="N138" s="327" t="s">
        <v>879</v>
      </c>
      <c r="O138" s="332" t="s">
        <v>666</v>
      </c>
      <c r="P138" s="117" t="str">
        <f t="shared" si="15"/>
        <v>BP30: Install Speed Humps/Table (not on state highways)</v>
      </c>
      <c r="Q138" s="343" t="s">
        <v>246</v>
      </c>
      <c r="R138" s="344" t="s">
        <v>76</v>
      </c>
      <c r="S138" s="344">
        <v>20</v>
      </c>
      <c r="T138" s="340" t="s">
        <v>150</v>
      </c>
      <c r="U138" s="345" t="s">
        <v>107</v>
      </c>
      <c r="V138" s="150">
        <v>0.15</v>
      </c>
      <c r="W138" s="144">
        <f t="shared" si="12"/>
        <v>0.15</v>
      </c>
      <c r="X138" s="144">
        <f t="shared" si="11"/>
        <v>0.15</v>
      </c>
    </row>
    <row r="139" spans="2:24" ht="15.75" x14ac:dyDescent="0.2">
      <c r="B139" s="207" t="s">
        <v>829</v>
      </c>
      <c r="C139" s="224">
        <v>290</v>
      </c>
      <c r="D139" s="209" t="s">
        <v>840</v>
      </c>
      <c r="F139" s="157"/>
      <c r="N139" s="328" t="s">
        <v>880</v>
      </c>
      <c r="O139" s="317" t="s">
        <v>881</v>
      </c>
      <c r="P139" s="117" t="str">
        <f t="shared" si="15"/>
        <v>BP31: Street Tree's (supports blueprint for Urban Design)</v>
      </c>
      <c r="Q139" s="344" t="s">
        <v>76</v>
      </c>
      <c r="R139" s="344" t="s">
        <v>76</v>
      </c>
      <c r="S139" s="337">
        <v>20</v>
      </c>
      <c r="T139" s="340" t="s">
        <v>150</v>
      </c>
      <c r="U139" s="345" t="s">
        <v>107</v>
      </c>
      <c r="V139" s="149">
        <v>0.1</v>
      </c>
      <c r="W139" s="144">
        <f t="shared" si="12"/>
        <v>0.1</v>
      </c>
      <c r="X139" s="144">
        <f t="shared" si="11"/>
        <v>0.1</v>
      </c>
    </row>
    <row r="140" spans="2:24" ht="30" x14ac:dyDescent="0.2">
      <c r="B140" s="207" t="s">
        <v>828</v>
      </c>
      <c r="C140" s="224">
        <v>25</v>
      </c>
      <c r="D140" s="209" t="s">
        <v>911</v>
      </c>
      <c r="F140" s="157"/>
      <c r="N140" s="328" t="s">
        <v>274</v>
      </c>
      <c r="O140" s="317" t="s">
        <v>275</v>
      </c>
      <c r="P140" s="117" t="str">
        <f t="shared" si="15"/>
        <v>RD1: Increase Distance to Rural Roadside Obstacle from 3 ft. (1 m) to 16 ft. (5 m)</v>
      </c>
      <c r="Q140" s="339" t="s">
        <v>76</v>
      </c>
      <c r="R140" s="337" t="s">
        <v>76</v>
      </c>
      <c r="S140" s="337">
        <v>20</v>
      </c>
      <c r="T140" s="340" t="s">
        <v>150</v>
      </c>
      <c r="U140" s="341" t="s">
        <v>6</v>
      </c>
      <c r="V140" s="149">
        <v>0.22</v>
      </c>
      <c r="W140" s="144">
        <f t="shared" si="12"/>
        <v>0.22</v>
      </c>
      <c r="X140" s="144">
        <f t="shared" si="11"/>
        <v>0.22</v>
      </c>
    </row>
    <row r="141" spans="2:24" ht="30" x14ac:dyDescent="0.2">
      <c r="B141" s="207" t="s">
        <v>830</v>
      </c>
      <c r="C141" s="224">
        <v>291</v>
      </c>
      <c r="D141" s="209" t="s">
        <v>592</v>
      </c>
      <c r="F141" s="157"/>
      <c r="N141" s="328" t="s">
        <v>276</v>
      </c>
      <c r="O141" s="317" t="s">
        <v>277</v>
      </c>
      <c r="P141" s="117" t="str">
        <f t="shared" si="15"/>
        <v>RD2: Increase Distance to Rural Roadside Obstacle from 16 ft. (5 m) to 30 ft. (9 m)</v>
      </c>
      <c r="Q141" s="339" t="s">
        <v>76</v>
      </c>
      <c r="R141" s="337" t="s">
        <v>76</v>
      </c>
      <c r="S141" s="337">
        <v>20</v>
      </c>
      <c r="T141" s="340" t="s">
        <v>150</v>
      </c>
      <c r="U141" s="341" t="s">
        <v>6</v>
      </c>
      <c r="V141" s="149">
        <v>0.44</v>
      </c>
      <c r="W141" s="144">
        <f t="shared" si="12"/>
        <v>0.44</v>
      </c>
      <c r="X141" s="144">
        <f t="shared" si="11"/>
        <v>0.44</v>
      </c>
    </row>
    <row r="142" spans="2:24" ht="15.75" x14ac:dyDescent="0.2">
      <c r="B142" s="207" t="s">
        <v>831</v>
      </c>
      <c r="C142" s="224">
        <v>292</v>
      </c>
      <c r="D142" s="33" t="s">
        <v>494</v>
      </c>
      <c r="F142" s="157"/>
      <c r="N142" s="327" t="s">
        <v>278</v>
      </c>
      <c r="O142" s="317" t="s">
        <v>279</v>
      </c>
      <c r="P142" s="117" t="str">
        <f t="shared" si="15"/>
        <v>RD3: Flatten Rural Side Slopes</v>
      </c>
      <c r="Q142" s="337" t="s">
        <v>76</v>
      </c>
      <c r="R142" s="337" t="s">
        <v>76</v>
      </c>
      <c r="S142" s="337">
        <v>20</v>
      </c>
      <c r="T142" s="340" t="s">
        <v>150</v>
      </c>
      <c r="U142" s="341" t="s">
        <v>6</v>
      </c>
      <c r="V142" s="149" t="s">
        <v>624</v>
      </c>
      <c r="W142" s="144" t="str">
        <f t="shared" si="12"/>
        <v>#</v>
      </c>
      <c r="X142" s="144" t="str">
        <f t="shared" si="11"/>
        <v>#</v>
      </c>
    </row>
    <row r="143" spans="2:24" ht="30" x14ac:dyDescent="0.2">
      <c r="B143" s="207" t="s">
        <v>832</v>
      </c>
      <c r="C143" s="224">
        <v>293</v>
      </c>
      <c r="D143" s="33" t="s">
        <v>495</v>
      </c>
      <c r="F143" s="157"/>
      <c r="N143" s="328" t="s">
        <v>280</v>
      </c>
      <c r="O143" s="329" t="s">
        <v>186</v>
      </c>
      <c r="P143" s="117" t="str">
        <f t="shared" si="15"/>
        <v>RD4: Increase Pavement Friction by Installing High Friction Surface Treatment - Intersection or Segment Application</v>
      </c>
      <c r="Q143" s="342" t="s">
        <v>187</v>
      </c>
      <c r="R143" s="337" t="s">
        <v>76</v>
      </c>
      <c r="S143" s="337">
        <v>10</v>
      </c>
      <c r="T143" s="340" t="s">
        <v>150</v>
      </c>
      <c r="U143" s="352" t="s">
        <v>94</v>
      </c>
      <c r="V143" s="149">
        <v>0.56999999999999995</v>
      </c>
      <c r="W143" s="144">
        <f t="shared" si="12"/>
        <v>0.56999999999999995</v>
      </c>
      <c r="X143" s="144">
        <f t="shared" si="11"/>
        <v>0.56999999999999995</v>
      </c>
    </row>
    <row r="144" spans="2:24" ht="15.75" x14ac:dyDescent="0.2">
      <c r="B144" s="207" t="s">
        <v>833</v>
      </c>
      <c r="C144" s="224">
        <v>300</v>
      </c>
      <c r="D144" s="33" t="s">
        <v>496</v>
      </c>
      <c r="F144" s="157"/>
      <c r="N144" s="328" t="s">
        <v>281</v>
      </c>
      <c r="O144" s="317" t="s">
        <v>282</v>
      </c>
      <c r="P144" s="117" t="str">
        <f t="shared" si="15"/>
        <v>RD5: Provide Safety Edge for Rural Pavement Edge Drop-Off</v>
      </c>
      <c r="Q144" s="337" t="s">
        <v>76</v>
      </c>
      <c r="R144" s="337" t="s">
        <v>76</v>
      </c>
      <c r="S144" s="337">
        <v>10</v>
      </c>
      <c r="T144" s="340" t="s">
        <v>150</v>
      </c>
      <c r="U144" s="341" t="s">
        <v>6</v>
      </c>
      <c r="V144" s="149">
        <v>0.06</v>
      </c>
      <c r="W144" s="144">
        <f t="shared" si="12"/>
        <v>0.06</v>
      </c>
      <c r="X144" s="144">
        <f t="shared" si="11"/>
        <v>0.06</v>
      </c>
    </row>
    <row r="145" spans="2:24" ht="15.75" x14ac:dyDescent="0.2">
      <c r="B145" s="207" t="s">
        <v>834</v>
      </c>
      <c r="C145" s="224">
        <v>301</v>
      </c>
      <c r="D145" s="33" t="s">
        <v>497</v>
      </c>
      <c r="F145" s="157"/>
      <c r="N145" s="327" t="s">
        <v>283</v>
      </c>
      <c r="O145" s="317" t="s">
        <v>284</v>
      </c>
      <c r="P145" s="117" t="str">
        <f t="shared" si="15"/>
        <v>RD6: Install RECOMMENDED Chevron Signs on Rural Horizontal Curves</v>
      </c>
      <c r="Q145" s="342" t="s">
        <v>285</v>
      </c>
      <c r="R145" s="337" t="s">
        <v>885</v>
      </c>
      <c r="S145" s="337">
        <v>10</v>
      </c>
      <c r="T145" s="340" t="s">
        <v>150</v>
      </c>
      <c r="U145" s="341" t="s">
        <v>6</v>
      </c>
      <c r="V145" s="149">
        <v>0.16</v>
      </c>
      <c r="W145" s="144">
        <f t="shared" si="12"/>
        <v>0.16</v>
      </c>
      <c r="X145" s="144">
        <f t="shared" si="11"/>
        <v>0</v>
      </c>
    </row>
    <row r="146" spans="2:24" ht="30" x14ac:dyDescent="0.2">
      <c r="B146" s="207" t="s">
        <v>835</v>
      </c>
      <c r="C146" s="224">
        <v>320</v>
      </c>
      <c r="D146" s="33" t="s">
        <v>498</v>
      </c>
      <c r="F146" s="157"/>
      <c r="N146" s="328" t="s">
        <v>286</v>
      </c>
      <c r="O146" s="317" t="s">
        <v>287</v>
      </c>
      <c r="P146" s="117" t="str">
        <f t="shared" si="15"/>
        <v>RD7: Install REQUIRED Chevron Signs on Rural Horizontal Curves (Ballbanking and Revised Speed Riders Included)</v>
      </c>
      <c r="Q146" s="342" t="s">
        <v>285</v>
      </c>
      <c r="R146" s="337" t="s">
        <v>885</v>
      </c>
      <c r="S146" s="337">
        <v>10</v>
      </c>
      <c r="T146" s="340" t="s">
        <v>150</v>
      </c>
      <c r="U146" s="341" t="s">
        <v>6</v>
      </c>
      <c r="V146" s="149">
        <v>0.16</v>
      </c>
      <c r="W146" s="144">
        <f t="shared" si="12"/>
        <v>0.16</v>
      </c>
      <c r="X146" s="144">
        <f t="shared" si="11"/>
        <v>0</v>
      </c>
    </row>
    <row r="147" spans="2:24" ht="30" x14ac:dyDescent="0.2">
      <c r="B147" s="207" t="s">
        <v>836</v>
      </c>
      <c r="C147" s="224">
        <v>321</v>
      </c>
      <c r="D147" s="33" t="s">
        <v>499</v>
      </c>
      <c r="F147" s="157"/>
      <c r="N147" s="328" t="s">
        <v>288</v>
      </c>
      <c r="O147" s="317" t="s">
        <v>289</v>
      </c>
      <c r="P147" s="117" t="str">
        <f t="shared" si="15"/>
        <v>RD8: Install Oversized, Doubled Up and/or Fluorescent Yellow Sheeting for Advance Curve Warning Signs</v>
      </c>
      <c r="Q147" s="342" t="s">
        <v>285</v>
      </c>
      <c r="R147" s="337" t="s">
        <v>76</v>
      </c>
      <c r="S147" s="337">
        <v>10</v>
      </c>
      <c r="T147" s="340" t="s">
        <v>150</v>
      </c>
      <c r="U147" s="352" t="s">
        <v>94</v>
      </c>
      <c r="V147" s="149">
        <v>0.2</v>
      </c>
      <c r="W147" s="144">
        <f t="shared" si="12"/>
        <v>0.2</v>
      </c>
      <c r="X147" s="144">
        <f t="shared" si="11"/>
        <v>0.2</v>
      </c>
    </row>
    <row r="148" spans="2:24" ht="30" x14ac:dyDescent="0.2">
      <c r="B148" s="207" t="s">
        <v>837</v>
      </c>
      <c r="C148" s="224">
        <v>330</v>
      </c>
      <c r="D148" s="33" t="s">
        <v>500</v>
      </c>
      <c r="F148" s="157"/>
      <c r="N148" s="327" t="s">
        <v>290</v>
      </c>
      <c r="O148" s="317" t="s">
        <v>291</v>
      </c>
      <c r="P148" s="117" t="str">
        <f t="shared" si="15"/>
        <v>RD9: Provide Static Combination Horizontal Alignment/Advisory Curve Warning Sign</v>
      </c>
      <c r="Q148" s="337" t="s">
        <v>76</v>
      </c>
      <c r="R148" s="337" t="s">
        <v>885</v>
      </c>
      <c r="S148" s="337">
        <v>10</v>
      </c>
      <c r="T148" s="340" t="s">
        <v>150</v>
      </c>
      <c r="U148" s="352" t="s">
        <v>94</v>
      </c>
      <c r="V148" s="149">
        <v>0.13</v>
      </c>
      <c r="W148" s="144">
        <f t="shared" si="12"/>
        <v>0.13</v>
      </c>
      <c r="X148" s="144">
        <f t="shared" si="11"/>
        <v>0</v>
      </c>
    </row>
    <row r="149" spans="2:24" ht="30" x14ac:dyDescent="0.2">
      <c r="B149" s="207" t="s">
        <v>838</v>
      </c>
      <c r="C149" s="224">
        <v>331</v>
      </c>
      <c r="D149" s="33" t="s">
        <v>501</v>
      </c>
      <c r="F149" s="157"/>
      <c r="N149" s="328" t="s">
        <v>292</v>
      </c>
      <c r="O149" s="317" t="s">
        <v>293</v>
      </c>
      <c r="P149" s="117" t="str">
        <f t="shared" si="15"/>
        <v>RD10: Install Advance Curve Warning Flashers (Curve Warning Signs Exist)</v>
      </c>
      <c r="Q149" s="342" t="s">
        <v>294</v>
      </c>
      <c r="R149" s="337" t="s">
        <v>76</v>
      </c>
      <c r="S149" s="337">
        <v>10</v>
      </c>
      <c r="T149" s="340" t="s">
        <v>150</v>
      </c>
      <c r="U149" s="352" t="s">
        <v>94</v>
      </c>
      <c r="V149" s="149">
        <v>0.1</v>
      </c>
      <c r="W149" s="144">
        <f t="shared" si="12"/>
        <v>0.1</v>
      </c>
      <c r="X149" s="144">
        <f t="shared" si="11"/>
        <v>0.1</v>
      </c>
    </row>
    <row r="150" spans="2:24" ht="15.75" x14ac:dyDescent="0.2">
      <c r="B150" s="207" t="s">
        <v>839</v>
      </c>
      <c r="C150" s="224">
        <v>332</v>
      </c>
      <c r="D150" s="33" t="s">
        <v>502</v>
      </c>
      <c r="F150" s="157"/>
      <c r="N150" s="328" t="s">
        <v>295</v>
      </c>
      <c r="O150" s="317" t="s">
        <v>667</v>
      </c>
      <c r="P150" s="117" t="str">
        <f t="shared" si="15"/>
        <v>RD11: Install Dynamic Speed Feedback Sign for Curves</v>
      </c>
      <c r="Q150" s="337" t="s">
        <v>76</v>
      </c>
      <c r="R150" s="337" t="s">
        <v>76</v>
      </c>
      <c r="S150" s="337">
        <v>10</v>
      </c>
      <c r="T150" s="340" t="s">
        <v>150</v>
      </c>
      <c r="U150" s="341" t="s">
        <v>6</v>
      </c>
      <c r="V150" s="149">
        <v>0.05</v>
      </c>
      <c r="W150" s="144">
        <f t="shared" si="12"/>
        <v>0.05</v>
      </c>
      <c r="X150" s="144">
        <f t="shared" si="11"/>
        <v>0.05</v>
      </c>
    </row>
    <row r="151" spans="2:24" ht="15.75" x14ac:dyDescent="0.2">
      <c r="B151" s="207" t="s">
        <v>44</v>
      </c>
      <c r="C151" s="224">
        <v>333</v>
      </c>
      <c r="D151" s="33" t="s">
        <v>503</v>
      </c>
      <c r="F151" s="157"/>
      <c r="N151" s="327" t="s">
        <v>296</v>
      </c>
      <c r="O151" s="317" t="s">
        <v>882</v>
      </c>
      <c r="P151" s="117" t="str">
        <f t="shared" si="15"/>
        <v>RD12: Install Speed Feedback Sign</v>
      </c>
      <c r="Q151" s="344" t="s">
        <v>76</v>
      </c>
      <c r="R151" s="344" t="s">
        <v>76</v>
      </c>
      <c r="S151" s="337">
        <v>5</v>
      </c>
      <c r="T151" s="338" t="s">
        <v>150</v>
      </c>
      <c r="U151" s="352" t="s">
        <v>94</v>
      </c>
      <c r="V151" s="149">
        <v>0.1</v>
      </c>
      <c r="W151" s="144">
        <f t="shared" si="12"/>
        <v>0.1</v>
      </c>
      <c r="X151" s="144">
        <f t="shared" si="11"/>
        <v>0.1</v>
      </c>
    </row>
    <row r="152" spans="2:24" ht="15.75" x14ac:dyDescent="0.2">
      <c r="B152" s="207" t="s">
        <v>44</v>
      </c>
      <c r="C152" s="224">
        <v>334</v>
      </c>
      <c r="D152" s="33" t="s">
        <v>504</v>
      </c>
      <c r="F152" s="157"/>
      <c r="N152" s="328" t="s">
        <v>298</v>
      </c>
      <c r="O152" s="317" t="s">
        <v>297</v>
      </c>
      <c r="P152" s="117" t="str">
        <f t="shared" si="15"/>
        <v>RD13: Install Raised or Recessed Pavement Markers</v>
      </c>
      <c r="Q152" s="342" t="s">
        <v>147</v>
      </c>
      <c r="R152" s="337" t="s">
        <v>76</v>
      </c>
      <c r="S152" s="337">
        <v>10</v>
      </c>
      <c r="T152" s="340" t="s">
        <v>150</v>
      </c>
      <c r="U152" s="352" t="s">
        <v>94</v>
      </c>
      <c r="V152" s="149">
        <v>0.15</v>
      </c>
      <c r="W152" s="144">
        <f t="shared" si="12"/>
        <v>0.15</v>
      </c>
      <c r="X152" s="144">
        <f t="shared" si="11"/>
        <v>0.15</v>
      </c>
    </row>
    <row r="153" spans="2:24" ht="25.5" x14ac:dyDescent="0.2">
      <c r="C153" s="224">
        <v>335</v>
      </c>
      <c r="D153" s="33" t="s">
        <v>505</v>
      </c>
      <c r="F153" s="157"/>
      <c r="N153" s="328" t="s">
        <v>301</v>
      </c>
      <c r="O153" s="317" t="s">
        <v>299</v>
      </c>
      <c r="P153" s="117" t="str">
        <f t="shared" si="15"/>
        <v>RD14: Install Post-Mounted Delineators (Curve Application)</v>
      </c>
      <c r="Q153" s="348" t="s">
        <v>300</v>
      </c>
      <c r="R153" s="337" t="s">
        <v>76</v>
      </c>
      <c r="S153" s="337">
        <v>10</v>
      </c>
      <c r="T153" s="340" t="s">
        <v>150</v>
      </c>
      <c r="U153" s="352" t="s">
        <v>94</v>
      </c>
      <c r="V153" s="149">
        <v>0.3</v>
      </c>
      <c r="W153" s="144">
        <f t="shared" si="12"/>
        <v>0.3</v>
      </c>
      <c r="X153" s="144">
        <f t="shared" si="11"/>
        <v>0.3</v>
      </c>
    </row>
    <row r="154" spans="2:24" ht="15.75" x14ac:dyDescent="0.2">
      <c r="B154" s="207"/>
      <c r="C154" s="224">
        <v>339</v>
      </c>
      <c r="D154" s="33" t="s">
        <v>364</v>
      </c>
      <c r="F154" s="157"/>
      <c r="N154" s="327" t="s">
        <v>303</v>
      </c>
      <c r="O154" s="317" t="s">
        <v>302</v>
      </c>
      <c r="P154" s="117" t="str">
        <f t="shared" si="15"/>
        <v>RD15: Install Edgeline Striping (Tangent and/or Curve Application)</v>
      </c>
      <c r="Q154" s="348" t="s">
        <v>155</v>
      </c>
      <c r="R154" s="337" t="s">
        <v>76</v>
      </c>
      <c r="S154" s="337">
        <v>10</v>
      </c>
      <c r="T154" s="340" t="s">
        <v>150</v>
      </c>
      <c r="U154" s="341" t="s">
        <v>6</v>
      </c>
      <c r="V154" s="149">
        <v>0.11</v>
      </c>
      <c r="W154" s="144">
        <f t="shared" si="12"/>
        <v>0.11</v>
      </c>
      <c r="X154" s="144">
        <f t="shared" si="11"/>
        <v>0.11</v>
      </c>
    </row>
    <row r="155" spans="2:24" ht="15.75" x14ac:dyDescent="0.2">
      <c r="C155" s="224">
        <v>340</v>
      </c>
      <c r="D155" s="33" t="s">
        <v>506</v>
      </c>
      <c r="F155" s="157"/>
      <c r="N155" s="328" t="s">
        <v>305</v>
      </c>
      <c r="O155" s="317" t="s">
        <v>304</v>
      </c>
      <c r="P155" s="117" t="str">
        <f t="shared" si="15"/>
        <v>RD16: Install Centerline Rumble Strips</v>
      </c>
      <c r="Q155" s="337" t="s">
        <v>76</v>
      </c>
      <c r="R155" s="337" t="s">
        <v>885</v>
      </c>
      <c r="S155" s="337">
        <v>10</v>
      </c>
      <c r="T155" s="340" t="s">
        <v>150</v>
      </c>
      <c r="U155" s="341" t="s">
        <v>6</v>
      </c>
      <c r="V155" s="149">
        <v>0.12</v>
      </c>
      <c r="W155" s="144">
        <f t="shared" si="12"/>
        <v>0.12</v>
      </c>
      <c r="X155" s="144">
        <f t="shared" si="11"/>
        <v>0</v>
      </c>
    </row>
    <row r="156" spans="2:24" ht="38.25" x14ac:dyDescent="0.2">
      <c r="C156" s="224">
        <v>341</v>
      </c>
      <c r="D156" s="33" t="s">
        <v>507</v>
      </c>
      <c r="F156" s="157"/>
      <c r="N156" s="328" t="s">
        <v>307</v>
      </c>
      <c r="O156" s="330" t="s">
        <v>304</v>
      </c>
      <c r="P156" s="117" t="str">
        <f t="shared" si="15"/>
        <v>RD17: Install Centerline Rumble Strips</v>
      </c>
      <c r="Q156" s="349" t="s">
        <v>669</v>
      </c>
      <c r="R156" s="337" t="s">
        <v>885</v>
      </c>
      <c r="S156" s="344">
        <v>10</v>
      </c>
      <c r="T156" s="340" t="s">
        <v>150</v>
      </c>
      <c r="U156" s="345" t="s">
        <v>6</v>
      </c>
      <c r="V156" s="149">
        <v>0.45</v>
      </c>
      <c r="W156" s="144">
        <f t="shared" si="12"/>
        <v>0.45</v>
      </c>
      <c r="X156" s="144">
        <f t="shared" si="11"/>
        <v>0</v>
      </c>
    </row>
    <row r="157" spans="2:24" ht="15.75" x14ac:dyDescent="0.2">
      <c r="C157" s="224">
        <v>342</v>
      </c>
      <c r="D157" s="33" t="s">
        <v>508</v>
      </c>
      <c r="F157" s="157"/>
      <c r="N157" s="327" t="s">
        <v>309</v>
      </c>
      <c r="O157" s="317" t="s">
        <v>306</v>
      </c>
      <c r="P157" s="117" t="str">
        <f t="shared" si="15"/>
        <v>RD18: Install Shoulder Rumble Strips</v>
      </c>
      <c r="Q157" s="342" t="s">
        <v>155</v>
      </c>
      <c r="R157" s="337" t="s">
        <v>76</v>
      </c>
      <c r="S157" s="337">
        <v>10</v>
      </c>
      <c r="T157" s="340" t="s">
        <v>150</v>
      </c>
      <c r="U157" s="352" t="s">
        <v>94</v>
      </c>
      <c r="V157" s="149">
        <v>0.22</v>
      </c>
      <c r="W157" s="144">
        <f t="shared" si="12"/>
        <v>0.22</v>
      </c>
      <c r="X157" s="144">
        <f t="shared" si="11"/>
        <v>0.22</v>
      </c>
    </row>
    <row r="158" spans="2:24" ht="15.75" x14ac:dyDescent="0.2">
      <c r="C158" s="224">
        <v>350</v>
      </c>
      <c r="D158" s="33" t="s">
        <v>509</v>
      </c>
      <c r="F158" s="157"/>
      <c r="N158" s="328" t="s">
        <v>311</v>
      </c>
      <c r="O158" s="317" t="s">
        <v>308</v>
      </c>
      <c r="P158" s="117" t="str">
        <f t="shared" si="15"/>
        <v>RD19: Install Profiled Line Pavement Markings</v>
      </c>
      <c r="Q158" s="342" t="s">
        <v>668</v>
      </c>
      <c r="R158" s="337" t="s">
        <v>76</v>
      </c>
      <c r="S158" s="337">
        <v>5</v>
      </c>
      <c r="T158" s="340" t="s">
        <v>150</v>
      </c>
      <c r="U158" s="352" t="s">
        <v>94</v>
      </c>
      <c r="V158" s="149">
        <v>0.09</v>
      </c>
      <c r="W158" s="144">
        <f t="shared" si="12"/>
        <v>0.09</v>
      </c>
      <c r="X158" s="144">
        <f t="shared" si="11"/>
        <v>0.09</v>
      </c>
    </row>
    <row r="159" spans="2:24" ht="15.75" x14ac:dyDescent="0.2">
      <c r="C159" s="224">
        <v>351</v>
      </c>
      <c r="D159" s="33" t="s">
        <v>510</v>
      </c>
      <c r="F159" s="157"/>
      <c r="N159" s="328" t="s">
        <v>313</v>
      </c>
      <c r="O159" s="317" t="s">
        <v>310</v>
      </c>
      <c r="P159" s="117" t="str">
        <f t="shared" ref="P159:P166" si="16">(N159&amp;":"&amp;" "&amp;O159)</f>
        <v>RD20: Install Widen Paved Shoulder by 1 ft.</v>
      </c>
      <c r="Q159" s="340" t="s">
        <v>76</v>
      </c>
      <c r="R159" s="337" t="s">
        <v>76</v>
      </c>
      <c r="S159" s="337">
        <v>20</v>
      </c>
      <c r="T159" s="340" t="s">
        <v>150</v>
      </c>
      <c r="U159" s="352" t="s">
        <v>94</v>
      </c>
      <c r="V159" s="149">
        <v>0.06</v>
      </c>
      <c r="W159" s="144">
        <f t="shared" ref="W159:W166" si="17">V159</f>
        <v>0.06</v>
      </c>
      <c r="X159" s="144">
        <f t="shared" ref="X159:X166" si="18">IF(R159="all",V159,0)</f>
        <v>0.06</v>
      </c>
    </row>
    <row r="160" spans="2:24" ht="15.75" x14ac:dyDescent="0.2">
      <c r="C160" s="224">
        <v>360</v>
      </c>
      <c r="D160" s="33" t="s">
        <v>511</v>
      </c>
      <c r="F160" s="157"/>
      <c r="N160" s="327" t="s">
        <v>670</v>
      </c>
      <c r="O160" s="317" t="s">
        <v>312</v>
      </c>
      <c r="P160" s="117" t="str">
        <f t="shared" si="16"/>
        <v>RD21: Install Widen Paved Shoulder by 2 ft.</v>
      </c>
      <c r="Q160" s="350" t="s">
        <v>76</v>
      </c>
      <c r="R160" s="337" t="s">
        <v>76</v>
      </c>
      <c r="S160" s="337">
        <v>20</v>
      </c>
      <c r="T160" s="340" t="s">
        <v>150</v>
      </c>
      <c r="U160" s="352" t="s">
        <v>94</v>
      </c>
      <c r="V160" s="149">
        <v>0.13</v>
      </c>
      <c r="W160" s="144">
        <f t="shared" si="17"/>
        <v>0.13</v>
      </c>
      <c r="X160" s="144">
        <f t="shared" si="18"/>
        <v>0.13</v>
      </c>
    </row>
    <row r="161" spans="3:24" ht="15.75" x14ac:dyDescent="0.2">
      <c r="C161" s="224">
        <v>361</v>
      </c>
      <c r="D161" s="33" t="s">
        <v>512</v>
      </c>
      <c r="F161" s="157"/>
      <c r="N161" s="328" t="s">
        <v>672</v>
      </c>
      <c r="O161" s="317" t="s">
        <v>314</v>
      </c>
      <c r="P161" s="117" t="str">
        <f t="shared" si="16"/>
        <v>RD22: Install Widen Paved Shoulder by 3 ft.</v>
      </c>
      <c r="Q161" s="350" t="s">
        <v>76</v>
      </c>
      <c r="R161" s="337" t="s">
        <v>76</v>
      </c>
      <c r="S161" s="337">
        <v>20</v>
      </c>
      <c r="T161" s="340" t="s">
        <v>150</v>
      </c>
      <c r="U161" s="352" t="s">
        <v>94</v>
      </c>
      <c r="V161" s="149">
        <v>0.18</v>
      </c>
      <c r="W161" s="144">
        <f t="shared" si="17"/>
        <v>0.18</v>
      </c>
      <c r="X161" s="144">
        <f t="shared" si="18"/>
        <v>0.18</v>
      </c>
    </row>
    <row r="162" spans="3:24" ht="30" x14ac:dyDescent="0.2">
      <c r="C162" s="224">
        <v>370</v>
      </c>
      <c r="D162" s="33" t="s">
        <v>513</v>
      </c>
      <c r="F162" s="157"/>
      <c r="N162" s="327" t="s">
        <v>673</v>
      </c>
      <c r="O162" s="334" t="s">
        <v>671</v>
      </c>
      <c r="P162" s="117" t="str">
        <f t="shared" si="16"/>
        <v>RD23: Upgrade existing markings to wet-reflective pavement markings</v>
      </c>
      <c r="Q162" s="343" t="s">
        <v>187</v>
      </c>
      <c r="R162" s="344" t="s">
        <v>76</v>
      </c>
      <c r="S162" s="344">
        <v>10</v>
      </c>
      <c r="T162" s="340" t="s">
        <v>150</v>
      </c>
      <c r="U162" s="352" t="s">
        <v>94</v>
      </c>
      <c r="V162" s="149">
        <v>0.14000000000000001</v>
      </c>
      <c r="W162" s="144">
        <f t="shared" si="17"/>
        <v>0.14000000000000001</v>
      </c>
      <c r="X162" s="144">
        <f t="shared" si="18"/>
        <v>0.14000000000000001</v>
      </c>
    </row>
    <row r="163" spans="3:24" ht="15.75" x14ac:dyDescent="0.2">
      <c r="C163" s="224">
        <v>380</v>
      </c>
      <c r="D163" s="33" t="s">
        <v>514</v>
      </c>
      <c r="F163" s="157"/>
      <c r="N163" s="327" t="s">
        <v>674</v>
      </c>
      <c r="O163" s="334" t="s">
        <v>676</v>
      </c>
      <c r="P163" s="117" t="str">
        <f t="shared" si="16"/>
        <v>RD24: Install wider edgelines (4 in. to 6 in.)</v>
      </c>
      <c r="Q163" s="344" t="s">
        <v>76</v>
      </c>
      <c r="R163" s="344" t="s">
        <v>76</v>
      </c>
      <c r="S163" s="344">
        <v>10</v>
      </c>
      <c r="T163" s="340" t="s">
        <v>150</v>
      </c>
      <c r="U163" s="345" t="s">
        <v>6</v>
      </c>
      <c r="V163" s="149">
        <v>0.14000000000000001</v>
      </c>
      <c r="W163" s="144">
        <f t="shared" si="17"/>
        <v>0.14000000000000001</v>
      </c>
      <c r="X163" s="144">
        <f t="shared" si="18"/>
        <v>0.14000000000000001</v>
      </c>
    </row>
    <row r="164" spans="3:24" ht="15.75" x14ac:dyDescent="0.2">
      <c r="C164" s="224">
        <v>390</v>
      </c>
      <c r="D164" s="33" t="s">
        <v>515</v>
      </c>
      <c r="F164" s="157"/>
      <c r="N164" s="327" t="s">
        <v>675</v>
      </c>
      <c r="O164" s="334" t="s">
        <v>152</v>
      </c>
      <c r="P164" s="117" t="str">
        <f t="shared" si="16"/>
        <v>RD25: Install Any Type of Median Barrier</v>
      </c>
      <c r="Q164" s="344" t="s">
        <v>76</v>
      </c>
      <c r="R164" s="337" t="s">
        <v>885</v>
      </c>
      <c r="S164" s="344">
        <v>20</v>
      </c>
      <c r="T164" s="340" t="s">
        <v>150</v>
      </c>
      <c r="U164" s="352" t="s">
        <v>94</v>
      </c>
      <c r="V164" s="149">
        <v>0.3</v>
      </c>
      <c r="W164" s="144">
        <f t="shared" si="17"/>
        <v>0.3</v>
      </c>
      <c r="X164" s="144">
        <f t="shared" si="18"/>
        <v>0</v>
      </c>
    </row>
    <row r="165" spans="3:24" ht="15.75" x14ac:dyDescent="0.2">
      <c r="C165" s="224">
        <v>402</v>
      </c>
      <c r="D165" s="33" t="s">
        <v>516</v>
      </c>
      <c r="F165" s="157"/>
      <c r="N165" s="327" t="s">
        <v>677</v>
      </c>
      <c r="O165" s="334" t="s">
        <v>154</v>
      </c>
      <c r="P165" s="117" t="str">
        <f t="shared" si="16"/>
        <v>RD26: Install New Guardrail (Not Median Barrier Application)</v>
      </c>
      <c r="Q165" s="343" t="s">
        <v>155</v>
      </c>
      <c r="R165" s="337" t="s">
        <v>885</v>
      </c>
      <c r="S165" s="344">
        <v>20</v>
      </c>
      <c r="T165" s="340" t="s">
        <v>150</v>
      </c>
      <c r="U165" s="352" t="s">
        <v>94</v>
      </c>
      <c r="V165" s="149">
        <v>0.47</v>
      </c>
      <c r="W165" s="144">
        <f t="shared" si="17"/>
        <v>0.47</v>
      </c>
      <c r="X165" s="144">
        <f t="shared" si="18"/>
        <v>0</v>
      </c>
    </row>
    <row r="166" spans="3:24" ht="15.75" x14ac:dyDescent="0.2">
      <c r="C166" s="224">
        <v>410</v>
      </c>
      <c r="D166" s="33" t="s">
        <v>517</v>
      </c>
      <c r="F166" s="157"/>
      <c r="N166" s="327" t="s">
        <v>883</v>
      </c>
      <c r="O166" s="334" t="s">
        <v>679</v>
      </c>
      <c r="P166" s="117" t="str">
        <f t="shared" si="16"/>
        <v>RD27: Install Seasonal Wildlife Warning Signs</v>
      </c>
      <c r="Q166" s="338" t="s">
        <v>76</v>
      </c>
      <c r="R166" s="338" t="s">
        <v>76</v>
      </c>
      <c r="S166" s="338">
        <v>20</v>
      </c>
      <c r="T166" s="340" t="s">
        <v>150</v>
      </c>
      <c r="U166" s="351" t="s">
        <v>6</v>
      </c>
      <c r="V166" s="149">
        <v>0.26</v>
      </c>
      <c r="W166" s="144">
        <f t="shared" si="17"/>
        <v>0.26</v>
      </c>
      <c r="X166" s="144">
        <f t="shared" si="18"/>
        <v>0.26</v>
      </c>
    </row>
    <row r="167" spans="3:24" ht="15.75" x14ac:dyDescent="0.2">
      <c r="C167" s="224">
        <v>413</v>
      </c>
      <c r="D167" s="33" t="s">
        <v>518</v>
      </c>
      <c r="F167" s="157"/>
      <c r="N167" s="327" t="s">
        <v>884</v>
      </c>
      <c r="O167" s="334" t="s">
        <v>678</v>
      </c>
      <c r="P167" s="117" t="str">
        <f t="shared" si="15"/>
        <v>RD28: Install Wildlife Detection System</v>
      </c>
      <c r="Q167" s="343" t="s">
        <v>892</v>
      </c>
      <c r="R167" s="338" t="s">
        <v>76</v>
      </c>
      <c r="S167" s="338">
        <v>20</v>
      </c>
      <c r="T167" s="340" t="s">
        <v>150</v>
      </c>
      <c r="U167" s="351" t="s">
        <v>6</v>
      </c>
      <c r="V167" s="149">
        <v>0.87</v>
      </c>
      <c r="W167" s="144">
        <f t="shared" si="12"/>
        <v>0.87</v>
      </c>
      <c r="X167" s="144">
        <f t="shared" si="11"/>
        <v>0.87</v>
      </c>
    </row>
    <row r="168" spans="3:24" x14ac:dyDescent="0.2">
      <c r="C168" s="224">
        <v>414</v>
      </c>
      <c r="D168" s="33" t="s">
        <v>519</v>
      </c>
      <c r="F168" s="157"/>
    </row>
    <row r="169" spans="3:24" x14ac:dyDescent="0.2">
      <c r="C169" s="224">
        <v>415</v>
      </c>
      <c r="D169" s="33" t="s">
        <v>520</v>
      </c>
      <c r="F169" s="157"/>
    </row>
    <row r="170" spans="3:24" x14ac:dyDescent="0.2">
      <c r="C170" s="224">
        <v>422</v>
      </c>
      <c r="D170" s="33" t="s">
        <v>521</v>
      </c>
      <c r="F170" s="157"/>
    </row>
    <row r="171" spans="3:24" x14ac:dyDescent="0.2">
      <c r="C171" s="224">
        <v>424</v>
      </c>
      <c r="D171" s="33" t="s">
        <v>522</v>
      </c>
      <c r="F171" s="157"/>
    </row>
    <row r="172" spans="3:24" x14ac:dyDescent="0.2">
      <c r="C172" s="224">
        <v>426</v>
      </c>
      <c r="D172" s="33" t="s">
        <v>523</v>
      </c>
      <c r="F172" s="157"/>
    </row>
    <row r="173" spans="3:24" x14ac:dyDescent="0.2">
      <c r="C173" s="224">
        <v>429</v>
      </c>
      <c r="D173" s="33" t="s">
        <v>524</v>
      </c>
      <c r="F173" s="157"/>
    </row>
    <row r="174" spans="3:24" x14ac:dyDescent="0.2">
      <c r="C174" s="224">
        <v>431</v>
      </c>
      <c r="D174" s="33" t="s">
        <v>525</v>
      </c>
      <c r="F174" s="157"/>
    </row>
    <row r="175" spans="3:24" x14ac:dyDescent="0.2">
      <c r="C175" s="224">
        <v>440</v>
      </c>
      <c r="D175" s="33" t="s">
        <v>526</v>
      </c>
      <c r="F175" s="157"/>
    </row>
    <row r="176" spans="3:24" x14ac:dyDescent="0.2">
      <c r="C176" s="224">
        <v>442</v>
      </c>
      <c r="D176" s="33" t="s">
        <v>527</v>
      </c>
      <c r="F176" s="157"/>
    </row>
    <row r="177" spans="3:6" x14ac:dyDescent="0.2">
      <c r="C177" s="224">
        <v>449</v>
      </c>
      <c r="D177" s="33" t="s">
        <v>528</v>
      </c>
      <c r="F177" s="157"/>
    </row>
    <row r="178" spans="3:6" x14ac:dyDescent="0.2">
      <c r="C178" s="224">
        <v>450</v>
      </c>
      <c r="D178" s="33" t="s">
        <v>529</v>
      </c>
      <c r="F178" s="157"/>
    </row>
    <row r="179" spans="3:6" x14ac:dyDescent="0.2">
      <c r="C179" s="224">
        <v>451</v>
      </c>
      <c r="D179" s="33" t="s">
        <v>530</v>
      </c>
      <c r="E179" s="225" t="s">
        <v>545</v>
      </c>
      <c r="F179" s="224"/>
    </row>
    <row r="180" spans="3:6" x14ac:dyDescent="0.2">
      <c r="C180" s="224">
        <v>453</v>
      </c>
      <c r="D180" s="33" t="s">
        <v>531</v>
      </c>
      <c r="F180" s="224"/>
    </row>
    <row r="181" spans="3:6" x14ac:dyDescent="0.2">
      <c r="C181" s="224">
        <v>454</v>
      </c>
      <c r="D181" s="33" t="s">
        <v>532</v>
      </c>
      <c r="F181" s="224"/>
    </row>
    <row r="182" spans="3:6" x14ac:dyDescent="0.2">
      <c r="C182" s="224">
        <v>455</v>
      </c>
      <c r="D182" s="33" t="s">
        <v>533</v>
      </c>
      <c r="F182" s="224"/>
    </row>
    <row r="183" spans="3:6" x14ac:dyDescent="0.2">
      <c r="C183" s="224">
        <v>456</v>
      </c>
      <c r="D183" s="33" t="s">
        <v>534</v>
      </c>
      <c r="F183" s="224"/>
    </row>
    <row r="184" spans="3:6" x14ac:dyDescent="0.2">
      <c r="C184" s="224">
        <v>481</v>
      </c>
      <c r="D184" s="209" t="s">
        <v>591</v>
      </c>
      <c r="F184" s="224"/>
    </row>
    <row r="185" spans="3:6" x14ac:dyDescent="0.2">
      <c r="C185" s="224">
        <v>482</v>
      </c>
      <c r="D185" s="33" t="s">
        <v>535</v>
      </c>
      <c r="F185" s="224"/>
    </row>
    <row r="186" spans="3:6" x14ac:dyDescent="0.2">
      <c r="C186" s="224">
        <v>484</v>
      </c>
      <c r="D186" s="33" t="s">
        <v>536</v>
      </c>
      <c r="F186" s="224"/>
    </row>
    <row r="187" spans="3:6" x14ac:dyDescent="0.2">
      <c r="C187" s="224">
        <v>485</v>
      </c>
      <c r="D187" s="33" t="s">
        <v>537</v>
      </c>
      <c r="F187" s="224"/>
    </row>
    <row r="188" spans="3:6" x14ac:dyDescent="0.2">
      <c r="C188" s="224">
        <v>486</v>
      </c>
      <c r="D188" s="33" t="s">
        <v>538</v>
      </c>
      <c r="F188" s="224"/>
    </row>
    <row r="189" spans="3:6" x14ac:dyDescent="0.2">
      <c r="C189" s="224">
        <v>488</v>
      </c>
      <c r="D189" s="33" t="s">
        <v>539</v>
      </c>
      <c r="F189" s="224"/>
    </row>
    <row r="190" spans="3:6" x14ac:dyDescent="0.2">
      <c r="C190" s="224">
        <v>489</v>
      </c>
      <c r="D190" s="33" t="s">
        <v>540</v>
      </c>
      <c r="F190" s="224"/>
    </row>
    <row r="191" spans="3:6" x14ac:dyDescent="0.2">
      <c r="C191" s="224">
        <v>490</v>
      </c>
      <c r="D191" s="33" t="s">
        <v>541</v>
      </c>
      <c r="F191" s="224"/>
    </row>
    <row r="192" spans="3:6" x14ac:dyDescent="0.2">
      <c r="C192" s="224">
        <v>491</v>
      </c>
      <c r="D192" s="33" t="s">
        <v>542</v>
      </c>
      <c r="F192" s="224"/>
    </row>
    <row r="193" spans="3:6" x14ac:dyDescent="0.2">
      <c r="C193" s="224">
        <v>492</v>
      </c>
      <c r="D193" s="33" t="s">
        <v>543</v>
      </c>
      <c r="F193" s="224"/>
    </row>
    <row r="194" spans="3:6" x14ac:dyDescent="0.2">
      <c r="C194" s="224">
        <v>493</v>
      </c>
      <c r="D194" s="33" t="s">
        <v>544</v>
      </c>
      <c r="F194" s="224"/>
    </row>
    <row r="195" spans="3:6" x14ac:dyDescent="0.2">
      <c r="C195" s="208"/>
      <c r="D195" s="33"/>
      <c r="F195" s="224"/>
    </row>
    <row r="196" spans="3:6" x14ac:dyDescent="0.2">
      <c r="C196" s="208"/>
      <c r="D196" s="33"/>
      <c r="F196" s="224"/>
    </row>
    <row r="197" spans="3:6" x14ac:dyDescent="0.2">
      <c r="C197" s="208"/>
      <c r="D197" s="33"/>
      <c r="F197" s="224"/>
    </row>
    <row r="198" spans="3:6" x14ac:dyDescent="0.2">
      <c r="C198" s="208"/>
      <c r="D198" s="33"/>
      <c r="F198" s="224"/>
    </row>
    <row r="199" spans="3:6" x14ac:dyDescent="0.2">
      <c r="C199" s="208"/>
      <c r="D199" s="33"/>
      <c r="F199" s="224"/>
    </row>
    <row r="200" spans="3:6" x14ac:dyDescent="0.2">
      <c r="C200" s="208"/>
      <c r="D200" s="33"/>
      <c r="F200" s="224"/>
    </row>
    <row r="201" spans="3:6" x14ac:dyDescent="0.2">
      <c r="C201" s="208"/>
      <c r="F201" s="224"/>
    </row>
    <row r="202" spans="3:6" x14ac:dyDescent="0.2">
      <c r="C202" s="208"/>
      <c r="F202" s="208"/>
    </row>
    <row r="203" spans="3:6" x14ac:dyDescent="0.2">
      <c r="C203" s="208"/>
      <c r="F203" s="208"/>
    </row>
    <row r="204" spans="3:6" x14ac:dyDescent="0.2">
      <c r="C204" s="208"/>
      <c r="F204" s="208"/>
    </row>
    <row r="205" spans="3:6" x14ac:dyDescent="0.2">
      <c r="C205" s="208"/>
      <c r="F205" s="208"/>
    </row>
    <row r="206" spans="3:6" x14ac:dyDescent="0.2">
      <c r="F206" s="208"/>
    </row>
    <row r="207" spans="3:6" x14ac:dyDescent="0.2">
      <c r="F207" s="208"/>
    </row>
    <row r="208" spans="3:6" x14ac:dyDescent="0.2">
      <c r="F208" s="208"/>
    </row>
    <row r="209" spans="6:6" x14ac:dyDescent="0.2">
      <c r="F209" s="208"/>
    </row>
    <row r="210" spans="6:6" x14ac:dyDescent="0.2">
      <c r="F210" s="208"/>
    </row>
    <row r="211" spans="6:6" x14ac:dyDescent="0.2">
      <c r="F211" s="208"/>
    </row>
    <row r="212" spans="6:6" x14ac:dyDescent="0.2">
      <c r="F212" s="208"/>
    </row>
    <row r="213" spans="6:6" x14ac:dyDescent="0.2">
      <c r="F213" s="208"/>
    </row>
    <row r="214" spans="6:6" x14ac:dyDescent="0.2">
      <c r="F214" s="208"/>
    </row>
    <row r="215" spans="6:6" x14ac:dyDescent="0.2">
      <c r="F215" s="208"/>
    </row>
    <row r="216" spans="6:6" x14ac:dyDescent="0.2">
      <c r="F216" s="208"/>
    </row>
    <row r="217" spans="6:6" x14ac:dyDescent="0.2">
      <c r="F217" s="208"/>
    </row>
    <row r="218" spans="6:6" x14ac:dyDescent="0.2">
      <c r="F218" s="208"/>
    </row>
    <row r="219" spans="6:6" x14ac:dyDescent="0.2">
      <c r="F219" s="208"/>
    </row>
    <row r="220" spans="6:6" x14ac:dyDescent="0.2">
      <c r="F220" s="208"/>
    </row>
    <row r="221" spans="6:6" x14ac:dyDescent="0.2">
      <c r="F221" s="208"/>
    </row>
    <row r="222" spans="6:6" x14ac:dyDescent="0.2">
      <c r="F222" s="208"/>
    </row>
    <row r="223" spans="6:6" x14ac:dyDescent="0.2">
      <c r="F223" s="208"/>
    </row>
    <row r="224" spans="6:6" x14ac:dyDescent="0.2">
      <c r="F224" s="208"/>
    </row>
    <row r="225" spans="6:6" x14ac:dyDescent="0.2">
      <c r="F225" s="208"/>
    </row>
    <row r="226" spans="6:6" x14ac:dyDescent="0.2">
      <c r="F226" s="208"/>
    </row>
    <row r="227" spans="6:6" x14ac:dyDescent="0.2">
      <c r="F227" s="208"/>
    </row>
    <row r="228" spans="6:6" x14ac:dyDescent="0.2">
      <c r="F228" s="208"/>
    </row>
    <row r="229" spans="6:6" x14ac:dyDescent="0.2">
      <c r="F229" s="208"/>
    </row>
    <row r="230" spans="6:6" x14ac:dyDescent="0.2">
      <c r="F230" s="208"/>
    </row>
    <row r="231" spans="6:6" x14ac:dyDescent="0.2">
      <c r="F231" s="208"/>
    </row>
    <row r="232" spans="6:6" x14ac:dyDescent="0.2">
      <c r="F232" s="208"/>
    </row>
    <row r="233" spans="6:6" x14ac:dyDescent="0.2">
      <c r="F233" s="208"/>
    </row>
    <row r="234" spans="6:6" x14ac:dyDescent="0.2">
      <c r="F234" s="208"/>
    </row>
    <row r="235" spans="6:6" x14ac:dyDescent="0.2">
      <c r="F235" s="208"/>
    </row>
    <row r="236" spans="6:6" x14ac:dyDescent="0.2">
      <c r="F236" s="208"/>
    </row>
    <row r="237" spans="6:6" x14ac:dyDescent="0.2">
      <c r="F237" s="208"/>
    </row>
    <row r="238" spans="6:6" x14ac:dyDescent="0.2">
      <c r="F238" s="208"/>
    </row>
    <row r="239" spans="6:6" x14ac:dyDescent="0.2">
      <c r="F239" s="208"/>
    </row>
    <row r="240" spans="6:6" x14ac:dyDescent="0.2">
      <c r="F240" s="208"/>
    </row>
    <row r="241" spans="6:6" x14ac:dyDescent="0.2">
      <c r="F241" s="208"/>
    </row>
    <row r="242" spans="6:6" x14ac:dyDescent="0.2">
      <c r="F242" s="208"/>
    </row>
    <row r="243" spans="6:6" x14ac:dyDescent="0.2">
      <c r="F243" s="208"/>
    </row>
    <row r="244" spans="6:6" x14ac:dyDescent="0.2">
      <c r="F244" s="208"/>
    </row>
    <row r="245" spans="6:6" x14ac:dyDescent="0.2">
      <c r="F245" s="208"/>
    </row>
    <row r="246" spans="6:6" x14ac:dyDescent="0.2">
      <c r="F246" s="208"/>
    </row>
    <row r="247" spans="6:6" x14ac:dyDescent="0.2">
      <c r="F247" s="208"/>
    </row>
    <row r="248" spans="6:6" x14ac:dyDescent="0.2">
      <c r="F248" s="208"/>
    </row>
    <row r="249" spans="6:6" x14ac:dyDescent="0.2">
      <c r="F249" s="208"/>
    </row>
    <row r="250" spans="6:6" x14ac:dyDescent="0.2">
      <c r="F250" s="208"/>
    </row>
    <row r="251" spans="6:6" x14ac:dyDescent="0.2">
      <c r="F251" s="208"/>
    </row>
    <row r="252" spans="6:6" x14ac:dyDescent="0.2">
      <c r="F252" s="208"/>
    </row>
    <row r="253" spans="6:6" x14ac:dyDescent="0.2">
      <c r="F253" s="208"/>
    </row>
    <row r="254" spans="6:6" x14ac:dyDescent="0.2">
      <c r="F254" s="208"/>
    </row>
    <row r="255" spans="6:6" x14ac:dyDescent="0.2">
      <c r="F255" s="208"/>
    </row>
    <row r="256" spans="6:6" x14ac:dyDescent="0.2">
      <c r="F256" s="208"/>
    </row>
    <row r="257" spans="6:6" x14ac:dyDescent="0.2">
      <c r="F257" s="208"/>
    </row>
    <row r="258" spans="6:6" x14ac:dyDescent="0.2">
      <c r="F258" s="208"/>
    </row>
    <row r="259" spans="6:6" x14ac:dyDescent="0.2">
      <c r="F259" s="208"/>
    </row>
    <row r="260" spans="6:6" x14ac:dyDescent="0.2">
      <c r="F260" s="208"/>
    </row>
    <row r="261" spans="6:6" x14ac:dyDescent="0.2">
      <c r="F261" s="208"/>
    </row>
    <row r="262" spans="6:6" x14ac:dyDescent="0.2">
      <c r="F262" s="208"/>
    </row>
    <row r="263" spans="6:6" x14ac:dyDescent="0.2">
      <c r="F263" s="208"/>
    </row>
    <row r="264" spans="6:6" x14ac:dyDescent="0.2">
      <c r="F264" s="208"/>
    </row>
    <row r="265" spans="6:6" x14ac:dyDescent="0.2">
      <c r="F265" s="208"/>
    </row>
    <row r="266" spans="6:6" x14ac:dyDescent="0.2">
      <c r="F266" s="208"/>
    </row>
    <row r="267" spans="6:6" x14ac:dyDescent="0.2">
      <c r="F267" s="208"/>
    </row>
    <row r="268" spans="6:6" x14ac:dyDescent="0.2">
      <c r="F268" s="208"/>
    </row>
    <row r="269" spans="6:6" x14ac:dyDescent="0.2">
      <c r="F269" s="208"/>
    </row>
    <row r="270" spans="6:6" x14ac:dyDescent="0.2">
      <c r="F270" s="208"/>
    </row>
    <row r="271" spans="6:6" x14ac:dyDescent="0.2">
      <c r="F271" s="208"/>
    </row>
    <row r="272" spans="6:6" x14ac:dyDescent="0.2">
      <c r="F272" s="208"/>
    </row>
    <row r="273" spans="6:6" x14ac:dyDescent="0.2">
      <c r="F273" s="208"/>
    </row>
    <row r="274" spans="6:6" x14ac:dyDescent="0.2">
      <c r="F274" s="208"/>
    </row>
    <row r="275" spans="6:6" x14ac:dyDescent="0.2">
      <c r="F275" s="208"/>
    </row>
    <row r="276" spans="6:6" x14ac:dyDescent="0.2">
      <c r="F276" s="208"/>
    </row>
    <row r="277" spans="6:6" x14ac:dyDescent="0.2">
      <c r="F277" s="208"/>
    </row>
    <row r="278" spans="6:6" x14ac:dyDescent="0.2">
      <c r="F278" s="208"/>
    </row>
    <row r="279" spans="6:6" x14ac:dyDescent="0.2">
      <c r="F279" s="208"/>
    </row>
    <row r="280" spans="6:6" x14ac:dyDescent="0.2">
      <c r="F280" s="208"/>
    </row>
    <row r="281" spans="6:6" x14ac:dyDescent="0.2">
      <c r="F281" s="208"/>
    </row>
    <row r="282" spans="6:6" x14ac:dyDescent="0.2">
      <c r="F282" s="208"/>
    </row>
    <row r="283" spans="6:6" x14ac:dyDescent="0.2">
      <c r="F283" s="208"/>
    </row>
    <row r="284" spans="6:6" x14ac:dyDescent="0.2">
      <c r="F284" s="208"/>
    </row>
    <row r="285" spans="6:6" x14ac:dyDescent="0.2">
      <c r="F285" s="208"/>
    </row>
    <row r="286" spans="6:6" x14ac:dyDescent="0.2">
      <c r="F286" s="208"/>
    </row>
    <row r="287" spans="6:6" x14ac:dyDescent="0.2">
      <c r="F287" s="208"/>
    </row>
    <row r="288" spans="6:6" x14ac:dyDescent="0.2">
      <c r="F288" s="208"/>
    </row>
    <row r="289" spans="6:6" x14ac:dyDescent="0.2">
      <c r="F289" s="208"/>
    </row>
    <row r="290" spans="6:6" x14ac:dyDescent="0.2">
      <c r="F290" s="208"/>
    </row>
    <row r="291" spans="6:6" x14ac:dyDescent="0.2">
      <c r="F291" s="208"/>
    </row>
    <row r="292" spans="6:6" x14ac:dyDescent="0.2">
      <c r="F292" s="208"/>
    </row>
    <row r="293" spans="6:6" x14ac:dyDescent="0.2">
      <c r="F293" s="208"/>
    </row>
    <row r="294" spans="6:6" x14ac:dyDescent="0.2">
      <c r="F294" s="208"/>
    </row>
    <row r="295" spans="6:6" x14ac:dyDescent="0.2">
      <c r="F295" s="208"/>
    </row>
    <row r="296" spans="6:6" x14ac:dyDescent="0.2">
      <c r="F296" s="208"/>
    </row>
    <row r="297" spans="6:6" x14ac:dyDescent="0.2">
      <c r="F297" s="208"/>
    </row>
    <row r="298" spans="6:6" x14ac:dyDescent="0.2">
      <c r="F298" s="208"/>
    </row>
    <row r="299" spans="6:6" x14ac:dyDescent="0.2">
      <c r="F299" s="208"/>
    </row>
    <row r="300" spans="6:6" x14ac:dyDescent="0.2">
      <c r="F300" s="208"/>
    </row>
    <row r="301" spans="6:6" x14ac:dyDescent="0.2">
      <c r="F301" s="208"/>
    </row>
    <row r="302" spans="6:6" x14ac:dyDescent="0.2">
      <c r="F302" s="208"/>
    </row>
    <row r="303" spans="6:6" x14ac:dyDescent="0.2">
      <c r="F303" s="208"/>
    </row>
    <row r="304" spans="6:6" x14ac:dyDescent="0.2">
      <c r="F304" s="208"/>
    </row>
    <row r="305" spans="6:6" x14ac:dyDescent="0.2">
      <c r="F305" s="208"/>
    </row>
    <row r="306" spans="6:6" x14ac:dyDescent="0.2">
      <c r="F306" s="208"/>
    </row>
    <row r="307" spans="6:6" x14ac:dyDescent="0.2">
      <c r="F307" s="208"/>
    </row>
    <row r="308" spans="6:6" x14ac:dyDescent="0.2">
      <c r="F308" s="208"/>
    </row>
    <row r="309" spans="6:6" x14ac:dyDescent="0.2">
      <c r="F309" s="208"/>
    </row>
    <row r="310" spans="6:6" x14ac:dyDescent="0.2">
      <c r="F310" s="208"/>
    </row>
    <row r="311" spans="6:6" x14ac:dyDescent="0.2">
      <c r="F311" s="208"/>
    </row>
    <row r="312" spans="6:6" x14ac:dyDescent="0.2">
      <c r="F312" s="208"/>
    </row>
    <row r="313" spans="6:6" x14ac:dyDescent="0.2">
      <c r="F313" s="208"/>
    </row>
    <row r="314" spans="6:6" x14ac:dyDescent="0.2">
      <c r="F314" s="208"/>
    </row>
    <row r="315" spans="6:6" x14ac:dyDescent="0.2">
      <c r="F315" s="208"/>
    </row>
    <row r="316" spans="6:6" x14ac:dyDescent="0.2">
      <c r="F316" s="208"/>
    </row>
    <row r="317" spans="6:6" x14ac:dyDescent="0.2">
      <c r="F317" s="208"/>
    </row>
    <row r="318" spans="6:6" x14ac:dyDescent="0.2">
      <c r="F318" s="208"/>
    </row>
    <row r="319" spans="6:6" x14ac:dyDescent="0.2">
      <c r="F319" s="208"/>
    </row>
    <row r="320" spans="6:6" x14ac:dyDescent="0.2">
      <c r="F320" s="208"/>
    </row>
    <row r="321" spans="6:6" x14ac:dyDescent="0.2">
      <c r="F321" s="157"/>
    </row>
    <row r="322" spans="6:6" x14ac:dyDescent="0.2">
      <c r="F322" s="208"/>
    </row>
    <row r="323" spans="6:6" x14ac:dyDescent="0.2">
      <c r="F323" s="208"/>
    </row>
    <row r="324" spans="6:6" x14ac:dyDescent="0.2">
      <c r="F324" s="208"/>
    </row>
    <row r="325" spans="6:6" x14ac:dyDescent="0.2">
      <c r="F325" s="208"/>
    </row>
    <row r="326" spans="6:6" x14ac:dyDescent="0.2">
      <c r="F326" s="208"/>
    </row>
    <row r="327" spans="6:6" x14ac:dyDescent="0.2">
      <c r="F327" s="208"/>
    </row>
    <row r="328" spans="6:6" x14ac:dyDescent="0.2">
      <c r="F328" s="208"/>
    </row>
    <row r="329" spans="6:6" x14ac:dyDescent="0.2">
      <c r="F329" s="208"/>
    </row>
    <row r="330" spans="6:6" x14ac:dyDescent="0.2">
      <c r="F330" s="208"/>
    </row>
    <row r="331" spans="6:6" x14ac:dyDescent="0.2">
      <c r="F331" s="208"/>
    </row>
    <row r="332" spans="6:6" x14ac:dyDescent="0.2">
      <c r="F332" s="208"/>
    </row>
    <row r="333" spans="6:6" x14ac:dyDescent="0.2">
      <c r="F333" s="208"/>
    </row>
    <row r="334" spans="6:6" x14ac:dyDescent="0.2">
      <c r="F334" s="208"/>
    </row>
    <row r="335" spans="6:6" x14ac:dyDescent="0.2">
      <c r="F335" s="208"/>
    </row>
    <row r="336" spans="6:6" x14ac:dyDescent="0.2">
      <c r="F336" s="208"/>
    </row>
    <row r="337" spans="6:6" x14ac:dyDescent="0.2">
      <c r="F337" s="208"/>
    </row>
    <row r="338" spans="6:6" x14ac:dyDescent="0.2">
      <c r="F338" s="208"/>
    </row>
    <row r="339" spans="6:6" x14ac:dyDescent="0.2">
      <c r="F339" s="208"/>
    </row>
    <row r="340" spans="6:6" x14ac:dyDescent="0.2">
      <c r="F340" s="208"/>
    </row>
    <row r="341" spans="6:6" x14ac:dyDescent="0.2">
      <c r="F341" s="208"/>
    </row>
    <row r="342" spans="6:6" x14ac:dyDescent="0.2">
      <c r="F342" s="208"/>
    </row>
    <row r="343" spans="6:6" x14ac:dyDescent="0.2">
      <c r="F343" s="208"/>
    </row>
    <row r="344" spans="6:6" x14ac:dyDescent="0.2">
      <c r="F344" s="208"/>
    </row>
    <row r="345" spans="6:6" x14ac:dyDescent="0.2">
      <c r="F345" s="208"/>
    </row>
    <row r="346" spans="6:6" x14ac:dyDescent="0.2">
      <c r="F346" s="208"/>
    </row>
    <row r="347" spans="6:6" x14ac:dyDescent="0.2">
      <c r="F347" s="208"/>
    </row>
    <row r="348" spans="6:6" x14ac:dyDescent="0.2">
      <c r="F348" s="208"/>
    </row>
    <row r="349" spans="6:6" x14ac:dyDescent="0.2">
      <c r="F349" s="208"/>
    </row>
    <row r="350" spans="6:6" x14ac:dyDescent="0.2">
      <c r="F350" s="208"/>
    </row>
    <row r="351" spans="6:6" x14ac:dyDescent="0.2">
      <c r="F351" s="208"/>
    </row>
    <row r="352" spans="6:6" x14ac:dyDescent="0.2">
      <c r="F352" s="208"/>
    </row>
    <row r="353" spans="6:6" x14ac:dyDescent="0.2">
      <c r="F353" s="208"/>
    </row>
    <row r="354" spans="6:6" x14ac:dyDescent="0.2">
      <c r="F354" s="208"/>
    </row>
    <row r="355" spans="6:6" x14ac:dyDescent="0.2">
      <c r="F355" s="208"/>
    </row>
    <row r="356" spans="6:6" x14ac:dyDescent="0.2">
      <c r="F356" s="208"/>
    </row>
    <row r="357" spans="6:6" x14ac:dyDescent="0.2">
      <c r="F357" s="157"/>
    </row>
    <row r="358" spans="6:6" x14ac:dyDescent="0.2">
      <c r="F358" s="208"/>
    </row>
    <row r="359" spans="6:6" x14ac:dyDescent="0.2">
      <c r="F359" s="208"/>
    </row>
    <row r="360" spans="6:6" x14ac:dyDescent="0.2">
      <c r="F360" s="208"/>
    </row>
    <row r="361" spans="6:6" x14ac:dyDescent="0.2">
      <c r="F361" s="208"/>
    </row>
    <row r="362" spans="6:6" x14ac:dyDescent="0.2">
      <c r="F362" s="157"/>
    </row>
    <row r="363" spans="6:6" x14ac:dyDescent="0.2">
      <c r="F363" s="208"/>
    </row>
    <row r="364" spans="6:6" x14ac:dyDescent="0.2">
      <c r="F364" s="208"/>
    </row>
    <row r="365" spans="6:6" x14ac:dyDescent="0.2">
      <c r="F365" s="208"/>
    </row>
    <row r="366" spans="6:6" x14ac:dyDescent="0.2">
      <c r="F366" s="208"/>
    </row>
    <row r="367" spans="6:6" x14ac:dyDescent="0.2">
      <c r="F367" s="208"/>
    </row>
    <row r="368" spans="6:6" x14ac:dyDescent="0.2">
      <c r="F368" s="208"/>
    </row>
    <row r="369" spans="6:6" x14ac:dyDescent="0.2">
      <c r="F369" s="208"/>
    </row>
    <row r="370" spans="6:6" x14ac:dyDescent="0.2">
      <c r="F370" s="208"/>
    </row>
    <row r="371" spans="6:6" x14ac:dyDescent="0.2">
      <c r="F371" s="208"/>
    </row>
    <row r="372" spans="6:6" x14ac:dyDescent="0.2">
      <c r="F372" s="208"/>
    </row>
    <row r="373" spans="6:6" x14ac:dyDescent="0.2">
      <c r="F373" s="208"/>
    </row>
    <row r="374" spans="6:6" x14ac:dyDescent="0.2">
      <c r="F374" s="208"/>
    </row>
    <row r="375" spans="6:6" x14ac:dyDescent="0.2">
      <c r="F375" s="208"/>
    </row>
    <row r="376" spans="6:6" x14ac:dyDescent="0.2">
      <c r="F376" s="208"/>
    </row>
    <row r="377" spans="6:6" x14ac:dyDescent="0.2">
      <c r="F377" s="208"/>
    </row>
    <row r="378" spans="6:6" x14ac:dyDescent="0.2">
      <c r="F378" s="208"/>
    </row>
  </sheetData>
  <sheetProtection selectLockedCells="1" selectUnlockedCells="1"/>
  <mergeCells count="1">
    <mergeCell ref="V1:X1"/>
  </mergeCells>
  <phoneticPr fontId="21" type="noConversion"/>
  <conditionalFormatting sqref="N5:N92 O92 N93:O94 N95:N108 O97:O101 N110 N113:N139 O114:O117 O119:O120 O123:O132 T133:T150 N140:O140 U140:U154 N141:N167">
    <cfRule type="cellIs" dxfId="32" priority="103" operator="equal">
      <formula>#REF!</formula>
    </cfRule>
  </conditionalFormatting>
  <conditionalFormatting sqref="N5:N92 O92 N93:O94 N95:N108 O97:O101 N113:N139 O114:O117 O119:O120 O123:O132 N140:O140 N141:N167">
    <cfRule type="cellIs" dxfId="31" priority="104" operator="equal">
      <formula>#REF!</formula>
    </cfRule>
  </conditionalFormatting>
  <conditionalFormatting sqref="N3:O4">
    <cfRule type="cellIs" dxfId="30" priority="7" operator="equal">
      <formula>#REF!</formula>
    </cfRule>
  </conditionalFormatting>
  <conditionalFormatting sqref="N109:O112">
    <cfRule type="cellIs" dxfId="29" priority="89" operator="equal">
      <formula>#REF!</formula>
    </cfRule>
  </conditionalFormatting>
  <conditionalFormatting sqref="O5:O51">
    <cfRule type="cellIs" dxfId="28" priority="79" operator="equal">
      <formula>#REF!</formula>
    </cfRule>
  </conditionalFormatting>
  <conditionalFormatting sqref="O53:O62">
    <cfRule type="cellIs" dxfId="27" priority="67" operator="equal">
      <formula>#REF!</formula>
    </cfRule>
  </conditionalFormatting>
  <conditionalFormatting sqref="O70:O73 O79:O80 O82 O84:O89">
    <cfRule type="cellIs" dxfId="26" priority="93" operator="equal">
      <formula>#REF!</formula>
    </cfRule>
  </conditionalFormatting>
  <conditionalFormatting sqref="O141:O150">
    <cfRule type="cellIs" dxfId="25" priority="87" operator="equal">
      <formula>#REF!</formula>
    </cfRule>
  </conditionalFormatting>
  <conditionalFormatting sqref="O152:O161">
    <cfRule type="cellIs" dxfId="24" priority="65" operator="equal">
      <formula>#REF!</formula>
    </cfRule>
  </conditionalFormatting>
  <conditionalFormatting sqref="O164">
    <cfRule type="cellIs" dxfId="23" priority="63" operator="equal">
      <formula>#REF!</formula>
    </cfRule>
  </conditionalFormatting>
  <conditionalFormatting sqref="O164:O167">
    <cfRule type="cellIs" dxfId="22" priority="58" operator="equal">
      <formula>$J$7</formula>
    </cfRule>
  </conditionalFormatting>
  <conditionalFormatting sqref="O165:O167">
    <cfRule type="cellIs" dxfId="21" priority="57" operator="equal">
      <formula>#REF!</formula>
    </cfRule>
  </conditionalFormatting>
  <conditionalFormatting sqref="Q9 S9">
    <cfRule type="cellIs" dxfId="20" priority="51" operator="equal">
      <formula>#REF!</formula>
    </cfRule>
  </conditionalFormatting>
  <conditionalFormatting sqref="Q51">
    <cfRule type="cellIs" dxfId="19" priority="2" operator="equal">
      <formula>$J$7</formula>
    </cfRule>
  </conditionalFormatting>
  <conditionalFormatting sqref="Q155:Q156 S155:S156 U155:U156">
    <cfRule type="cellIs" dxfId="18" priority="23" operator="equal">
      <formula>#REF!</formula>
    </cfRule>
  </conditionalFormatting>
  <conditionalFormatting sqref="Q164:Q167">
    <cfRule type="cellIs" dxfId="17" priority="10" operator="equal">
      <formula>$J$7</formula>
    </cfRule>
  </conditionalFormatting>
  <conditionalFormatting sqref="Q164:R167">
    <cfRule type="cellIs" dxfId="16" priority="9" operator="equal">
      <formula>#REF!</formula>
    </cfRule>
  </conditionalFormatting>
  <conditionalFormatting sqref="Q5:S6 Q10:S19 U10:U19 Q21:Q22 S21:S22 Q23:S28 U23:U28 Q29:Q31 S29:S31 U31 Q36 Q84:S87">
    <cfRule type="cellIs" dxfId="15" priority="43" operator="equal">
      <formula>#REF!</formula>
    </cfRule>
  </conditionalFormatting>
  <conditionalFormatting sqref="Q152:S154 Q157:S157">
    <cfRule type="cellIs" dxfId="14" priority="41" operator="equal">
      <formula>#REF!</formula>
    </cfRule>
  </conditionalFormatting>
  <conditionalFormatting sqref="Q51:T51">
    <cfRule type="cellIs" dxfId="13" priority="1" operator="equal">
      <formula>#REF!</formula>
    </cfRule>
  </conditionalFormatting>
  <conditionalFormatting sqref="Q3:U4">
    <cfRule type="cellIs" dxfId="12" priority="5" operator="equal">
      <formula>#REF!</formula>
    </cfRule>
  </conditionalFormatting>
  <conditionalFormatting sqref="Q37:U50">
    <cfRule type="cellIs" dxfId="11" priority="49" operator="equal">
      <formula>#REF!</formula>
    </cfRule>
  </conditionalFormatting>
  <conditionalFormatting sqref="Q53:U62">
    <cfRule type="cellIs" dxfId="10" priority="25" operator="equal">
      <formula>#REF!</formula>
    </cfRule>
  </conditionalFormatting>
  <conditionalFormatting sqref="Q70:U73 Q79:S80 Q82:S82 Q88:S94">
    <cfRule type="cellIs" dxfId="9" priority="47" operator="equal">
      <formula>#REF!</formula>
    </cfRule>
  </conditionalFormatting>
  <conditionalFormatting sqref="R164:R165">
    <cfRule type="cellIs" dxfId="8" priority="54" operator="equal">
      <formula>#REF!</formula>
    </cfRule>
  </conditionalFormatting>
  <conditionalFormatting sqref="R166:R167">
    <cfRule type="cellIs" dxfId="7" priority="12" operator="equal">
      <formula>$J$7</formula>
    </cfRule>
  </conditionalFormatting>
  <conditionalFormatting sqref="R158:S158">
    <cfRule type="cellIs" dxfId="6" priority="39" operator="equal">
      <formula>#REF!</formula>
    </cfRule>
  </conditionalFormatting>
  <conditionalFormatting sqref="S164:S165">
    <cfRule type="cellIs" dxfId="5" priority="22" operator="equal">
      <formula>$J$7</formula>
    </cfRule>
    <cfRule type="cellIs" dxfId="4" priority="21" operator="equal">
      <formula>#REF!</formula>
    </cfRule>
  </conditionalFormatting>
  <conditionalFormatting sqref="T108">
    <cfRule type="cellIs" dxfId="3" priority="55" operator="equal">
      <formula>#REF!</formula>
    </cfRule>
    <cfRule type="cellIs" dxfId="2" priority="56" operator="equal">
      <formula>#REF!</formula>
    </cfRule>
  </conditionalFormatting>
  <conditionalFormatting sqref="U5:U9 Q7:T8 R9 T9 T14:T19 Q20 S20:T20 R20:R22 U20:U22 T22 U29:U30 R29:R35 Q32:Q35 S32:T35 U32:U36 R36:T36 U51:U52 T65:T66 U65:U67 R66 T74:T91 U75 U92:U94 T95 U96:U102 Q97:S101 T102 T104 U104:U113 Q109:T110 Q111:S112 T111:T113 Q114:U114 Q115:T116 U115:U117 Q117:S117 T117:T127 Q119:S120 U119:U120 Q123:S127 U123:U127 Q128:U128 T129 U129:U135 Q130:T132 U137 Q140:S150 T152:T167 R155:R156 U157:U162 Q158 Q159:S161 U164:U165">
    <cfRule type="cellIs" dxfId="1" priority="53" operator="equal">
      <formula>#REF!</formula>
    </cfRule>
  </conditionalFormatting>
  <conditionalFormatting sqref="U78:U89">
    <cfRule type="cellIs" dxfId="0" priority="45" operator="equal">
      <formula>#REF!</formula>
    </cfRule>
  </conditionalFormatting>
  <pageMargins left="0.5" right="0.5" top="0.5" bottom="0.5" header="0.5" footer="0.5"/>
  <pageSetup scale="24" fitToHeight="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I8"/>
  <sheetViews>
    <sheetView workbookViewId="0">
      <selection activeCell="H39" sqref="H39"/>
    </sheetView>
  </sheetViews>
  <sheetFormatPr defaultRowHeight="12.75" x14ac:dyDescent="0.2"/>
  <cols>
    <col min="2" max="2" width="11.5703125" customWidth="1"/>
    <col min="3" max="3" width="10.5703125" customWidth="1"/>
  </cols>
  <sheetData>
    <row r="1" spans="2:9" ht="13.5" thickBot="1" x14ac:dyDescent="0.25"/>
    <row r="2" spans="2:9" ht="25.5" x14ac:dyDescent="0.2">
      <c r="B2" s="107" t="s">
        <v>88</v>
      </c>
      <c r="C2" s="108" t="s">
        <v>89</v>
      </c>
      <c r="D2" s="466" t="s">
        <v>90</v>
      </c>
      <c r="E2" s="466"/>
      <c r="F2" s="466"/>
      <c r="G2" s="466"/>
      <c r="H2" s="466"/>
      <c r="I2" s="467"/>
    </row>
    <row r="3" spans="2:9" ht="23.25" customHeight="1" x14ac:dyDescent="0.2">
      <c r="B3" s="109">
        <v>1</v>
      </c>
      <c r="C3" s="110">
        <v>42065</v>
      </c>
      <c r="D3" s="111" t="s">
        <v>91</v>
      </c>
      <c r="E3" s="112"/>
      <c r="F3" s="112"/>
      <c r="G3" s="112"/>
      <c r="H3" s="112"/>
      <c r="I3" s="113"/>
    </row>
    <row r="4" spans="2:9" x14ac:dyDescent="0.2">
      <c r="B4" s="114"/>
      <c r="C4" s="112"/>
      <c r="D4" s="468"/>
      <c r="E4" s="469"/>
      <c r="F4" s="469"/>
      <c r="G4" s="469"/>
      <c r="H4" s="469"/>
      <c r="I4" s="470"/>
    </row>
    <row r="5" spans="2:9" x14ac:dyDescent="0.2">
      <c r="B5" s="114"/>
      <c r="C5" s="112"/>
      <c r="D5" s="468"/>
      <c r="E5" s="469"/>
      <c r="F5" s="469"/>
      <c r="G5" s="469"/>
      <c r="H5" s="469"/>
      <c r="I5" s="470"/>
    </row>
    <row r="6" spans="2:9" x14ac:dyDescent="0.2">
      <c r="B6" s="114"/>
      <c r="C6" s="112"/>
      <c r="D6" s="468"/>
      <c r="E6" s="469"/>
      <c r="F6" s="469"/>
      <c r="G6" s="469"/>
      <c r="H6" s="469"/>
      <c r="I6" s="470"/>
    </row>
    <row r="7" spans="2:9" x14ac:dyDescent="0.2">
      <c r="B7" s="114"/>
      <c r="C7" s="112"/>
      <c r="D7" s="468"/>
      <c r="E7" s="469"/>
      <c r="F7" s="469"/>
      <c r="G7" s="469"/>
      <c r="H7" s="469"/>
      <c r="I7" s="470"/>
    </row>
    <row r="8" spans="2:9" ht="13.5" thickBot="1" x14ac:dyDescent="0.25">
      <c r="B8" s="115"/>
      <c r="C8" s="116"/>
      <c r="D8" s="463"/>
      <c r="E8" s="464"/>
      <c r="F8" s="464"/>
      <c r="G8" s="464"/>
      <c r="H8" s="464"/>
      <c r="I8" s="465"/>
    </row>
  </sheetData>
  <mergeCells count="6">
    <mergeCell ref="D8:I8"/>
    <mergeCell ref="D2:I2"/>
    <mergeCell ref="D4:I4"/>
    <mergeCell ref="D5:I5"/>
    <mergeCell ref="D6:I6"/>
    <mergeCell ref="D7:I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H11"/>
  <sheetViews>
    <sheetView showGridLines="0" zoomScale="112" zoomScaleNormal="112" workbookViewId="0">
      <selection activeCell="H36" sqref="H36:H37"/>
    </sheetView>
  </sheetViews>
  <sheetFormatPr defaultRowHeight="12.75" x14ac:dyDescent="0.2"/>
  <cols>
    <col min="1" max="1" width="1.85546875" customWidth="1"/>
    <col min="2" max="2" width="10.5703125" customWidth="1"/>
  </cols>
  <sheetData>
    <row r="1" spans="2:8" ht="14.25" x14ac:dyDescent="0.2">
      <c r="B1" s="8"/>
      <c r="C1" s="8"/>
      <c r="D1" s="8"/>
      <c r="E1" s="8"/>
      <c r="F1" s="8"/>
      <c r="G1" s="8"/>
      <c r="H1" s="8"/>
    </row>
    <row r="2" spans="2:8" ht="15.95" customHeight="1" x14ac:dyDescent="0.2">
      <c r="B2" s="314"/>
      <c r="C2" s="313" t="s">
        <v>615</v>
      </c>
      <c r="D2" s="157"/>
      <c r="E2" s="157"/>
      <c r="F2" s="157"/>
      <c r="G2" s="157"/>
      <c r="H2" s="157"/>
    </row>
    <row r="3" spans="2:8" ht="8.1" customHeight="1" x14ac:dyDescent="0.2">
      <c r="B3" s="157"/>
      <c r="C3" s="157"/>
      <c r="D3" s="157"/>
      <c r="E3" s="157"/>
      <c r="F3" s="157"/>
      <c r="G3" s="157"/>
      <c r="H3" s="157"/>
    </row>
    <row r="4" spans="2:8" ht="15.95" customHeight="1" x14ac:dyDescent="0.2">
      <c r="B4" s="315"/>
      <c r="C4" s="313" t="s">
        <v>616</v>
      </c>
      <c r="D4" s="157"/>
      <c r="E4" s="157"/>
      <c r="F4" s="157"/>
      <c r="G4" s="157"/>
      <c r="H4" s="157"/>
    </row>
    <row r="5" spans="2:8" ht="8.1" customHeight="1" x14ac:dyDescent="0.2">
      <c r="B5" s="157"/>
      <c r="C5" s="313"/>
      <c r="D5" s="312"/>
      <c r="E5" s="157"/>
      <c r="F5" s="157"/>
      <c r="G5" s="157"/>
      <c r="H5" s="157"/>
    </row>
    <row r="6" spans="2:8" ht="15.95" customHeight="1" x14ac:dyDescent="0.2">
      <c r="B6" s="316"/>
      <c r="C6" s="313" t="s">
        <v>617</v>
      </c>
      <c r="D6" s="157"/>
      <c r="E6" s="157"/>
      <c r="F6" s="157"/>
      <c r="G6" s="157"/>
      <c r="H6" s="157"/>
    </row>
    <row r="7" spans="2:8" ht="3.95" customHeight="1" x14ac:dyDescent="0.2">
      <c r="B7" s="157"/>
      <c r="C7" s="157"/>
      <c r="D7" s="157"/>
      <c r="E7" s="157"/>
      <c r="F7" s="157"/>
      <c r="G7" s="157"/>
      <c r="H7" s="157"/>
    </row>
    <row r="8" spans="2:8" ht="15.95" customHeight="1" x14ac:dyDescent="0.2">
      <c r="B8" s="312" t="s">
        <v>330</v>
      </c>
      <c r="C8" s="313" t="s">
        <v>618</v>
      </c>
      <c r="D8" s="157"/>
      <c r="E8" s="157"/>
      <c r="F8" s="157"/>
      <c r="G8" s="157"/>
      <c r="H8" s="157"/>
    </row>
    <row r="9" spans="2:8" ht="5.0999999999999996" customHeight="1" x14ac:dyDescent="0.2">
      <c r="B9" s="157"/>
      <c r="C9" s="313"/>
      <c r="D9" s="157"/>
      <c r="E9" s="157"/>
      <c r="F9" s="157"/>
      <c r="G9" s="157"/>
      <c r="H9" s="157"/>
    </row>
    <row r="10" spans="2:8" x14ac:dyDescent="0.2">
      <c r="B10" s="43" t="s">
        <v>619</v>
      </c>
      <c r="C10" s="313"/>
      <c r="D10" s="157"/>
      <c r="E10" s="157"/>
      <c r="F10" s="157"/>
      <c r="G10" s="157"/>
      <c r="H10" s="157"/>
    </row>
    <row r="11" spans="2:8" x14ac:dyDescent="0.2">
      <c r="C11" s="313"/>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Date xmlns="b96e660b-4b88-40a4-814f-779347aa3b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D392E6BC75E64283851FD0167C4626" ma:contentTypeVersion="2" ma:contentTypeDescription="Create a new document." ma:contentTypeScope="" ma:versionID="aed16455c2a779dd35d35bda8f110291">
  <xsd:schema xmlns:xsd="http://www.w3.org/2001/XMLSchema" xmlns:xs="http://www.w3.org/2001/XMLSchema" xmlns:p="http://schemas.microsoft.com/office/2006/metadata/properties" xmlns:ns2="6ec60af1-6d1e-4575-bf73-1b6e791fcd10" xmlns:ns3="b96e660b-4b88-40a4-814f-779347aa3b07" targetNamespace="http://schemas.microsoft.com/office/2006/metadata/properties" ma:root="true" ma:fieldsID="dc9ec11b3f59935fe093f0a8d594c8f9" ns2:_="" ns3:_="">
    <xsd:import namespace="6ec60af1-6d1e-4575-bf73-1b6e791fcd10"/>
    <xsd:import namespace="b96e660b-4b88-40a4-814f-779347aa3b07"/>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6e660b-4b88-40a4-814f-779347aa3b07"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EE2F09C-8C16-41DD-88AB-133C3726A442}">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b7879b9-9c05-479c-9cd3-274fa52a48c9"/>
    <ds:schemaRef ds:uri="http://www.w3.org/XML/1998/namespace"/>
    <ds:schemaRef ds:uri="http://purl.org/dc/dcmitype/"/>
  </ds:schemaRefs>
</ds:datastoreItem>
</file>

<file path=customXml/itemProps2.xml><?xml version="1.0" encoding="utf-8"?>
<ds:datastoreItem xmlns:ds="http://schemas.openxmlformats.org/officeDocument/2006/customXml" ds:itemID="{1D3270B9-FBAF-4343-9041-1B0264C4C9C3}"/>
</file>

<file path=customXml/itemProps3.xml><?xml version="1.0" encoding="utf-8"?>
<ds:datastoreItem xmlns:ds="http://schemas.openxmlformats.org/officeDocument/2006/customXml" ds:itemID="{87A8627A-85F2-4A87-A9E9-18DD250CDCCC}">
  <ds:schemaRefs>
    <ds:schemaRef ds:uri="http://schemas.microsoft.com/sharepoint/v3/contenttype/forms"/>
  </ds:schemaRefs>
</ds:datastoreItem>
</file>

<file path=customXml/itemProps4.xml><?xml version="1.0" encoding="utf-8"?>
<ds:datastoreItem xmlns:ds="http://schemas.openxmlformats.org/officeDocument/2006/customXml" ds:itemID="{BEB19D32-24C8-460B-9745-52B6D524A10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Cover</vt:lpstr>
      <vt:lpstr>BC Form by Severity</vt:lpstr>
      <vt:lpstr>BC Form by Type</vt:lpstr>
      <vt:lpstr>Combination of BC's</vt:lpstr>
      <vt:lpstr>Corridor BC</vt:lpstr>
      <vt:lpstr>Fields</vt:lpstr>
      <vt:lpstr>'BC Form by Severity'!Print_Area</vt:lpstr>
      <vt:lpstr>'BC Form by Type'!Print_Area</vt:lpstr>
      <vt:lpstr>'Combination of BC''s'!Print_Area</vt:lpstr>
      <vt:lpstr>'Corridor BC'!Print_Area</vt:lpstr>
      <vt:lpstr>Cover!Print_Area</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 Analysis Workbook</dc:title>
  <dc:creator>Eric S. Leaming, P.E.</dc:creator>
  <cp:lastModifiedBy>MCDANIEL-WILSON Christina A</cp:lastModifiedBy>
  <cp:lastPrinted>2018-02-21T21:24:17Z</cp:lastPrinted>
  <dcterms:created xsi:type="dcterms:W3CDTF">2001-12-18T20:06:17Z</dcterms:created>
  <dcterms:modified xsi:type="dcterms:W3CDTF">2023-11-08T00:21:06Z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0x01010051D392E6BC75E64283851FD0167C4626</vt:lpwstr>
  </property>
  <property fmtid="{D5CDD505-2E9C-101B-9397-08002B2CF9AE}" pid="3" name="MSIP_Label_c9cf6fe3-5bce-446b-ad70-bd306593eea0_Enabled">
    <vt:lpwstr>true</vt:lpwstr>
  </property>
  <property fmtid="{D5CDD505-2E9C-101B-9397-08002B2CF9AE}" pid="4" name="MSIP_Label_c9cf6fe3-5bce-446b-ad70-bd306593eea0_SetDate">
    <vt:lpwstr>2023-09-18T16:44:59Z</vt:lpwstr>
  </property>
  <property fmtid="{D5CDD505-2E9C-101B-9397-08002B2CF9AE}" pid="5" name="MSIP_Label_c9cf6fe3-5bce-446b-ad70-bd306593eea0_Method">
    <vt:lpwstr>Privileged</vt:lpwstr>
  </property>
  <property fmtid="{D5CDD505-2E9C-101B-9397-08002B2CF9AE}" pid="6" name="MSIP_Label_c9cf6fe3-5bce-446b-ad70-bd306593eea0_Name">
    <vt:lpwstr>Level 1 - Published (Items)</vt:lpwstr>
  </property>
  <property fmtid="{D5CDD505-2E9C-101B-9397-08002B2CF9AE}" pid="7" name="MSIP_Label_c9cf6fe3-5bce-446b-ad70-bd306593eea0_SiteId">
    <vt:lpwstr>28b0d013-46bc-4a64-8d86-1c8a31cf590d</vt:lpwstr>
  </property>
  <property fmtid="{D5CDD505-2E9C-101B-9397-08002B2CF9AE}" pid="8" name="MSIP_Label_c9cf6fe3-5bce-446b-ad70-bd306593eea0_ActionId">
    <vt:lpwstr>561734f7-801f-4f5a-a77f-287e8f3f95e8</vt:lpwstr>
  </property>
  <property fmtid="{D5CDD505-2E9C-101B-9397-08002B2CF9AE}" pid="9" name="MSIP_Label_c9cf6fe3-5bce-446b-ad70-bd306593eea0_ContentBits">
    <vt:lpwstr>0</vt:lpwstr>
  </property>
</Properties>
</file>