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codeName="{37A63EE7-654F-3FA9-A528-636911D70600}"/>
  <workbookPr codeName="ThisWorkbook"/>
  <mc:AlternateContent xmlns:mc="http://schemas.openxmlformats.org/markup-compatibility/2006">
    <mc:Choice Requires="x15">
      <x15ac:absPath xmlns:x15ac="http://schemas.microsoft.com/office/spreadsheetml/2010/11/ac" url="\\scdata\Signal Specs\Manuals\SignalDesignManual_WORKING_FILES\DetectorWorkFlow\2023_update\"/>
    </mc:Choice>
  </mc:AlternateContent>
  <xr:revisionPtr revIDLastSave="0" documentId="8_{E1BD8D87-A429-4004-A560-3453D8AF8A29}" xr6:coauthVersionLast="47" xr6:coauthVersionMax="47" xr10:uidLastSave="{00000000-0000-0000-0000-000000000000}"/>
  <bookViews>
    <workbookView xWindow="4968" yWindow="600" windowWidth="17280" windowHeight="8976" tabRatio="789" xr2:uid="{00000000-000D-0000-FFFF-FFFF00000000}"/>
  </bookViews>
  <sheets>
    <sheet name="ZoneConfigurationTable" sheetId="3" r:id="rId1"/>
    <sheet name="332S Input File" sheetId="5" r:id="rId2"/>
  </sheets>
  <definedNames>
    <definedName name="_xlnm._FilterDatabase" localSheetId="0" hidden="1">ZoneConfigurationTable!$A$11:$P$75</definedName>
    <definedName name="_xlnm.Print_Area" localSheetId="0">ZoneConfigurationTable!$I$6:$P$75</definedName>
    <definedName name="Z_47EDE86C_1ACF_4726_853F_87433783037A_.wvu.Cols" localSheetId="0" hidden="1">ZoneConfigurationTable!$B:$F</definedName>
    <definedName name="Z_47EDE86C_1ACF_4726_853F_87433783037A_.wvu.FilterData" localSheetId="0" hidden="1">ZoneConfigurationTable!$A$11:$P$75</definedName>
    <definedName name="Z_47EDE86C_1ACF_4726_853F_87433783037A_.wvu.Rows" localSheetId="1" hidden="1">'332S Input File'!$33:$43</definedName>
  </definedNames>
  <calcPr calcId="191029"/>
  <customWorkbookViews>
    <customWorkbookView name="JOHNSON Katryn L * Katie - Personal View" guid="{47EDE86C-1ACF-4726-853F-87433783037A}" mergeInterval="0" personalView="1" xWindow="35" windowWidth="1747" windowHeight="1040" tabRatio="789"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3" l="1"/>
  <c r="K13" i="3"/>
  <c r="K14" i="3"/>
  <c r="K15" i="3"/>
  <c r="K16" i="3"/>
  <c r="K48" i="3"/>
  <c r="K24" i="3"/>
  <c r="K25" i="3"/>
  <c r="K26" i="3"/>
  <c r="K27" i="3"/>
  <c r="K28" i="3"/>
  <c r="K37" i="3"/>
  <c r="K49" i="3"/>
  <c r="K19" i="3"/>
  <c r="K41" i="3"/>
  <c r="K42" i="3"/>
  <c r="K43" i="3"/>
  <c r="K44" i="3"/>
  <c r="K45" i="3"/>
  <c r="K31" i="3"/>
  <c r="K53" i="3"/>
  <c r="K54" i="3"/>
  <c r="K55" i="3"/>
  <c r="K56" i="3"/>
  <c r="K57" i="3"/>
  <c r="K20" i="3"/>
  <c r="K32" i="3"/>
  <c r="K38" i="3"/>
  <c r="K39" i="3"/>
  <c r="K17" i="3"/>
  <c r="K50" i="3"/>
  <c r="K51" i="3"/>
  <c r="K29" i="3"/>
  <c r="K21" i="3"/>
  <c r="K22" i="3"/>
  <c r="K46" i="3"/>
  <c r="K33" i="3"/>
  <c r="K34" i="3"/>
  <c r="K58" i="3"/>
  <c r="K40" i="3"/>
  <c r="K18" i="3"/>
  <c r="K52" i="3"/>
  <c r="K30" i="3"/>
  <c r="K23" i="3"/>
  <c r="K47" i="3"/>
  <c r="K35" i="3"/>
  <c r="K59" i="3"/>
  <c r="K60" i="3"/>
  <c r="K61" i="3"/>
  <c r="K64" i="3"/>
  <c r="K65" i="3"/>
  <c r="K62" i="3"/>
  <c r="K63" i="3"/>
  <c r="K66" i="3"/>
  <c r="K67" i="3"/>
  <c r="K68" i="3"/>
  <c r="K69" i="3"/>
  <c r="K70" i="3"/>
  <c r="K71" i="3"/>
  <c r="K72" i="3"/>
  <c r="K73" i="3"/>
  <c r="K74" i="3"/>
  <c r="K75" i="3"/>
  <c r="K36" i="3"/>
  <c r="N14" i="3" l="1"/>
  <c r="D75" i="3" l="1"/>
  <c r="D74" i="3"/>
  <c r="D73" i="3"/>
  <c r="D72" i="3"/>
  <c r="D71" i="3"/>
  <c r="D70" i="3"/>
  <c r="D69" i="3"/>
  <c r="D68" i="3"/>
  <c r="D67" i="3"/>
  <c r="C67" i="3"/>
  <c r="B67" i="3"/>
  <c r="D66" i="3"/>
  <c r="C66" i="3"/>
  <c r="B66" i="3"/>
  <c r="D63" i="3"/>
  <c r="C63" i="3"/>
  <c r="B63" i="3"/>
  <c r="D62" i="3"/>
  <c r="C62" i="3"/>
  <c r="B62" i="3"/>
  <c r="D65" i="3"/>
  <c r="C65" i="3"/>
  <c r="B65" i="3"/>
  <c r="D64" i="3"/>
  <c r="C64" i="3"/>
  <c r="B64" i="3"/>
  <c r="D61" i="3"/>
  <c r="C61" i="3"/>
  <c r="B61" i="3"/>
  <c r="D60" i="3"/>
  <c r="C60" i="3"/>
  <c r="B60" i="3"/>
  <c r="D59" i="3"/>
  <c r="C59" i="3"/>
  <c r="B59" i="3"/>
  <c r="D35" i="3"/>
  <c r="C35" i="3"/>
  <c r="B35" i="3"/>
  <c r="D47" i="3"/>
  <c r="C47" i="3"/>
  <c r="B47" i="3"/>
  <c r="D23" i="3"/>
  <c r="C23" i="3"/>
  <c r="B23" i="3"/>
  <c r="D30" i="3"/>
  <c r="C30" i="3"/>
  <c r="B30" i="3"/>
  <c r="D52" i="3"/>
  <c r="C52" i="3"/>
  <c r="B52" i="3"/>
  <c r="D18" i="3"/>
  <c r="C18" i="3"/>
  <c r="B18" i="3"/>
  <c r="D40" i="3"/>
  <c r="C40" i="3"/>
  <c r="B40" i="3"/>
  <c r="C58" i="3"/>
  <c r="B58" i="3"/>
  <c r="C34" i="3"/>
  <c r="B34" i="3"/>
  <c r="C33" i="3"/>
  <c r="B33" i="3"/>
  <c r="C46" i="3"/>
  <c r="B46" i="3"/>
  <c r="C22" i="3"/>
  <c r="B22" i="3"/>
  <c r="C21" i="3"/>
  <c r="B21" i="3"/>
  <c r="C29" i="3"/>
  <c r="B29" i="3"/>
  <c r="C51" i="3"/>
  <c r="B51" i="3"/>
  <c r="C50" i="3"/>
  <c r="B50" i="3"/>
  <c r="C17" i="3"/>
  <c r="B17" i="3"/>
  <c r="C39" i="3"/>
  <c r="B39" i="3"/>
  <c r="C38" i="3"/>
  <c r="B38" i="3"/>
  <c r="C32" i="3"/>
  <c r="B32" i="3"/>
  <c r="C20" i="3"/>
  <c r="B20" i="3"/>
  <c r="C57" i="3"/>
  <c r="B57" i="3"/>
  <c r="C56" i="3"/>
  <c r="B56" i="3"/>
  <c r="C55" i="3"/>
  <c r="B55" i="3"/>
  <c r="C54" i="3"/>
  <c r="B54" i="3"/>
  <c r="C53" i="3"/>
  <c r="B53" i="3"/>
  <c r="C31" i="3"/>
  <c r="B31" i="3"/>
  <c r="C45" i="3"/>
  <c r="B45" i="3"/>
  <c r="C44" i="3"/>
  <c r="B44" i="3"/>
  <c r="C43" i="3"/>
  <c r="B43" i="3"/>
  <c r="C42" i="3"/>
  <c r="B42" i="3"/>
  <c r="C41" i="3"/>
  <c r="B41" i="3"/>
  <c r="C19" i="3"/>
  <c r="B19" i="3"/>
  <c r="C49" i="3"/>
  <c r="B49" i="3"/>
  <c r="C37" i="3"/>
  <c r="B37" i="3"/>
  <c r="C28" i="3"/>
  <c r="B28" i="3"/>
  <c r="C27" i="3"/>
  <c r="B27" i="3"/>
  <c r="C26" i="3"/>
  <c r="B26" i="3"/>
  <c r="C25" i="3"/>
  <c r="B25" i="3"/>
  <c r="C24" i="3"/>
  <c r="B24" i="3"/>
  <c r="C48" i="3"/>
  <c r="B48" i="3"/>
  <c r="C16" i="3"/>
  <c r="B16" i="3"/>
  <c r="C15" i="3"/>
  <c r="B15" i="3"/>
  <c r="C14" i="3"/>
  <c r="B14" i="3"/>
  <c r="C13" i="3"/>
  <c r="B13" i="3"/>
  <c r="C12" i="3"/>
  <c r="B12" i="3"/>
  <c r="C36" i="3"/>
  <c r="B36" i="3"/>
  <c r="L4" i="5" l="1"/>
  <c r="O4" i="5"/>
  <c r="N4" i="5"/>
  <c r="M19" i="5"/>
  <c r="F5" i="5"/>
  <c r="F6" i="5" s="1"/>
  <c r="K31" i="5"/>
  <c r="K30" i="5" s="1"/>
  <c r="J31" i="5"/>
  <c r="J30" i="5" s="1"/>
  <c r="I31" i="5"/>
  <c r="I30" i="5" s="1"/>
  <c r="H31" i="5"/>
  <c r="H30" i="5" s="1"/>
  <c r="G31" i="5"/>
  <c r="G30" i="5" s="1"/>
  <c r="F31" i="5"/>
  <c r="F30" i="5" s="1"/>
  <c r="E31" i="5"/>
  <c r="E30" i="5" s="1"/>
  <c r="D31" i="5"/>
  <c r="D30" i="5" s="1"/>
  <c r="C31" i="5"/>
  <c r="C30" i="5" s="1"/>
  <c r="B31" i="5"/>
  <c r="B30" i="5" s="1"/>
  <c r="K20" i="5"/>
  <c r="J20" i="5"/>
  <c r="J22" i="5" s="1"/>
  <c r="I20" i="5"/>
  <c r="I22" i="5" s="1"/>
  <c r="H20" i="5"/>
  <c r="H22" i="5" s="1"/>
  <c r="G20" i="5"/>
  <c r="G22" i="5" s="1"/>
  <c r="F20" i="5"/>
  <c r="F22" i="5" s="1"/>
  <c r="E20" i="5"/>
  <c r="E22" i="5" s="1"/>
  <c r="D20" i="5"/>
  <c r="D22" i="5" s="1"/>
  <c r="C20" i="5"/>
  <c r="C22" i="5" s="1"/>
  <c r="B20" i="5"/>
  <c r="B22" i="5" s="1"/>
  <c r="K16" i="5"/>
  <c r="K14" i="5" s="1"/>
  <c r="J16" i="5"/>
  <c r="J14" i="5" s="1"/>
  <c r="I16" i="5"/>
  <c r="I15" i="5" s="1"/>
  <c r="H16" i="5"/>
  <c r="H15" i="5" s="1"/>
  <c r="G16" i="5"/>
  <c r="G15" i="5" s="1"/>
  <c r="F16" i="5"/>
  <c r="F15" i="5" s="1"/>
  <c r="E16" i="5"/>
  <c r="E15" i="5" s="1"/>
  <c r="D16" i="5"/>
  <c r="D15" i="5" s="1"/>
  <c r="C16" i="5"/>
  <c r="C14" i="5" s="1"/>
  <c r="B16" i="5"/>
  <c r="B14" i="5" s="1"/>
  <c r="K5" i="5"/>
  <c r="K6" i="5" s="1"/>
  <c r="J5" i="5"/>
  <c r="J6" i="5" s="1"/>
  <c r="I5" i="5"/>
  <c r="I6" i="5" s="1"/>
  <c r="H5" i="5"/>
  <c r="H6" i="5" s="1"/>
  <c r="G5" i="5"/>
  <c r="G6" i="5" s="1"/>
  <c r="E5" i="5"/>
  <c r="E6" i="5" s="1"/>
  <c r="D5" i="5"/>
  <c r="D6" i="5" s="1"/>
  <c r="C5" i="5"/>
  <c r="C6" i="5" s="1"/>
  <c r="K22" i="5" l="1"/>
  <c r="F7" i="5"/>
  <c r="D14" i="5"/>
  <c r="B15" i="5"/>
  <c r="J15" i="5"/>
  <c r="H29" i="5"/>
  <c r="D21" i="5"/>
  <c r="H21" i="5"/>
  <c r="G7" i="5"/>
  <c r="E14" i="5"/>
  <c r="C15" i="5"/>
  <c r="K15" i="5"/>
  <c r="I29" i="5"/>
  <c r="H7" i="5"/>
  <c r="F14" i="5"/>
  <c r="B29" i="5"/>
  <c r="J29" i="5"/>
  <c r="E21" i="5"/>
  <c r="I21" i="5"/>
  <c r="I7" i="5"/>
  <c r="G14" i="5"/>
  <c r="C29" i="5"/>
  <c r="K29" i="5"/>
  <c r="J7" i="5"/>
  <c r="H14" i="5"/>
  <c r="D29" i="5"/>
  <c r="B21" i="5"/>
  <c r="F21" i="5"/>
  <c r="J21" i="5"/>
  <c r="C7" i="5"/>
  <c r="K7" i="5"/>
  <c r="I14" i="5"/>
  <c r="E29" i="5"/>
  <c r="D7" i="5"/>
  <c r="F29" i="5"/>
  <c r="C21" i="5"/>
  <c r="G21" i="5"/>
  <c r="K21" i="5"/>
  <c r="E7" i="5"/>
  <c r="G29" i="5"/>
  <c r="N29" i="3" l="1"/>
  <c r="N21" i="3"/>
  <c r="N22" i="3"/>
  <c r="N46" i="3"/>
  <c r="N33" i="3"/>
  <c r="N34" i="3"/>
  <c r="N58" i="3"/>
  <c r="N51" i="3"/>
  <c r="N43" i="3"/>
  <c r="N44" i="3"/>
  <c r="N45" i="3"/>
  <c r="N31" i="3"/>
  <c r="N53" i="3"/>
  <c r="N54" i="3"/>
  <c r="N55" i="3"/>
  <c r="N56" i="3"/>
  <c r="N57" i="3"/>
  <c r="N20" i="3"/>
  <c r="N32" i="3"/>
  <c r="N38" i="3"/>
  <c r="N39" i="3"/>
  <c r="N17" i="3"/>
  <c r="N50" i="3"/>
  <c r="N42" i="3"/>
  <c r="N12" i="3"/>
  <c r="N13" i="3"/>
  <c r="N15" i="3"/>
  <c r="N16" i="3"/>
  <c r="N48" i="3"/>
  <c r="N24" i="3"/>
  <c r="N25" i="3"/>
  <c r="N26" i="3"/>
  <c r="N27" i="3"/>
  <c r="N28" i="3"/>
  <c r="N37" i="3"/>
  <c r="N49" i="3"/>
  <c r="N19" i="3"/>
  <c r="N41" i="3"/>
  <c r="N36" i="3"/>
  <c r="B5" i="5" l="1"/>
  <c r="B6" i="5" l="1"/>
  <c r="B7" i="5"/>
</calcChain>
</file>

<file path=xl/sharedStrings.xml><?xml version="1.0" encoding="utf-8"?>
<sst xmlns="http://schemas.openxmlformats.org/spreadsheetml/2006/main" count="410" uniqueCount="266">
  <si>
    <t>MT #</t>
  </si>
  <si>
    <t>A</t>
  </si>
  <si>
    <t>B</t>
  </si>
  <si>
    <t>C</t>
  </si>
  <si>
    <t>D</t>
  </si>
  <si>
    <t>E</t>
  </si>
  <si>
    <t>G</t>
  </si>
  <si>
    <t>software zone</t>
  </si>
  <si>
    <t>F</t>
  </si>
  <si>
    <t>H</t>
  </si>
  <si>
    <t>software channel</t>
  </si>
  <si>
    <t>Device</t>
  </si>
  <si>
    <t>Phase - Detector Unit</t>
  </si>
  <si>
    <t>J1</t>
  </si>
  <si>
    <t>J2</t>
  </si>
  <si>
    <t>J3</t>
  </si>
  <si>
    <t>J4</t>
  </si>
  <si>
    <t>J5</t>
  </si>
  <si>
    <t>J6</t>
  </si>
  <si>
    <t>J7</t>
  </si>
  <si>
    <t>J8</t>
  </si>
  <si>
    <t>J9</t>
  </si>
  <si>
    <t>J10</t>
  </si>
  <si>
    <t>J11</t>
  </si>
  <si>
    <t>J12</t>
  </si>
  <si>
    <t>J13</t>
  </si>
  <si>
    <t>J14</t>
  </si>
  <si>
    <t>I1</t>
  </si>
  <si>
    <t>I2</t>
  </si>
  <si>
    <t>I3</t>
  </si>
  <si>
    <t>I4</t>
  </si>
  <si>
    <t>I5</t>
  </si>
  <si>
    <t>I6</t>
  </si>
  <si>
    <t>I7</t>
  </si>
  <si>
    <t>I8</t>
  </si>
  <si>
    <t>I9</t>
  </si>
  <si>
    <t>I10</t>
  </si>
  <si>
    <t>I11</t>
  </si>
  <si>
    <t>I12</t>
  </si>
  <si>
    <t>I13</t>
  </si>
  <si>
    <t>I14</t>
  </si>
  <si>
    <t>C1-56</t>
  </si>
  <si>
    <t>C1-57</t>
  </si>
  <si>
    <t>C1-58</t>
  </si>
  <si>
    <t>C1-59</t>
  </si>
  <si>
    <t>C1-60</t>
  </si>
  <si>
    <t>C1-61</t>
  </si>
  <si>
    <t>C1-62</t>
  </si>
  <si>
    <t>C1-63</t>
  </si>
  <si>
    <t>C1-64</t>
  </si>
  <si>
    <t>C1-65</t>
  </si>
  <si>
    <t>C11-16</t>
  </si>
  <si>
    <t>C1-39</t>
  </si>
  <si>
    <t>C1-47</t>
  </si>
  <si>
    <t>C11-18</t>
  </si>
  <si>
    <t>C1-41</t>
  </si>
  <si>
    <t>C1-49</t>
  </si>
  <si>
    <t>C1-50</t>
  </si>
  <si>
    <t>C1-51</t>
  </si>
  <si>
    <t>C1-52</t>
  </si>
  <si>
    <t>C11-23</t>
  </si>
  <si>
    <t>C11-24</t>
  </si>
  <si>
    <t>C1-67</t>
  </si>
  <si>
    <t>C1-68</t>
  </si>
  <si>
    <t>C11-20</t>
  </si>
  <si>
    <t>C1-43</t>
  </si>
  <si>
    <t>C1-76</t>
  </si>
  <si>
    <t>C11-10</t>
  </si>
  <si>
    <t>C11-22</t>
  </si>
  <si>
    <t>C1-45</t>
  </si>
  <si>
    <t>C1-78</t>
  </si>
  <si>
    <t>C11-12</t>
  </si>
  <si>
    <t>C11-25</t>
  </si>
  <si>
    <t>C11-26</t>
  </si>
  <si>
    <t>C1-69</t>
  </si>
  <si>
    <t>C1-70</t>
  </si>
  <si>
    <t>C1-55</t>
  </si>
  <si>
    <t>C11-15</t>
  </si>
  <si>
    <t>C1-40</t>
  </si>
  <si>
    <t>C1-48</t>
  </si>
  <si>
    <t>C11-17</t>
  </si>
  <si>
    <t>C1-42</t>
  </si>
  <si>
    <t>C1-66</t>
  </si>
  <si>
    <t>C1-54</t>
  </si>
  <si>
    <t>C1-71</t>
  </si>
  <si>
    <t>C1-72</t>
  </si>
  <si>
    <t>C11-19</t>
  </si>
  <si>
    <t>C1-44</t>
  </si>
  <si>
    <t>C1-77</t>
  </si>
  <si>
    <t>C11-11</t>
  </si>
  <si>
    <t>C11-21</t>
  </si>
  <si>
    <t>C1-46</t>
  </si>
  <si>
    <t>C1-79</t>
  </si>
  <si>
    <t>C11-13</t>
  </si>
  <si>
    <t>C1-75</t>
  </si>
  <si>
    <t>C1-73</t>
  </si>
  <si>
    <t>C1-74</t>
  </si>
  <si>
    <t>SPARE</t>
  </si>
  <si>
    <t>GPS</t>
  </si>
  <si>
    <t>VCOI</t>
  </si>
  <si>
    <t>PCOI</t>
  </si>
  <si>
    <t>EVA</t>
  </si>
  <si>
    <t>EVB</t>
  </si>
  <si>
    <t>EVC</t>
  </si>
  <si>
    <t>EVD</t>
  </si>
  <si>
    <t>4 PED</t>
  </si>
  <si>
    <t>2 PED</t>
  </si>
  <si>
    <t>6 PED</t>
  </si>
  <si>
    <t>8 PED</t>
  </si>
  <si>
    <t>x</t>
  </si>
  <si>
    <t>VD1</t>
  </si>
  <si>
    <t>VD29</t>
  </si>
  <si>
    <t>VD9</t>
  </si>
  <si>
    <t>VD11</t>
  </si>
  <si>
    <t>VD13</t>
  </si>
  <si>
    <t>VD3</t>
  </si>
  <si>
    <t>VD32</t>
  </si>
  <si>
    <t>VD14</t>
  </si>
  <si>
    <t>VD16</t>
  </si>
  <si>
    <t>VD18</t>
  </si>
  <si>
    <t>VD2</t>
  </si>
  <si>
    <t>VD30</t>
  </si>
  <si>
    <t>VD10</t>
  </si>
  <si>
    <t>VD12</t>
  </si>
  <si>
    <t>VD31</t>
  </si>
  <si>
    <t>VD4</t>
  </si>
  <si>
    <t>VD33</t>
  </si>
  <si>
    <t>VD15</t>
  </si>
  <si>
    <t>VD17</t>
  </si>
  <si>
    <t>VD34</t>
  </si>
  <si>
    <t>MT15</t>
  </si>
  <si>
    <t>MT27</t>
  </si>
  <si>
    <t>MT35</t>
  </si>
  <si>
    <t>MT36</t>
  </si>
  <si>
    <t>MT17</t>
  </si>
  <si>
    <t>MT16</t>
  </si>
  <si>
    <t>MT18</t>
  </si>
  <si>
    <t>MT19</t>
  </si>
  <si>
    <t>MT20</t>
  </si>
  <si>
    <t>MT37</t>
  </si>
  <si>
    <t>MT21</t>
  </si>
  <si>
    <t>MT28</t>
  </si>
  <si>
    <t>MT38</t>
  </si>
  <si>
    <t>MT39</t>
  </si>
  <si>
    <t>MT22</t>
  </si>
  <si>
    <t>MT23</t>
  </si>
  <si>
    <t>MT24</t>
  </si>
  <si>
    <t>MT25</t>
  </si>
  <si>
    <t>MT26</t>
  </si>
  <si>
    <t>MT40</t>
  </si>
  <si>
    <t>VD5</t>
  </si>
  <si>
    <t>VD6</t>
  </si>
  <si>
    <t>VD35</t>
  </si>
  <si>
    <t>VD36</t>
  </si>
  <si>
    <t>VD19</t>
  </si>
  <si>
    <t>VD20</t>
  </si>
  <si>
    <t>VD21</t>
  </si>
  <si>
    <t>VD22</t>
  </si>
  <si>
    <t>VD37</t>
  </si>
  <si>
    <t>VD23</t>
  </si>
  <si>
    <t>VD7</t>
  </si>
  <si>
    <t>VD8</t>
  </si>
  <si>
    <t>VD39</t>
  </si>
  <si>
    <t>VD38</t>
  </si>
  <si>
    <t>VD24</t>
  </si>
  <si>
    <t>VD25</t>
  </si>
  <si>
    <t>VD26</t>
  </si>
  <si>
    <t>VD27</t>
  </si>
  <si>
    <t>VD28</t>
  </si>
  <si>
    <t>VD40</t>
  </si>
  <si>
    <t>MT1</t>
  </si>
  <si>
    <t>MT13</t>
  </si>
  <si>
    <t>MT29</t>
  </si>
  <si>
    <t>MT30</t>
  </si>
  <si>
    <t>MT2</t>
  </si>
  <si>
    <t>MT3</t>
  </si>
  <si>
    <t>MT4</t>
  </si>
  <si>
    <t>MT5</t>
  </si>
  <si>
    <t>MT31</t>
  </si>
  <si>
    <t>MT6</t>
  </si>
  <si>
    <t>MT7</t>
  </si>
  <si>
    <t>MT14</t>
  </si>
  <si>
    <t>MT32</t>
  </si>
  <si>
    <t>MT33</t>
  </si>
  <si>
    <t>MT8</t>
  </si>
  <si>
    <t>MT9</t>
  </si>
  <si>
    <t>MT10</t>
  </si>
  <si>
    <t>MT11</t>
  </si>
  <si>
    <t>MT12</t>
  </si>
  <si>
    <t>MT34</t>
  </si>
  <si>
    <t>misc</t>
  </si>
  <si>
    <t>YR*</t>
  </si>
  <si>
    <t>CO*</t>
  </si>
  <si>
    <t>A*</t>
  </si>
  <si>
    <t xml:space="preserve">Phase             </t>
  </si>
  <si>
    <t>Function</t>
  </si>
  <si>
    <t>restore default phase</t>
  </si>
  <si>
    <t>restore default function</t>
  </si>
  <si>
    <t>Phase different than default</t>
  </si>
  <si>
    <t>Device different from default</t>
  </si>
  <si>
    <t>function different from default</t>
  </si>
  <si>
    <t>LEGEND:</t>
  </si>
  <si>
    <t>funtion information (e.g. TH Zone, LT Count, etc.)</t>
  </si>
  <si>
    <t>slot reference</t>
  </si>
  <si>
    <t>I1U</t>
  </si>
  <si>
    <t>I2U</t>
  </si>
  <si>
    <t>I3U</t>
  </si>
  <si>
    <t>I4U</t>
  </si>
  <si>
    <t>I5U</t>
  </si>
  <si>
    <t>I6U</t>
  </si>
  <si>
    <t>I1L</t>
  </si>
  <si>
    <t>I2L</t>
  </si>
  <si>
    <t>I3L</t>
  </si>
  <si>
    <t>I4L</t>
  </si>
  <si>
    <t>I5L</t>
  </si>
  <si>
    <t>I6L</t>
  </si>
  <si>
    <t>I7U</t>
  </si>
  <si>
    <t>I7L</t>
  </si>
  <si>
    <t>I8U</t>
  </si>
  <si>
    <t>I9U</t>
  </si>
  <si>
    <t>I10U</t>
  </si>
  <si>
    <t>I8L</t>
  </si>
  <si>
    <t>I9L</t>
  </si>
  <si>
    <t>I10L</t>
  </si>
  <si>
    <t>J2U</t>
  </si>
  <si>
    <t>J2L</t>
  </si>
  <si>
    <t>J3U</t>
  </si>
  <si>
    <t>J3L</t>
  </si>
  <si>
    <t>J4U</t>
  </si>
  <si>
    <t>J4L</t>
  </si>
  <si>
    <t>J5U</t>
  </si>
  <si>
    <t>J5L</t>
  </si>
  <si>
    <t>J6U</t>
  </si>
  <si>
    <t>J6L</t>
  </si>
  <si>
    <t>J7U</t>
  </si>
  <si>
    <t>J7L</t>
  </si>
  <si>
    <t>J8U</t>
  </si>
  <si>
    <t>J8L</t>
  </si>
  <si>
    <t>J9U</t>
  </si>
  <si>
    <t>J9L</t>
  </si>
  <si>
    <t>J10U</t>
  </si>
  <si>
    <t>J10L</t>
  </si>
  <si>
    <t>place "x" input slot is used</t>
  </si>
  <si>
    <t>BIU or INPUT SLOT</t>
  </si>
  <si>
    <t xml:space="preserve">Place "x" if MT# is used </t>
  </si>
  <si>
    <t>Highway:</t>
  </si>
  <si>
    <t>Milepoint:</t>
  </si>
  <si>
    <t>Intersection:</t>
  </si>
  <si>
    <t>TSSU ID:</t>
  </si>
  <si>
    <t>phase/device</t>
  </si>
  <si>
    <t>funtion information (e.g. TH Zone, LT Count, etc.).  Info Imported from other worksheet</t>
  </si>
  <si>
    <t>Phase - Detector Unit.  Info imported from other worksheet</t>
  </si>
  <si>
    <t>device list</t>
  </si>
  <si>
    <t>RAD</t>
  </si>
  <si>
    <t>VIP</t>
  </si>
  <si>
    <t>4 I/O</t>
  </si>
  <si>
    <t>2 I/O</t>
  </si>
  <si>
    <t>Use drop down list to check "X" in box if device is present (in blue highlighted cells only)</t>
  </si>
  <si>
    <t xml:space="preserve">Device (Select appropriate device in drop down list in each yellow highlighted cells only.  Note: VIP, 4 I/O, and VRCM modules span two slots)   </t>
  </si>
  <si>
    <t>332S default cabinet input configuration (radar using SDLC, standard Device, Phase, and Function are shown)</t>
  </si>
  <si>
    <t>funtion information (e.g. A, CO, P, YR, TH Zone, LT Count, etc.).  Info Imported from other worksheet</t>
  </si>
  <si>
    <r>
      <rPr>
        <b/>
        <u/>
        <sz val="8"/>
        <rFont val="Lucida Sans Unicode"/>
        <family val="2"/>
      </rPr>
      <t>Instructions</t>
    </r>
    <r>
      <rPr>
        <sz val="8"/>
        <rFont val="Lucida Sans Unicode"/>
        <family val="2"/>
      </rPr>
      <t xml:space="preserve">: </t>
    </r>
    <r>
      <rPr>
        <sz val="8"/>
        <color rgb="FFFF0000"/>
        <rFont val="Lucida Sans Unicode"/>
        <family val="2"/>
      </rPr>
      <t>Signal Timer -</t>
    </r>
    <r>
      <rPr>
        <sz val="8"/>
        <rFont val="Lucida Sans Unicode"/>
        <family val="2"/>
      </rPr>
      <t xml:space="preserve"> In yellow highlighted cells, select the appropriate device from drop down box if the input slot is used (all other info is auto populated from info entered in the "ZoneConfigurationTable").  In the blue highlighted cells, select the "X" from the drop down box to show the input is used.   </t>
    </r>
    <r>
      <rPr>
        <sz val="8"/>
        <color rgb="FFFF0000"/>
        <rFont val="Lucida Sans Unicode"/>
        <family val="2"/>
      </rPr>
      <t xml:space="preserve"> </t>
    </r>
  </si>
  <si>
    <t>J1U</t>
  </si>
  <si>
    <t>J1L</t>
  </si>
  <si>
    <t>Place"x" if Column is used</t>
  </si>
  <si>
    <r>
      <rPr>
        <b/>
        <u/>
        <sz val="8"/>
        <color theme="1"/>
        <rFont val="Lucida Sans Unicode"/>
        <family val="2"/>
      </rPr>
      <t xml:space="preserve">Instructions: </t>
    </r>
    <r>
      <rPr>
        <sz val="8"/>
        <color theme="1"/>
        <rFont val="Lucida Sans Unicode"/>
        <family val="2"/>
      </rPr>
      <t xml:space="preserve"> </t>
    </r>
    <r>
      <rPr>
        <sz val="8"/>
        <color rgb="FFFF0000"/>
        <rFont val="Lucida Sans Unicode"/>
        <family val="2"/>
      </rPr>
      <t xml:space="preserve">Signal Timer </t>
    </r>
    <r>
      <rPr>
        <sz val="8"/>
        <color theme="1"/>
        <rFont val="Lucida Sans Unicode"/>
        <family val="2"/>
      </rPr>
      <t xml:space="preserve">- for standard detection zone set up (using SDLC, with an ATC controller), place an "x" in column A only (blue shaded area).   Changes to the "device", "function", or "phase" is allowed as deemed necessary to accomidate site specific detection needs (note: any changes made to these default standards will be highlighted yellow to make them standout).  If SDLC is NOT used or if there is mixed detection (e.g. loops and SDLC), place an "x" in column A </t>
    </r>
    <r>
      <rPr>
        <b/>
        <u/>
        <sz val="8"/>
        <color theme="1"/>
        <rFont val="Lucida Sans Unicode"/>
        <family val="2"/>
      </rPr>
      <t>AND</t>
    </r>
    <r>
      <rPr>
        <sz val="8"/>
        <color theme="1"/>
        <rFont val="Lucida Sans Unicode"/>
        <family val="2"/>
      </rPr>
      <t xml:space="preserve"> column B when a device will be installed in the input slot (blue shaded area).  If loops are used, write "Loop" in the "Device" column. Columns O through R can be customized as needed. Place an "x" in the blue shaded cells of Row 10 if the column is used. Note: this worksheet is formatted to properly print the table for field use if desired. </t>
    </r>
    <r>
      <rPr>
        <sz val="8"/>
        <color rgb="FFFF0000"/>
        <rFont val="Lucida Sans Unicode"/>
        <family val="2"/>
      </rPr>
      <t>Signal Designer</t>
    </r>
    <r>
      <rPr>
        <sz val="8"/>
        <color theme="1"/>
        <rFont val="Lucida Sans Unicode"/>
        <family val="2"/>
      </rPr>
      <t xml:space="preserve"> - after signal timer has filled out table, just click            then paste selection into Microstation Connect cabinet print detector sheet.  To see the entire table again, click on "show entire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</si>
</sst>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color theme="1"/>
      <name val="Lucida Sans Unicode"/>
      <family val="2"/>
    </font>
    <font>
      <i/>
      <sz val="8"/>
      <color theme="1"/>
      <name val="Lucida Sans Unicode"/>
      <family val="2"/>
    </font>
    <font>
      <b/>
      <sz val="8"/>
      <color theme="1"/>
      <name val="Lucida Sans Unicode"/>
      <family val="2"/>
    </font>
    <font>
      <b/>
      <sz val="10"/>
      <color theme="1"/>
      <name val="Lucida Sans Unicode"/>
      <family val="2"/>
    </font>
    <font>
      <sz val="10"/>
      <color theme="1"/>
      <name val="Lucida Sans Unicode"/>
      <family val="2"/>
    </font>
    <font>
      <i/>
      <sz val="18"/>
      <color theme="1"/>
      <name val="Lucida Sans Unicode"/>
      <family val="2"/>
    </font>
    <font>
      <sz val="18"/>
      <color theme="1"/>
      <name val="Lucida Sans Unicode"/>
      <family val="2"/>
    </font>
    <font>
      <sz val="8"/>
      <color rgb="FFFF0000"/>
      <name val="Lucida Sans Unicode"/>
      <family val="2"/>
    </font>
    <font>
      <sz val="10"/>
      <color rgb="FFFF0000"/>
      <name val="Lucida Sans Unicode"/>
      <family val="2"/>
    </font>
    <font>
      <b/>
      <sz val="22"/>
      <color rgb="FFFF0000"/>
      <name val="Lucida Sans Unicode"/>
      <family val="2"/>
    </font>
    <font>
      <i/>
      <sz val="8"/>
      <color rgb="FFFF0000"/>
      <name val="Lucida Sans Unicode"/>
      <family val="2"/>
    </font>
    <font>
      <b/>
      <sz val="8"/>
      <color rgb="FFFF0000"/>
      <name val="Lucida Sans Unicode"/>
      <family val="2"/>
    </font>
    <font>
      <sz val="8"/>
      <name val="Lucida Sans Unicode"/>
      <family val="2"/>
    </font>
    <font>
      <b/>
      <u/>
      <sz val="8"/>
      <color theme="1"/>
      <name val="Lucida Sans Unicode"/>
      <family val="2"/>
    </font>
    <font>
      <b/>
      <u/>
      <sz val="8"/>
      <name val="Lucida Sans Unicode"/>
      <family val="2"/>
    </font>
    <font>
      <sz val="10"/>
      <name val="Lucida Sans Unicode"/>
      <family val="2"/>
    </font>
    <font>
      <b/>
      <sz val="22"/>
      <name val="Lucida Sans Unicode"/>
      <family val="2"/>
    </font>
    <font>
      <sz val="11"/>
      <name val="Calibri"/>
      <family val="2"/>
      <scheme val="minor"/>
    </font>
    <fon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5">
    <xf numFmtId="0" fontId="0" fillId="0" borderId="0" xfId="0"/>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0" xfId="0" applyFont="1"/>
    <xf numFmtId="0" fontId="1" fillId="0" borderId="0" xfId="0" quotePrefix="1" applyFont="1" applyAlignment="1">
      <alignment horizontal="center"/>
    </xf>
    <xf numFmtId="0" fontId="6" fillId="0" borderId="0" xfId="0" applyFont="1" applyAlignment="1">
      <alignment horizontal="right"/>
    </xf>
    <xf numFmtId="0" fontId="7"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4" fillId="2" borderId="4"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quotePrefix="1" applyFont="1" applyAlignment="1">
      <alignment horizontal="center" vertical="top"/>
    </xf>
    <xf numFmtId="0" fontId="1" fillId="0" borderId="0" xfId="0" applyFont="1" applyAlignment="1">
      <alignment horizontal="center" vertical="top"/>
    </xf>
    <xf numFmtId="0" fontId="5" fillId="0" borderId="2" xfId="0" applyFont="1" applyBorder="1" applyAlignment="1">
      <alignment horizontal="center"/>
    </xf>
    <xf numFmtId="0" fontId="5" fillId="0" borderId="2" xfId="0" applyFont="1" applyBorder="1" applyAlignment="1">
      <alignment horizontal="center" vertical="top"/>
    </xf>
    <xf numFmtId="0" fontId="8" fillId="0" borderId="0" xfId="0" applyFont="1" applyAlignment="1">
      <alignment horizontal="left"/>
    </xf>
    <xf numFmtId="0" fontId="1" fillId="0" borderId="0" xfId="0" applyFont="1" applyAlignment="1">
      <alignment horizontal="center" vertical="center" wrapText="1"/>
    </xf>
    <xf numFmtId="0" fontId="12" fillId="0" borderId="0" xfId="0" applyFont="1" applyAlignment="1">
      <alignment horizontal="left" vertical="center"/>
    </xf>
    <xf numFmtId="0" fontId="1" fillId="0" borderId="1" xfId="0" applyFont="1" applyBorder="1" applyAlignment="1">
      <alignment horizontal="center" vertical="center"/>
    </xf>
    <xf numFmtId="0" fontId="3" fillId="0" borderId="0" xfId="0" applyFont="1" applyAlignment="1">
      <alignment horizontal="center" vertical="center" wrapText="1"/>
    </xf>
    <xf numFmtId="0" fontId="13" fillId="3" borderId="1"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lignment horizontal="left" vertical="top" wrapText="1"/>
    </xf>
    <xf numFmtId="0" fontId="1" fillId="3" borderId="1"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3" fillId="3" borderId="1" xfId="0" applyFont="1" applyFill="1" applyBorder="1" applyAlignment="1">
      <alignment horizontal="center" vertical="center" wrapText="1"/>
    </xf>
    <xf numFmtId="0" fontId="1" fillId="0" borderId="0" xfId="0" applyFont="1" applyAlignment="1">
      <alignment vertical="top" wrapText="1"/>
    </xf>
    <xf numFmtId="0" fontId="3" fillId="0" borderId="0" xfId="0" applyFont="1" applyAlignment="1">
      <alignment horizontal="left" vertical="center" wrapText="1"/>
    </xf>
    <xf numFmtId="0" fontId="1" fillId="0" borderId="0" xfId="0" applyFont="1" applyAlignment="1" applyProtection="1">
      <alignment horizontal="center" vertical="center" wrapText="1"/>
      <protection locked="0"/>
    </xf>
    <xf numFmtId="0" fontId="5" fillId="2" borderId="9" xfId="0" applyFont="1" applyFill="1" applyBorder="1" applyAlignment="1">
      <alignment horizontal="left" vertical="center"/>
    </xf>
    <xf numFmtId="0" fontId="8" fillId="2" borderId="9" xfId="0" applyFont="1" applyFill="1" applyBorder="1" applyAlignment="1">
      <alignment horizontal="left" vertical="center"/>
    </xf>
    <xf numFmtId="0" fontId="8" fillId="2" borderId="2" xfId="0" applyFont="1" applyFill="1" applyBorder="1" applyAlignment="1">
      <alignment horizontal="left" vertical="center"/>
    </xf>
    <xf numFmtId="0" fontId="13"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0" borderId="0" xfId="0" applyFont="1" applyAlignment="1">
      <alignment horizontal="left" vertical="center"/>
    </xf>
    <xf numFmtId="0" fontId="9" fillId="5" borderId="2" xfId="0" applyFont="1" applyFill="1" applyBorder="1" applyAlignment="1" applyProtection="1">
      <alignment horizontal="center"/>
      <protection locked="0"/>
    </xf>
    <xf numFmtId="0" fontId="16" fillId="0" borderId="2" xfId="0" applyFont="1" applyBorder="1" applyAlignment="1" applyProtection="1">
      <alignment horizontal="center"/>
      <protection locked="0"/>
    </xf>
    <xf numFmtId="0" fontId="11" fillId="0" borderId="2" xfId="0" applyFont="1" applyBorder="1" applyAlignment="1">
      <alignment horizontal="center"/>
    </xf>
    <xf numFmtId="0" fontId="9" fillId="0" borderId="2" xfId="0" applyFont="1" applyBorder="1" applyAlignment="1">
      <alignment horizontal="center"/>
    </xf>
    <xf numFmtId="0" fontId="1" fillId="0" borderId="2" xfId="0" applyFont="1" applyBorder="1" applyAlignment="1">
      <alignment horizontal="center"/>
    </xf>
    <xf numFmtId="0" fontId="5" fillId="0" borderId="3" xfId="0" quotePrefix="1" applyFont="1" applyBorder="1" applyAlignment="1">
      <alignment horizontal="center" vertical="top"/>
    </xf>
    <xf numFmtId="0" fontId="5" fillId="0" borderId="2" xfId="0" quotePrefix="1" applyFont="1" applyBorder="1" applyAlignment="1">
      <alignment horizontal="center"/>
    </xf>
    <xf numFmtId="0" fontId="4" fillId="2" borderId="9"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0" borderId="10" xfId="0" applyFont="1" applyBorder="1" applyAlignment="1">
      <alignment horizontal="center" vertical="center"/>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9" xfId="0" applyFont="1" applyFill="1" applyBorder="1" applyAlignment="1" applyProtection="1">
      <alignment horizontal="center" vertical="center" wrapText="1"/>
      <protection locked="0"/>
    </xf>
    <xf numFmtId="0" fontId="1" fillId="4" borderId="20"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4" xfId="0" applyFont="1" applyBorder="1" applyAlignment="1">
      <alignment horizontal="center" vertical="center"/>
    </xf>
    <xf numFmtId="0" fontId="1" fillId="0" borderId="25" xfId="0" applyFont="1" applyBorder="1" applyAlignment="1" applyProtection="1">
      <alignment horizontal="center" vertical="center"/>
      <protection locked="0"/>
    </xf>
    <xf numFmtId="0" fontId="18" fillId="0" borderId="2" xfId="0" applyFont="1" applyBorder="1" applyAlignment="1">
      <alignment horizontal="center" vertical="center"/>
    </xf>
    <xf numFmtId="0" fontId="13" fillId="0" borderId="2" xfId="0" applyFont="1" applyBorder="1" applyAlignment="1">
      <alignment horizontal="center"/>
    </xf>
    <xf numFmtId="0" fontId="16" fillId="0" borderId="2" xfId="0" applyFont="1" applyBorder="1" applyAlignment="1">
      <alignment horizontal="center" vertical="top"/>
    </xf>
    <xf numFmtId="0" fontId="16" fillId="0" borderId="3" xfId="0" quotePrefix="1" applyFont="1" applyBorder="1" applyAlignment="1">
      <alignment horizontal="center" vertical="top"/>
    </xf>
    <xf numFmtId="0" fontId="16" fillId="0" borderId="2" xfId="0" quotePrefix="1" applyFont="1" applyBorder="1" applyAlignment="1">
      <alignment horizontal="center"/>
    </xf>
    <xf numFmtId="0" fontId="16" fillId="0" borderId="2" xfId="0" applyFont="1" applyBorder="1" applyAlignment="1">
      <alignment horizontal="center"/>
    </xf>
    <xf numFmtId="0" fontId="8" fillId="0" borderId="2" xfId="0" applyFont="1" applyBorder="1" applyAlignment="1">
      <alignment horizontal="center"/>
    </xf>
    <xf numFmtId="0" fontId="16" fillId="5" borderId="2" xfId="0" applyFont="1" applyFill="1" applyBorder="1" applyAlignment="1" applyProtection="1">
      <alignment horizontal="center"/>
      <protection locked="0"/>
    </xf>
    <xf numFmtId="0" fontId="17" fillId="0" borderId="2" xfId="0" applyFont="1" applyBorder="1" applyAlignment="1">
      <alignment horizontal="left"/>
    </xf>
    <xf numFmtId="0" fontId="10" fillId="3" borderId="2" xfId="0" applyFont="1" applyFill="1" applyBorder="1" applyAlignment="1" applyProtection="1">
      <alignment horizontal="left"/>
      <protection locked="0"/>
    </xf>
    <xf numFmtId="0" fontId="17" fillId="0" borderId="3" xfId="0" applyFont="1" applyBorder="1" applyAlignment="1">
      <alignment horizontal="left"/>
    </xf>
    <xf numFmtId="0" fontId="10" fillId="0" borderId="3" xfId="0" applyFont="1" applyBorder="1" applyAlignment="1" applyProtection="1">
      <alignment horizontal="left"/>
      <protection locked="0"/>
    </xf>
    <xf numFmtId="0" fontId="10" fillId="3" borderId="3" xfId="0" applyFont="1" applyFill="1" applyBorder="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1" fillId="4" borderId="0" xfId="0" applyFont="1" applyFill="1" applyAlignment="1" applyProtection="1">
      <alignment horizontal="left" vertical="top" wrapText="1"/>
      <protection locked="0"/>
    </xf>
    <xf numFmtId="0" fontId="1" fillId="4" borderId="26" xfId="0"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protection locked="0"/>
    </xf>
    <xf numFmtId="0" fontId="1" fillId="4" borderId="14" xfId="0" applyFont="1" applyFill="1" applyBorder="1" applyAlignment="1" applyProtection="1">
      <alignment horizontal="left" vertical="top" wrapText="1"/>
      <protection locked="0"/>
    </xf>
    <xf numFmtId="0" fontId="1" fillId="4" borderId="32" xfId="0" applyFont="1" applyFill="1" applyBorder="1" applyAlignment="1" applyProtection="1">
      <alignment horizontal="left" vertical="top" wrapText="1"/>
      <protection locked="0"/>
    </xf>
    <xf numFmtId="0" fontId="1" fillId="4" borderId="32" xfId="0" applyFont="1" applyFill="1" applyBorder="1" applyAlignment="1" applyProtection="1">
      <alignment vertical="top" wrapText="1"/>
      <protection locked="0"/>
    </xf>
    <xf numFmtId="0" fontId="1" fillId="4" borderId="33" xfId="0" applyFont="1" applyFill="1" applyBorder="1" applyAlignment="1" applyProtection="1">
      <alignment vertical="top"/>
      <protection locked="0"/>
    </xf>
    <xf numFmtId="0" fontId="1" fillId="0" borderId="13"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3" xfId="0" applyFont="1" applyBorder="1" applyAlignment="1">
      <alignment horizontal="left" vertical="top" wrapText="1"/>
    </xf>
    <xf numFmtId="0" fontId="1" fillId="3" borderId="34" xfId="0" applyFont="1" applyFill="1" applyBorder="1" applyAlignment="1">
      <alignment horizontal="center" vertical="center" wrapText="1"/>
    </xf>
    <xf numFmtId="0" fontId="1" fillId="3" borderId="35"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3" fillId="0" borderId="13" xfId="0" applyFont="1" applyBorder="1" applyAlignment="1">
      <alignment vertical="top" wrapText="1"/>
    </xf>
    <xf numFmtId="0" fontId="3" fillId="0" borderId="0" xfId="0" applyFont="1" applyAlignment="1">
      <alignment vertical="top" wrapText="1"/>
    </xf>
    <xf numFmtId="0" fontId="1" fillId="4" borderId="15" xfId="0" applyFont="1" applyFill="1" applyBorder="1" applyAlignment="1" applyProtection="1">
      <alignment horizontal="left" vertical="top"/>
      <protection locked="0"/>
    </xf>
    <xf numFmtId="0" fontId="1" fillId="4" borderId="30" xfId="0" applyFont="1" applyFill="1" applyBorder="1" applyAlignment="1">
      <alignment horizontal="left" vertical="top" wrapText="1"/>
    </xf>
    <xf numFmtId="0" fontId="3" fillId="4" borderId="29" xfId="0" applyFont="1" applyFill="1" applyBorder="1" applyAlignment="1">
      <alignment horizontal="left" vertical="top" wrapText="1"/>
    </xf>
    <xf numFmtId="0" fontId="3" fillId="4" borderId="0" xfId="0" applyFont="1" applyFill="1" applyAlignment="1">
      <alignment horizontal="left" vertical="top" wrapText="1"/>
    </xf>
    <xf numFmtId="0" fontId="1" fillId="4" borderId="28"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4" borderId="31" xfId="0" applyFont="1" applyFill="1" applyBorder="1" applyAlignment="1">
      <alignment horizontal="left" vertical="top" wrapText="1"/>
    </xf>
    <xf numFmtId="0" fontId="3" fillId="4" borderId="13" xfId="0" applyFont="1" applyFill="1" applyBorder="1" applyAlignment="1" applyProtection="1">
      <alignment horizontal="left" vertical="top"/>
      <protection locked="0"/>
    </xf>
    <xf numFmtId="0" fontId="3" fillId="4" borderId="0" xfId="0" applyFont="1" applyFill="1" applyAlignment="1" applyProtection="1">
      <alignment horizontal="left" vertical="top" wrapText="1"/>
      <protection locked="0"/>
    </xf>
    <xf numFmtId="0" fontId="3" fillId="4" borderId="11" xfId="0" applyFont="1" applyFill="1" applyBorder="1" applyAlignment="1">
      <alignment horizontal="left"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4" borderId="5" xfId="0" applyFont="1" applyFill="1" applyBorder="1" applyAlignment="1">
      <alignment horizontal="left" vertical="top" wrapText="1"/>
    </xf>
    <xf numFmtId="0" fontId="3" fillId="4" borderId="11" xfId="0" applyFont="1" applyFill="1" applyBorder="1" applyAlignment="1">
      <alignment horizontal="left" vertical="top" wrapText="1"/>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16" fillId="0" borderId="5" xfId="0" applyFont="1" applyBorder="1" applyAlignment="1" applyProtection="1">
      <alignment horizontal="center"/>
      <protection locked="0"/>
    </xf>
    <xf numFmtId="0" fontId="16" fillId="0" borderId="12" xfId="0" applyFont="1" applyBorder="1" applyAlignment="1" applyProtection="1">
      <alignment horizontal="center"/>
      <protection locked="0"/>
    </xf>
  </cellXfs>
  <cellStyles count="1">
    <cellStyle name="Normal" xfId="0" builtinId="0"/>
  </cellStyles>
  <dxfs count="4">
    <dxf>
      <fill>
        <patternFill>
          <bgColor rgb="FFFFFF00"/>
        </patternFill>
      </fill>
    </dxf>
    <dxf>
      <fill>
        <patternFill>
          <bgColor rgb="FFFFFF00"/>
        </patternFill>
      </fill>
    </dxf>
    <dxf>
      <fill>
        <patternFill>
          <bgColor rgb="FFFFFF00"/>
        </patternFill>
      </fill>
    </dxf>
    <dxf>
      <font>
        <color auto="1"/>
      </font>
      <fill>
        <patternFill>
          <bgColor rgb="FFFFFF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9525</xdr:colOff>
      <xdr:row>5</xdr:row>
      <xdr:rowOff>0</xdr:rowOff>
    </xdr:from>
    <xdr:to>
      <xdr:col>19</xdr:col>
      <xdr:colOff>5261538</xdr:colOff>
      <xdr:row>52</xdr:row>
      <xdr:rowOff>11430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1914525"/>
          <a:ext cx="5252013" cy="8458200"/>
        </a:xfrm>
        <a:prstGeom prst="rect">
          <a:avLst/>
        </a:prstGeom>
      </xdr:spPr>
    </xdr:pic>
    <xdr:clientData/>
  </xdr:twoCellAnchor>
  <xdr:twoCellAnchor editAs="oneCell">
    <xdr:from>
      <xdr:col>19</xdr:col>
      <xdr:colOff>5295900</xdr:colOff>
      <xdr:row>5</xdr:row>
      <xdr:rowOff>0</xdr:rowOff>
    </xdr:from>
    <xdr:to>
      <xdr:col>26</xdr:col>
      <xdr:colOff>443698</xdr:colOff>
      <xdr:row>52</xdr:row>
      <xdr:rowOff>11430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53800" y="1914525"/>
          <a:ext cx="4501348" cy="84582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2887980</xdr:colOff>
          <xdr:row>3</xdr:row>
          <xdr:rowOff>60960</xdr:rowOff>
        </xdr:from>
        <xdr:to>
          <xdr:col>19</xdr:col>
          <xdr:colOff>3238500</xdr:colOff>
          <xdr:row>3</xdr:row>
          <xdr:rowOff>251460</xdr:rowOff>
        </xdr:to>
        <xdr:sp macro="" textlink="">
          <xdr:nvSpPr>
            <xdr:cNvPr id="1027" name="Label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2659380</xdr:colOff>
          <xdr:row>3</xdr:row>
          <xdr:rowOff>457200</xdr:rowOff>
        </xdr:from>
        <xdr:to>
          <xdr:col>19</xdr:col>
          <xdr:colOff>3886200</xdr:colOff>
          <xdr:row>3</xdr:row>
          <xdr:rowOff>716280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show entire 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xdr:row>
          <xdr:rowOff>144780</xdr:rowOff>
        </xdr:from>
        <xdr:to>
          <xdr:col>8</xdr:col>
          <xdr:colOff>213360</xdr:colOff>
          <xdr:row>3</xdr:row>
          <xdr:rowOff>502920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Protect worksheet</a:t>
              </a:r>
            </a:p>
            <a:p>
              <a:pPr algn="ctr" rtl="0">
                <a:defRPr sz="1000"/>
              </a:pPr>
              <a:r>
                <a:rPr lang="en-US" sz="1100" b="0" i="0" u="none" strike="noStrike" baseline="0">
                  <a:solidFill>
                    <a:srgbClr val="000000"/>
                  </a:solidFill>
                  <a:latin typeface="Calibri"/>
                  <a:cs typeface="Calibri"/>
                </a:rPr>
                <a:t>(Click here before entering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2</xdr:row>
          <xdr:rowOff>121920</xdr:rowOff>
        </xdr:from>
        <xdr:to>
          <xdr:col>13</xdr:col>
          <xdr:colOff>160020</xdr:colOff>
          <xdr:row>3</xdr:row>
          <xdr:rowOff>533400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Unprotect Worksheet</a:t>
              </a:r>
            </a:p>
            <a:p>
              <a:pPr algn="ctr" rtl="0">
                <a:defRPr sz="1000"/>
              </a:pPr>
              <a:r>
                <a:rPr lang="en-US" sz="1100" b="0" i="0" u="none" strike="noStrike" baseline="0">
                  <a:solidFill>
                    <a:srgbClr val="000000"/>
                  </a:solidFill>
                  <a:latin typeface="Calibri"/>
                  <a:cs typeface="Calibri"/>
                </a:rPr>
                <a:t> (Click here to Filter &amp; Sort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388620</xdr:colOff>
          <xdr:row>0</xdr:row>
          <xdr:rowOff>518160</xdr:rowOff>
        </xdr:from>
        <xdr:to>
          <xdr:col>10</xdr:col>
          <xdr:colOff>365760</xdr:colOff>
          <xdr:row>0</xdr:row>
          <xdr:rowOff>1013460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Signal Designer: Click here, then paste the selection into Microstation Connect cabinet print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drawing" Target="../drawings/drawing1.xml"/><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H75"/>
  <sheetViews>
    <sheetView tabSelected="1" zoomScaleNormal="100" workbookViewId="0">
      <selection activeCell="N9" sqref="N9"/>
    </sheetView>
  </sheetViews>
  <sheetFormatPr defaultColWidth="9.109375" defaultRowHeight="10.199999999999999" x14ac:dyDescent="0.3"/>
  <cols>
    <col min="1" max="1" width="9.5546875" style="12" customWidth="1"/>
    <col min="2" max="2" width="18.6640625" style="12" hidden="1" customWidth="1"/>
    <col min="3" max="5" width="11.5546875" style="12" hidden="1" customWidth="1"/>
    <col min="6" max="6" width="14.44140625" style="12" hidden="1" customWidth="1"/>
    <col min="7" max="7" width="11.109375" style="12" customWidth="1"/>
    <col min="8" max="8" width="10.109375" style="12" customWidth="1"/>
    <col min="9" max="9" width="7.5546875" style="12" customWidth="1"/>
    <col min="10" max="10" width="6.6640625" style="12" customWidth="1"/>
    <col min="11" max="11" width="6.6640625" style="12" hidden="1" customWidth="1"/>
    <col min="12" max="12" width="9.6640625" style="12" customWidth="1"/>
    <col min="13" max="13" width="7.5546875" style="12" bestFit="1" customWidth="1"/>
    <col min="14" max="14" width="8.44140625" style="12" bestFit="1" customWidth="1"/>
    <col min="15" max="15" width="9.5546875" style="12" customWidth="1"/>
    <col min="16" max="16" width="9.109375" style="12" customWidth="1"/>
    <col min="17" max="17" width="9.109375" style="12"/>
    <col min="18" max="18" width="9.109375" style="12" customWidth="1"/>
    <col min="19" max="19" width="1.33203125" style="12" customWidth="1"/>
    <col min="20" max="20" width="85.44140625" style="12" customWidth="1"/>
    <col min="21" max="16384" width="9.109375" style="12"/>
  </cols>
  <sheetData>
    <row r="1" spans="1:34" ht="10.8" thickBot="1" x14ac:dyDescent="0.35">
      <c r="J1" s="21"/>
      <c r="K1" s="21"/>
    </row>
    <row r="2" spans="1:34" ht="51" customHeight="1" x14ac:dyDescent="0.3">
      <c r="A2" s="111" t="s">
        <v>259</v>
      </c>
      <c r="B2" s="112"/>
      <c r="C2" s="112"/>
      <c r="D2" s="112"/>
      <c r="E2" s="112"/>
      <c r="F2" s="112"/>
      <c r="G2" s="112"/>
      <c r="H2" s="112"/>
      <c r="I2" s="112"/>
      <c r="J2" s="112"/>
      <c r="K2" s="112"/>
      <c r="L2" s="112"/>
      <c r="M2" s="112"/>
      <c r="N2" s="113"/>
      <c r="O2" s="92"/>
      <c r="P2" s="93"/>
      <c r="Q2" s="76"/>
      <c r="R2" s="76"/>
      <c r="S2" s="33"/>
      <c r="T2" s="106" t="s">
        <v>265</v>
      </c>
    </row>
    <row r="3" spans="1:34" ht="15.75" customHeight="1" x14ac:dyDescent="0.3">
      <c r="A3" s="114"/>
      <c r="B3" s="115"/>
      <c r="C3" s="115"/>
      <c r="D3" s="115"/>
      <c r="E3" s="115"/>
      <c r="F3" s="115"/>
      <c r="G3" s="115"/>
      <c r="H3" s="115"/>
      <c r="I3" s="115"/>
      <c r="J3" s="115"/>
      <c r="K3" s="115"/>
      <c r="L3" s="115"/>
      <c r="M3" s="115"/>
      <c r="N3" s="116"/>
      <c r="O3" s="92"/>
      <c r="P3" s="93"/>
      <c r="Q3" s="76"/>
      <c r="R3" s="76"/>
      <c r="T3" s="107"/>
    </row>
    <row r="4" spans="1:34" ht="62.25" customHeight="1" thickBot="1" x14ac:dyDescent="0.35">
      <c r="A4" s="117"/>
      <c r="B4" s="118"/>
      <c r="C4" s="118"/>
      <c r="D4" s="118"/>
      <c r="E4" s="118"/>
      <c r="F4" s="118"/>
      <c r="G4" s="118"/>
      <c r="H4" s="118"/>
      <c r="I4" s="118"/>
      <c r="J4" s="118"/>
      <c r="K4" s="118"/>
      <c r="L4" s="118"/>
      <c r="M4" s="118"/>
      <c r="N4" s="119"/>
      <c r="O4" s="92"/>
      <c r="P4" s="93"/>
      <c r="Q4" s="76"/>
      <c r="R4" s="76"/>
      <c r="S4" s="28"/>
      <c r="T4" s="108"/>
      <c r="U4" s="32"/>
      <c r="V4" s="32"/>
      <c r="W4" s="32"/>
      <c r="X4" s="32"/>
      <c r="Y4" s="32"/>
      <c r="Z4" s="32"/>
      <c r="AA4" s="32"/>
      <c r="AB4" s="32"/>
      <c r="AC4" s="32"/>
      <c r="AD4" s="32"/>
      <c r="AE4" s="32"/>
      <c r="AF4" s="32"/>
      <c r="AG4" s="32"/>
      <c r="AH4" s="32"/>
    </row>
    <row r="5" spans="1:34" ht="8.25" customHeight="1" thickBot="1" x14ac:dyDescent="0.35">
      <c r="A5" s="28"/>
      <c r="B5" s="28"/>
      <c r="C5" s="28"/>
      <c r="D5" s="28"/>
      <c r="E5" s="28"/>
      <c r="F5" s="28"/>
      <c r="G5" s="28"/>
      <c r="H5" s="28"/>
      <c r="I5" s="28"/>
      <c r="J5" s="28"/>
      <c r="K5" s="28"/>
      <c r="L5" s="28"/>
      <c r="M5" s="28"/>
      <c r="N5" s="28"/>
      <c r="O5" s="28"/>
      <c r="P5" s="28"/>
      <c r="Q5" s="28"/>
      <c r="R5" s="28"/>
      <c r="S5" s="28"/>
    </row>
    <row r="6" spans="1:34" x14ac:dyDescent="0.3">
      <c r="A6" s="28"/>
      <c r="B6" s="28"/>
      <c r="C6" s="28"/>
      <c r="D6" s="28"/>
      <c r="E6" s="28"/>
      <c r="F6" s="28"/>
      <c r="G6" s="28"/>
      <c r="H6" s="28"/>
      <c r="I6" s="109" t="s">
        <v>247</v>
      </c>
      <c r="J6" s="110"/>
      <c r="K6" s="103"/>
      <c r="L6" s="104"/>
      <c r="M6" s="104"/>
      <c r="N6" s="105"/>
      <c r="O6" s="84"/>
      <c r="P6" s="85"/>
      <c r="Q6" s="86"/>
      <c r="R6" s="86"/>
      <c r="S6" s="28"/>
    </row>
    <row r="7" spans="1:34" x14ac:dyDescent="0.3">
      <c r="A7" s="28"/>
      <c r="B7" s="28"/>
      <c r="C7" s="28"/>
      <c r="D7" s="28"/>
      <c r="E7" s="28"/>
      <c r="F7" s="28"/>
      <c r="G7" s="28"/>
      <c r="H7" s="28"/>
      <c r="I7" s="101"/>
      <c r="J7" s="102"/>
      <c r="K7" s="102"/>
      <c r="L7" s="77"/>
      <c r="M7" s="77"/>
      <c r="N7" s="80"/>
      <c r="O7" s="87"/>
      <c r="P7" s="86"/>
      <c r="Q7" s="86"/>
      <c r="R7" s="86"/>
      <c r="S7" s="28"/>
    </row>
    <row r="8" spans="1:34" x14ac:dyDescent="0.3">
      <c r="A8" s="28"/>
      <c r="B8" s="28"/>
      <c r="C8" s="28"/>
      <c r="D8" s="28"/>
      <c r="E8" s="28"/>
      <c r="F8" s="28"/>
      <c r="G8" s="28"/>
      <c r="H8" s="28"/>
      <c r="I8" s="95" t="s">
        <v>248</v>
      </c>
      <c r="J8" s="96"/>
      <c r="K8" s="97"/>
      <c r="L8" s="98" t="s">
        <v>245</v>
      </c>
      <c r="M8" s="99"/>
      <c r="N8" s="100" t="s">
        <v>246</v>
      </c>
      <c r="O8" s="88"/>
      <c r="P8" s="86"/>
      <c r="Q8" s="86"/>
      <c r="R8" s="86"/>
      <c r="S8" s="28"/>
    </row>
    <row r="9" spans="1:34" ht="10.8" thickBot="1" x14ac:dyDescent="0.35">
      <c r="A9" s="28"/>
      <c r="B9" s="28"/>
      <c r="C9" s="28"/>
      <c r="D9" s="28"/>
      <c r="E9" s="28"/>
      <c r="F9" s="28"/>
      <c r="G9" s="28"/>
      <c r="H9" s="28"/>
      <c r="I9" s="94"/>
      <c r="J9" s="81"/>
      <c r="K9" s="75"/>
      <c r="L9" s="75"/>
      <c r="M9" s="82"/>
      <c r="N9" s="83"/>
      <c r="O9" s="88"/>
      <c r="P9" s="86"/>
      <c r="Q9" s="86"/>
      <c r="R9" s="86"/>
      <c r="S9" s="28"/>
    </row>
    <row r="10" spans="1:34" ht="38.4" customHeight="1" thickBot="1" x14ac:dyDescent="0.35">
      <c r="N10" s="89" t="s">
        <v>264</v>
      </c>
      <c r="O10" s="90"/>
      <c r="P10" s="90"/>
      <c r="Q10" s="90"/>
      <c r="R10" s="91"/>
    </row>
    <row r="11" spans="1:34" s="20" customFormat="1" ht="44.25" customHeight="1" x14ac:dyDescent="0.3">
      <c r="A11" s="31" t="s">
        <v>244</v>
      </c>
      <c r="B11" s="23" t="s">
        <v>199</v>
      </c>
      <c r="C11" s="20" t="s">
        <v>198</v>
      </c>
      <c r="D11" s="20" t="s">
        <v>200</v>
      </c>
      <c r="E11" s="20" t="s">
        <v>196</v>
      </c>
      <c r="F11" s="20" t="s">
        <v>197</v>
      </c>
      <c r="G11" s="31" t="s">
        <v>242</v>
      </c>
      <c r="H11" s="49" t="s">
        <v>203</v>
      </c>
      <c r="I11" s="52" t="s">
        <v>11</v>
      </c>
      <c r="J11" s="53" t="s">
        <v>194</v>
      </c>
      <c r="K11" s="53" t="s">
        <v>249</v>
      </c>
      <c r="L11" s="53" t="s">
        <v>195</v>
      </c>
      <c r="M11" s="53" t="s">
        <v>0</v>
      </c>
      <c r="N11" s="53" t="s">
        <v>243</v>
      </c>
      <c r="O11" s="54" t="s">
        <v>7</v>
      </c>
      <c r="P11" s="78" t="s">
        <v>10</v>
      </c>
      <c r="Q11" s="54"/>
      <c r="R11" s="55"/>
      <c r="S11" s="34"/>
    </row>
    <row r="12" spans="1:34" x14ac:dyDescent="0.3">
      <c r="A12" s="24"/>
      <c r="B12" s="25" t="str">
        <f t="shared" ref="B12:B23" si="0">IF(I12&lt;&gt;"A",1,"")</f>
        <v/>
      </c>
      <c r="C12" s="26" t="str">
        <f t="shared" ref="C12:C18" si="1">IF(J12&lt;&gt;2,1,"")</f>
        <v/>
      </c>
      <c r="D12" s="26"/>
      <c r="E12" s="27">
        <v>2</v>
      </c>
      <c r="F12" s="27"/>
      <c r="G12" s="29"/>
      <c r="H12" s="50" t="s">
        <v>206</v>
      </c>
      <c r="I12" s="56" t="s">
        <v>1</v>
      </c>
      <c r="J12" s="27">
        <v>2</v>
      </c>
      <c r="K12" s="27" t="str">
        <f t="shared" ref="K12:K43" si="2">"Ф"&amp;J12&amp;" - "&amp;I12</f>
        <v>Ф2 - A</v>
      </c>
      <c r="L12" s="27"/>
      <c r="M12" s="22">
        <v>2</v>
      </c>
      <c r="N12" s="22">
        <f>IF($G12="x",H12,9)</f>
        <v>9</v>
      </c>
      <c r="O12" s="27"/>
      <c r="P12" s="30"/>
      <c r="Q12" s="27"/>
      <c r="R12" s="57"/>
      <c r="S12" s="26"/>
    </row>
    <row r="13" spans="1:34" x14ac:dyDescent="0.3">
      <c r="A13" s="24"/>
      <c r="B13" s="25" t="str">
        <f t="shared" si="0"/>
        <v/>
      </c>
      <c r="C13" s="26" t="str">
        <f t="shared" si="1"/>
        <v/>
      </c>
      <c r="D13" s="26"/>
      <c r="E13" s="27">
        <v>2</v>
      </c>
      <c r="F13" s="27"/>
      <c r="G13" s="29"/>
      <c r="H13" s="50" t="s">
        <v>212</v>
      </c>
      <c r="I13" s="56" t="s">
        <v>1</v>
      </c>
      <c r="J13" s="27">
        <v>2</v>
      </c>
      <c r="K13" s="27" t="str">
        <f t="shared" si="2"/>
        <v>Ф2 - A</v>
      </c>
      <c r="L13" s="27"/>
      <c r="M13" s="22">
        <v>3</v>
      </c>
      <c r="N13" s="22">
        <f>IF($G13="x",H13,9)</f>
        <v>9</v>
      </c>
      <c r="O13" s="27"/>
      <c r="P13" s="30"/>
      <c r="Q13" s="27"/>
      <c r="R13" s="57"/>
      <c r="S13" s="26"/>
    </row>
    <row r="14" spans="1:34" x14ac:dyDescent="0.3">
      <c r="A14" s="24"/>
      <c r="B14" s="25" t="str">
        <f t="shared" si="0"/>
        <v/>
      </c>
      <c r="C14" s="26" t="str">
        <f t="shared" si="1"/>
        <v/>
      </c>
      <c r="D14" s="26"/>
      <c r="E14" s="27">
        <v>2</v>
      </c>
      <c r="F14" s="27"/>
      <c r="G14" s="29"/>
      <c r="H14" s="50" t="s">
        <v>207</v>
      </c>
      <c r="I14" s="56" t="s">
        <v>1</v>
      </c>
      <c r="J14" s="27">
        <v>2</v>
      </c>
      <c r="K14" s="27" t="str">
        <f t="shared" si="2"/>
        <v>Ф2 - A</v>
      </c>
      <c r="L14" s="27"/>
      <c r="M14" s="22">
        <v>4</v>
      </c>
      <c r="N14" s="22">
        <f>IF($G14="x",H14,9)</f>
        <v>9</v>
      </c>
      <c r="O14" s="27"/>
      <c r="P14" s="30"/>
      <c r="Q14" s="27"/>
      <c r="R14" s="57"/>
      <c r="S14" s="26"/>
    </row>
    <row r="15" spans="1:34" x14ac:dyDescent="0.3">
      <c r="A15" s="24"/>
      <c r="B15" s="25" t="str">
        <f t="shared" si="0"/>
        <v/>
      </c>
      <c r="C15" s="26" t="str">
        <f t="shared" si="1"/>
        <v/>
      </c>
      <c r="D15" s="26"/>
      <c r="E15" s="27">
        <v>2</v>
      </c>
      <c r="F15" s="27"/>
      <c r="G15" s="29"/>
      <c r="H15" s="50" t="s">
        <v>213</v>
      </c>
      <c r="I15" s="56" t="s">
        <v>1</v>
      </c>
      <c r="J15" s="27">
        <v>2</v>
      </c>
      <c r="K15" s="27" t="str">
        <f t="shared" si="2"/>
        <v>Ф2 - A</v>
      </c>
      <c r="L15" s="27"/>
      <c r="M15" s="22">
        <v>5</v>
      </c>
      <c r="N15" s="22">
        <f>IF($G15="x",H15,9)</f>
        <v>9</v>
      </c>
      <c r="O15" s="27"/>
      <c r="P15" s="30"/>
      <c r="Q15" s="27"/>
      <c r="R15" s="57"/>
      <c r="S15" s="26"/>
    </row>
    <row r="16" spans="1:34" x14ac:dyDescent="0.3">
      <c r="A16" s="24"/>
      <c r="B16" s="25" t="str">
        <f t="shared" si="0"/>
        <v/>
      </c>
      <c r="C16" s="26" t="str">
        <f t="shared" si="1"/>
        <v/>
      </c>
      <c r="D16" s="26"/>
      <c r="E16" s="27">
        <v>2</v>
      </c>
      <c r="F16" s="27"/>
      <c r="G16" s="29"/>
      <c r="H16" s="50" t="s">
        <v>208</v>
      </c>
      <c r="I16" s="56" t="s">
        <v>1</v>
      </c>
      <c r="J16" s="27">
        <v>2</v>
      </c>
      <c r="K16" s="27" t="str">
        <f t="shared" si="2"/>
        <v>Ф2 - A</v>
      </c>
      <c r="L16" s="27"/>
      <c r="M16" s="22">
        <v>6</v>
      </c>
      <c r="N16" s="22">
        <f>IF($G16="x",H16,9)</f>
        <v>9</v>
      </c>
      <c r="O16" s="27"/>
      <c r="P16" s="30"/>
      <c r="Q16" s="27"/>
      <c r="R16" s="57"/>
      <c r="S16" s="26"/>
    </row>
    <row r="17" spans="1:19" x14ac:dyDescent="0.3">
      <c r="A17" s="24"/>
      <c r="B17" s="25" t="str">
        <f t="shared" si="0"/>
        <v/>
      </c>
      <c r="C17" s="26" t="str">
        <f t="shared" si="1"/>
        <v/>
      </c>
      <c r="D17" s="26"/>
      <c r="E17" s="27">
        <v>2</v>
      </c>
      <c r="F17" s="27"/>
      <c r="G17" s="29"/>
      <c r="H17" s="50" t="s">
        <v>214</v>
      </c>
      <c r="I17" s="56" t="s">
        <v>1</v>
      </c>
      <c r="J17" s="27">
        <v>2</v>
      </c>
      <c r="K17" s="27" t="str">
        <f t="shared" si="2"/>
        <v>Ф2 - A</v>
      </c>
      <c r="L17" s="27"/>
      <c r="M17" s="22">
        <v>31</v>
      </c>
      <c r="N17" s="22">
        <f>IF($G17="x",H17,10)</f>
        <v>10</v>
      </c>
      <c r="O17" s="27"/>
      <c r="P17" s="30"/>
      <c r="Q17" s="27"/>
      <c r="R17" s="57"/>
      <c r="S17" s="26"/>
    </row>
    <row r="18" spans="1:19" x14ac:dyDescent="0.3">
      <c r="A18" s="24"/>
      <c r="B18" s="25" t="str">
        <f t="shared" si="0"/>
        <v/>
      </c>
      <c r="C18" s="26" t="str">
        <f t="shared" si="1"/>
        <v/>
      </c>
      <c r="D18" s="26" t="str">
        <f>IF(L18&lt;&gt;"YR*",1,"")</f>
        <v/>
      </c>
      <c r="E18" s="27">
        <v>2</v>
      </c>
      <c r="F18" s="27" t="s">
        <v>191</v>
      </c>
      <c r="G18" s="22"/>
      <c r="H18" s="51"/>
      <c r="I18" s="56" t="s">
        <v>1</v>
      </c>
      <c r="J18" s="27">
        <v>2</v>
      </c>
      <c r="K18" s="27" t="str">
        <f t="shared" si="2"/>
        <v>Ф2 - A</v>
      </c>
      <c r="L18" s="27" t="s">
        <v>191</v>
      </c>
      <c r="M18" s="22">
        <v>42</v>
      </c>
      <c r="N18" s="22">
        <v>11</v>
      </c>
      <c r="O18" s="27"/>
      <c r="P18" s="30"/>
      <c r="Q18" s="27"/>
      <c r="R18" s="57"/>
      <c r="S18" s="26"/>
    </row>
    <row r="19" spans="1:19" x14ac:dyDescent="0.3">
      <c r="A19" s="24"/>
      <c r="B19" s="25" t="str">
        <f t="shared" si="0"/>
        <v/>
      </c>
      <c r="C19" s="26" t="str">
        <f>IF(J19&lt;&gt;5,1,"")</f>
        <v/>
      </c>
      <c r="D19" s="26"/>
      <c r="E19" s="27">
        <v>5</v>
      </c>
      <c r="F19" s="27"/>
      <c r="G19" s="29"/>
      <c r="H19" s="50" t="s">
        <v>262</v>
      </c>
      <c r="I19" s="56" t="s">
        <v>1</v>
      </c>
      <c r="J19" s="27">
        <v>5</v>
      </c>
      <c r="K19" s="27" t="str">
        <f t="shared" si="2"/>
        <v>Ф5 - A</v>
      </c>
      <c r="L19" s="27"/>
      <c r="M19" s="22">
        <v>15</v>
      </c>
      <c r="N19" s="22">
        <f>IF($G19="x",H19,9)</f>
        <v>9</v>
      </c>
      <c r="O19" s="27"/>
      <c r="P19" s="30"/>
      <c r="Q19" s="27"/>
      <c r="R19" s="57"/>
      <c r="S19" s="26"/>
    </row>
    <row r="20" spans="1:19" x14ac:dyDescent="0.3">
      <c r="A20" s="24"/>
      <c r="B20" s="25" t="str">
        <f t="shared" si="0"/>
        <v/>
      </c>
      <c r="C20" s="26" t="str">
        <f>IF(J20&lt;&gt;5,1,"")</f>
        <v/>
      </c>
      <c r="D20" s="26"/>
      <c r="E20" s="27">
        <v>5</v>
      </c>
      <c r="F20" s="27"/>
      <c r="G20" s="29"/>
      <c r="H20" s="50" t="s">
        <v>263</v>
      </c>
      <c r="I20" s="56" t="s">
        <v>1</v>
      </c>
      <c r="J20" s="27">
        <v>5</v>
      </c>
      <c r="K20" s="27" t="str">
        <f t="shared" si="2"/>
        <v>Ф5 - A</v>
      </c>
      <c r="L20" s="27"/>
      <c r="M20" s="22">
        <v>27</v>
      </c>
      <c r="N20" s="22">
        <f>IF($G20="x",H20,10)</f>
        <v>10</v>
      </c>
      <c r="O20" s="27"/>
      <c r="P20" s="30"/>
      <c r="Q20" s="27"/>
      <c r="R20" s="57"/>
      <c r="S20" s="26"/>
    </row>
    <row r="21" spans="1:19" x14ac:dyDescent="0.3">
      <c r="A21" s="24"/>
      <c r="B21" s="25" t="str">
        <f t="shared" si="0"/>
        <v/>
      </c>
      <c r="C21" s="26" t="str">
        <f>IF(J21&lt;&gt;5,1,"")</f>
        <v/>
      </c>
      <c r="D21" s="26"/>
      <c r="E21" s="27">
        <v>5</v>
      </c>
      <c r="F21" s="27"/>
      <c r="G21" s="29"/>
      <c r="H21" s="50" t="s">
        <v>224</v>
      </c>
      <c r="I21" s="56" t="s">
        <v>1</v>
      </c>
      <c r="J21" s="27">
        <v>5</v>
      </c>
      <c r="K21" s="27" t="str">
        <f t="shared" si="2"/>
        <v>Ф5 - A</v>
      </c>
      <c r="L21" s="27"/>
      <c r="M21" s="22">
        <v>35</v>
      </c>
      <c r="N21" s="22">
        <f>IF($G21="x",H21,11)</f>
        <v>11</v>
      </c>
      <c r="O21" s="27"/>
      <c r="P21" s="30"/>
      <c r="Q21" s="27"/>
      <c r="R21" s="57"/>
      <c r="S21" s="26"/>
    </row>
    <row r="22" spans="1:19" x14ac:dyDescent="0.3">
      <c r="A22" s="24"/>
      <c r="B22" s="25" t="str">
        <f t="shared" si="0"/>
        <v/>
      </c>
      <c r="C22" s="26" t="str">
        <f>IF(J22&lt;&gt;5,1,"")</f>
        <v/>
      </c>
      <c r="D22" s="26"/>
      <c r="E22" s="27">
        <v>5</v>
      </c>
      <c r="F22" s="27"/>
      <c r="G22" s="29"/>
      <c r="H22" s="50" t="s">
        <v>225</v>
      </c>
      <c r="I22" s="56" t="s">
        <v>1</v>
      </c>
      <c r="J22" s="27">
        <v>5</v>
      </c>
      <c r="K22" s="27" t="str">
        <f t="shared" si="2"/>
        <v>Ф5 - A</v>
      </c>
      <c r="L22" s="27"/>
      <c r="M22" s="22">
        <v>36</v>
      </c>
      <c r="N22" s="22">
        <f>IF($G22="x",H22,11)</f>
        <v>11</v>
      </c>
      <c r="O22" s="27"/>
      <c r="P22" s="30"/>
      <c r="Q22" s="27"/>
      <c r="R22" s="57"/>
      <c r="S22" s="26"/>
    </row>
    <row r="23" spans="1:19" x14ac:dyDescent="0.3">
      <c r="A23" s="24"/>
      <c r="B23" s="25" t="str">
        <f t="shared" si="0"/>
        <v/>
      </c>
      <c r="C23" s="26" t="str">
        <f>IF(J23&lt;&gt;5,1,"")</f>
        <v/>
      </c>
      <c r="D23" s="26" t="str">
        <f>IF(L23&lt;&gt;"YR*",1,"")</f>
        <v/>
      </c>
      <c r="E23" s="27">
        <v>5</v>
      </c>
      <c r="F23" s="27" t="s">
        <v>191</v>
      </c>
      <c r="G23" s="22"/>
      <c r="H23" s="51"/>
      <c r="I23" s="56" t="s">
        <v>1</v>
      </c>
      <c r="J23" s="27">
        <v>5</v>
      </c>
      <c r="K23" s="27" t="str">
        <f t="shared" si="2"/>
        <v>Ф5 - A</v>
      </c>
      <c r="L23" s="27" t="s">
        <v>191</v>
      </c>
      <c r="M23" s="22">
        <v>45</v>
      </c>
      <c r="N23" s="22">
        <v>11</v>
      </c>
      <c r="O23" s="27"/>
      <c r="P23" s="30"/>
      <c r="Q23" s="27"/>
      <c r="R23" s="57"/>
      <c r="S23" s="26"/>
    </row>
    <row r="24" spans="1:19" x14ac:dyDescent="0.3">
      <c r="A24" s="24"/>
      <c r="B24" s="25" t="str">
        <f t="shared" ref="B24:B35" si="3">IF(I24&lt;&gt;"B",1,"")</f>
        <v/>
      </c>
      <c r="C24" s="26" t="str">
        <f t="shared" ref="C24:C30" si="4">IF(J24&lt;&gt;4,1,"")</f>
        <v/>
      </c>
      <c r="D24" s="26"/>
      <c r="E24" s="27">
        <v>4</v>
      </c>
      <c r="F24" s="27"/>
      <c r="G24" s="29"/>
      <c r="H24" s="50" t="s">
        <v>218</v>
      </c>
      <c r="I24" s="56" t="s">
        <v>2</v>
      </c>
      <c r="J24" s="27">
        <v>4</v>
      </c>
      <c r="K24" s="27" t="str">
        <f t="shared" si="2"/>
        <v>Ф4 - B</v>
      </c>
      <c r="L24" s="27"/>
      <c r="M24" s="22">
        <v>8</v>
      </c>
      <c r="N24" s="22">
        <f>IF($G24="x",H24,9)</f>
        <v>9</v>
      </c>
      <c r="O24" s="27"/>
      <c r="P24" s="30"/>
      <c r="Q24" s="27"/>
      <c r="R24" s="57"/>
      <c r="S24" s="26"/>
    </row>
    <row r="25" spans="1:19" x14ac:dyDescent="0.3">
      <c r="A25" s="24"/>
      <c r="B25" s="25" t="str">
        <f t="shared" si="3"/>
        <v/>
      </c>
      <c r="C25" s="26" t="str">
        <f t="shared" si="4"/>
        <v/>
      </c>
      <c r="D25" s="26"/>
      <c r="E25" s="27">
        <v>4</v>
      </c>
      <c r="F25" s="27"/>
      <c r="G25" s="29"/>
      <c r="H25" s="50" t="s">
        <v>221</v>
      </c>
      <c r="I25" s="56" t="s">
        <v>2</v>
      </c>
      <c r="J25" s="27">
        <v>4</v>
      </c>
      <c r="K25" s="27" t="str">
        <f t="shared" si="2"/>
        <v>Ф4 - B</v>
      </c>
      <c r="L25" s="27"/>
      <c r="M25" s="22">
        <v>9</v>
      </c>
      <c r="N25" s="22">
        <f>IF($G25="x",H25,9)</f>
        <v>9</v>
      </c>
      <c r="O25" s="27"/>
      <c r="P25" s="30"/>
      <c r="Q25" s="27"/>
      <c r="R25" s="57"/>
      <c r="S25" s="26"/>
    </row>
    <row r="26" spans="1:19" x14ac:dyDescent="0.3">
      <c r="A26" s="24"/>
      <c r="B26" s="25" t="str">
        <f t="shared" si="3"/>
        <v/>
      </c>
      <c r="C26" s="26" t="str">
        <f t="shared" si="4"/>
        <v/>
      </c>
      <c r="D26" s="26"/>
      <c r="E26" s="27">
        <v>4</v>
      </c>
      <c r="F26" s="27"/>
      <c r="G26" s="29"/>
      <c r="H26" s="50" t="s">
        <v>219</v>
      </c>
      <c r="I26" s="56" t="s">
        <v>2</v>
      </c>
      <c r="J26" s="27">
        <v>4</v>
      </c>
      <c r="K26" s="27" t="str">
        <f t="shared" si="2"/>
        <v>Ф4 - B</v>
      </c>
      <c r="L26" s="27"/>
      <c r="M26" s="22">
        <v>10</v>
      </c>
      <c r="N26" s="22">
        <f>IF($G26="x",H26,9)</f>
        <v>9</v>
      </c>
      <c r="O26" s="27"/>
      <c r="P26" s="30"/>
      <c r="Q26" s="27"/>
      <c r="R26" s="57"/>
      <c r="S26" s="26"/>
    </row>
    <row r="27" spans="1:19" x14ac:dyDescent="0.3">
      <c r="A27" s="24"/>
      <c r="B27" s="25" t="str">
        <f t="shared" si="3"/>
        <v/>
      </c>
      <c r="C27" s="26" t="str">
        <f t="shared" si="4"/>
        <v/>
      </c>
      <c r="D27" s="26"/>
      <c r="E27" s="27">
        <v>4</v>
      </c>
      <c r="F27" s="27"/>
      <c r="G27" s="29"/>
      <c r="H27" s="50" t="s">
        <v>222</v>
      </c>
      <c r="I27" s="56" t="s">
        <v>2</v>
      </c>
      <c r="J27" s="27">
        <v>4</v>
      </c>
      <c r="K27" s="27" t="str">
        <f t="shared" si="2"/>
        <v>Ф4 - B</v>
      </c>
      <c r="L27" s="27"/>
      <c r="M27" s="22">
        <v>11</v>
      </c>
      <c r="N27" s="22">
        <f>IF($G27="x",H27,9)</f>
        <v>9</v>
      </c>
      <c r="O27" s="27"/>
      <c r="P27" s="30"/>
      <c r="Q27" s="27"/>
      <c r="R27" s="57"/>
      <c r="S27" s="26"/>
    </row>
    <row r="28" spans="1:19" x14ac:dyDescent="0.3">
      <c r="A28" s="24"/>
      <c r="B28" s="25" t="str">
        <f t="shared" si="3"/>
        <v/>
      </c>
      <c r="C28" s="26" t="str">
        <f t="shared" si="4"/>
        <v/>
      </c>
      <c r="D28" s="26"/>
      <c r="E28" s="27">
        <v>4</v>
      </c>
      <c r="F28" s="27"/>
      <c r="G28" s="29"/>
      <c r="H28" s="50" t="s">
        <v>220</v>
      </c>
      <c r="I28" s="56" t="s">
        <v>2</v>
      </c>
      <c r="J28" s="27">
        <v>4</v>
      </c>
      <c r="K28" s="27" t="str">
        <f t="shared" si="2"/>
        <v>Ф4 - B</v>
      </c>
      <c r="L28" s="27"/>
      <c r="M28" s="22">
        <v>12</v>
      </c>
      <c r="N28" s="22">
        <f>IF($G28="x",H28,9)</f>
        <v>9</v>
      </c>
      <c r="O28" s="27"/>
      <c r="P28" s="30"/>
      <c r="Q28" s="27"/>
      <c r="R28" s="57"/>
      <c r="S28" s="26"/>
    </row>
    <row r="29" spans="1:19" x14ac:dyDescent="0.3">
      <c r="A29" s="24"/>
      <c r="B29" s="25" t="str">
        <f t="shared" si="3"/>
        <v/>
      </c>
      <c r="C29" s="26" t="str">
        <f t="shared" si="4"/>
        <v/>
      </c>
      <c r="D29" s="26"/>
      <c r="E29" s="27">
        <v>4</v>
      </c>
      <c r="F29" s="27"/>
      <c r="G29" s="29"/>
      <c r="H29" s="50" t="s">
        <v>223</v>
      </c>
      <c r="I29" s="56" t="s">
        <v>2</v>
      </c>
      <c r="J29" s="27">
        <v>4</v>
      </c>
      <c r="K29" s="27" t="str">
        <f t="shared" si="2"/>
        <v>Ф4 - B</v>
      </c>
      <c r="L29" s="27"/>
      <c r="M29" s="22">
        <v>34</v>
      </c>
      <c r="N29" s="22">
        <f>IF($G29="x",H29,11)</f>
        <v>11</v>
      </c>
      <c r="O29" s="27"/>
      <c r="P29" s="30"/>
      <c r="Q29" s="27"/>
      <c r="R29" s="57"/>
      <c r="S29" s="26"/>
    </row>
    <row r="30" spans="1:19" x14ac:dyDescent="0.3">
      <c r="A30" s="24"/>
      <c r="B30" s="25" t="str">
        <f t="shared" si="3"/>
        <v/>
      </c>
      <c r="C30" s="26" t="str">
        <f t="shared" si="4"/>
        <v/>
      </c>
      <c r="D30" s="26" t="str">
        <f>IF(L30&lt;&gt;"YR*",1,"")</f>
        <v/>
      </c>
      <c r="E30" s="27">
        <v>4</v>
      </c>
      <c r="F30" s="27" t="s">
        <v>191</v>
      </c>
      <c r="G30" s="22"/>
      <c r="H30" s="51"/>
      <c r="I30" s="56" t="s">
        <v>2</v>
      </c>
      <c r="J30" s="27">
        <v>4</v>
      </c>
      <c r="K30" s="27" t="str">
        <f t="shared" si="2"/>
        <v>Ф4 - B</v>
      </c>
      <c r="L30" s="27" t="s">
        <v>191</v>
      </c>
      <c r="M30" s="22">
        <v>44</v>
      </c>
      <c r="N30" s="22">
        <v>11</v>
      </c>
      <c r="O30" s="27"/>
      <c r="P30" s="30"/>
      <c r="Q30" s="27"/>
      <c r="R30" s="57"/>
      <c r="S30" s="26"/>
    </row>
    <row r="31" spans="1:19" x14ac:dyDescent="0.3">
      <c r="A31" s="24"/>
      <c r="B31" s="25" t="str">
        <f t="shared" si="3"/>
        <v/>
      </c>
      <c r="C31" s="26" t="str">
        <f>IF(J31&lt;&gt;7,1,"")</f>
        <v/>
      </c>
      <c r="D31" s="26"/>
      <c r="E31" s="27">
        <v>7</v>
      </c>
      <c r="F31" s="27"/>
      <c r="G31" s="29"/>
      <c r="H31" s="50" t="s">
        <v>232</v>
      </c>
      <c r="I31" s="56" t="s">
        <v>2</v>
      </c>
      <c r="J31" s="27">
        <v>7</v>
      </c>
      <c r="K31" s="27" t="str">
        <f t="shared" si="2"/>
        <v>Ф7 - B</v>
      </c>
      <c r="L31" s="27"/>
      <c r="M31" s="22">
        <v>21</v>
      </c>
      <c r="N31" s="22">
        <f>IF($G31="x",H31,10)</f>
        <v>10</v>
      </c>
      <c r="O31" s="27"/>
      <c r="P31" s="30"/>
      <c r="Q31" s="27"/>
      <c r="R31" s="57"/>
      <c r="S31" s="26"/>
    </row>
    <row r="32" spans="1:19" x14ac:dyDescent="0.3">
      <c r="A32" s="24"/>
      <c r="B32" s="25" t="str">
        <f t="shared" si="3"/>
        <v/>
      </c>
      <c r="C32" s="26" t="str">
        <f>IF(J32&lt;&gt;7,1,"")</f>
        <v/>
      </c>
      <c r="D32" s="26"/>
      <c r="E32" s="27">
        <v>7</v>
      </c>
      <c r="F32" s="27"/>
      <c r="G32" s="29"/>
      <c r="H32" s="50" t="s">
        <v>233</v>
      </c>
      <c r="I32" s="56" t="s">
        <v>2</v>
      </c>
      <c r="J32" s="27">
        <v>7</v>
      </c>
      <c r="K32" s="27" t="str">
        <f t="shared" si="2"/>
        <v>Ф7 - B</v>
      </c>
      <c r="L32" s="27"/>
      <c r="M32" s="22">
        <v>28</v>
      </c>
      <c r="N32" s="22">
        <f>IF($G32="x",H32,10)</f>
        <v>10</v>
      </c>
      <c r="O32" s="27"/>
      <c r="P32" s="30"/>
      <c r="Q32" s="27"/>
      <c r="R32" s="57"/>
      <c r="S32" s="26"/>
    </row>
    <row r="33" spans="1:19" x14ac:dyDescent="0.3">
      <c r="A33" s="24"/>
      <c r="B33" s="25" t="str">
        <f t="shared" si="3"/>
        <v/>
      </c>
      <c r="C33" s="26" t="str">
        <f>IF(J33&lt;&gt;7,1,"")</f>
        <v/>
      </c>
      <c r="D33" s="26"/>
      <c r="E33" s="27">
        <v>7</v>
      </c>
      <c r="F33" s="27"/>
      <c r="G33" s="29"/>
      <c r="H33" s="50" t="s">
        <v>234</v>
      </c>
      <c r="I33" s="56" t="s">
        <v>2</v>
      </c>
      <c r="J33" s="27">
        <v>7</v>
      </c>
      <c r="K33" s="27" t="str">
        <f t="shared" si="2"/>
        <v>Ф7 - B</v>
      </c>
      <c r="L33" s="27"/>
      <c r="M33" s="22">
        <v>38</v>
      </c>
      <c r="N33" s="22">
        <f>IF($G33="x",H33,11)</f>
        <v>11</v>
      </c>
      <c r="O33" s="27"/>
      <c r="P33" s="30"/>
      <c r="Q33" s="27"/>
      <c r="R33" s="57"/>
      <c r="S33" s="26"/>
    </row>
    <row r="34" spans="1:19" x14ac:dyDescent="0.3">
      <c r="A34" s="24"/>
      <c r="B34" s="25" t="str">
        <f t="shared" si="3"/>
        <v/>
      </c>
      <c r="C34" s="26" t="str">
        <f>IF(J34&lt;&gt;7,1,"")</f>
        <v/>
      </c>
      <c r="D34" s="26"/>
      <c r="E34" s="27">
        <v>7</v>
      </c>
      <c r="F34" s="27"/>
      <c r="G34" s="29"/>
      <c r="H34" s="50" t="s">
        <v>235</v>
      </c>
      <c r="I34" s="56" t="s">
        <v>2</v>
      </c>
      <c r="J34" s="27">
        <v>7</v>
      </c>
      <c r="K34" s="27" t="str">
        <f t="shared" si="2"/>
        <v>Ф7 - B</v>
      </c>
      <c r="L34" s="27"/>
      <c r="M34" s="22">
        <v>39</v>
      </c>
      <c r="N34" s="22">
        <f>IF($G34="x",H34,11)</f>
        <v>11</v>
      </c>
      <c r="O34" s="27"/>
      <c r="P34" s="30"/>
      <c r="Q34" s="27"/>
      <c r="R34" s="57"/>
      <c r="S34" s="26"/>
    </row>
    <row r="35" spans="1:19" x14ac:dyDescent="0.3">
      <c r="A35" s="24"/>
      <c r="B35" s="25" t="str">
        <f t="shared" si="3"/>
        <v/>
      </c>
      <c r="C35" s="26" t="str">
        <f>IF(J35&lt;&gt;7,1,"")</f>
        <v/>
      </c>
      <c r="D35" s="26" t="str">
        <f>IF(L35&lt;&gt;"YR*",1,"")</f>
        <v/>
      </c>
      <c r="E35" s="27">
        <v>7</v>
      </c>
      <c r="F35" s="27" t="s">
        <v>191</v>
      </c>
      <c r="G35" s="22"/>
      <c r="H35" s="51"/>
      <c r="I35" s="56" t="s">
        <v>2</v>
      </c>
      <c r="J35" s="27">
        <v>7</v>
      </c>
      <c r="K35" s="27" t="str">
        <f t="shared" si="2"/>
        <v>Ф7 - B</v>
      </c>
      <c r="L35" s="27" t="s">
        <v>191</v>
      </c>
      <c r="M35" s="22">
        <v>47</v>
      </c>
      <c r="N35" s="22">
        <v>11</v>
      </c>
      <c r="O35" s="27"/>
      <c r="P35" s="30"/>
      <c r="Q35" s="27"/>
      <c r="R35" s="57"/>
      <c r="S35" s="26"/>
    </row>
    <row r="36" spans="1:19" x14ac:dyDescent="0.3">
      <c r="A36" s="24"/>
      <c r="B36" s="25" t="str">
        <f t="shared" ref="B36:B47" si="5">IF(I36&lt;&gt;"C",1,"")</f>
        <v/>
      </c>
      <c r="C36" s="26" t="str">
        <f>IF(J36&lt;&gt;1,1,"")</f>
        <v/>
      </c>
      <c r="D36" s="26"/>
      <c r="E36" s="27">
        <v>1</v>
      </c>
      <c r="F36" s="27"/>
      <c r="G36" s="29"/>
      <c r="H36" s="50" t="s">
        <v>204</v>
      </c>
      <c r="I36" s="56" t="s">
        <v>3</v>
      </c>
      <c r="J36" s="27">
        <v>1</v>
      </c>
      <c r="K36" s="27" t="str">
        <f t="shared" si="2"/>
        <v>Ф1 - C</v>
      </c>
      <c r="L36" s="27"/>
      <c r="M36" s="22">
        <v>1</v>
      </c>
      <c r="N36" s="22">
        <f>IF($G36="x",H36,9)</f>
        <v>9</v>
      </c>
      <c r="O36" s="27"/>
      <c r="P36" s="30"/>
      <c r="Q36" s="27"/>
      <c r="R36" s="57"/>
      <c r="S36" s="26"/>
    </row>
    <row r="37" spans="1:19" x14ac:dyDescent="0.3">
      <c r="A37" s="24"/>
      <c r="B37" s="25" t="str">
        <f t="shared" si="5"/>
        <v/>
      </c>
      <c r="C37" s="26" t="str">
        <f>IF(J37&lt;&gt;1,1,"")</f>
        <v/>
      </c>
      <c r="D37" s="26"/>
      <c r="E37" s="27">
        <v>1</v>
      </c>
      <c r="F37" s="27"/>
      <c r="G37" s="29"/>
      <c r="H37" s="50" t="s">
        <v>210</v>
      </c>
      <c r="I37" s="56" t="s">
        <v>3</v>
      </c>
      <c r="J37" s="27">
        <v>1</v>
      </c>
      <c r="K37" s="27" t="str">
        <f t="shared" si="2"/>
        <v>Ф1 - C</v>
      </c>
      <c r="L37" s="27"/>
      <c r="M37" s="22">
        <v>13</v>
      </c>
      <c r="N37" s="22">
        <f>IF($G37="x",H37,9)</f>
        <v>9</v>
      </c>
      <c r="O37" s="27"/>
      <c r="P37" s="30"/>
      <c r="Q37" s="27"/>
      <c r="R37" s="57"/>
      <c r="S37" s="26"/>
    </row>
    <row r="38" spans="1:19" x14ac:dyDescent="0.3">
      <c r="A38" s="24"/>
      <c r="B38" s="25" t="str">
        <f t="shared" si="5"/>
        <v/>
      </c>
      <c r="C38" s="26" t="str">
        <f>IF(J38&lt;&gt;1,1,"")</f>
        <v/>
      </c>
      <c r="D38" s="26"/>
      <c r="E38" s="27">
        <v>1</v>
      </c>
      <c r="F38" s="27"/>
      <c r="G38" s="29"/>
      <c r="H38" s="50" t="s">
        <v>205</v>
      </c>
      <c r="I38" s="56" t="s">
        <v>3</v>
      </c>
      <c r="J38" s="27">
        <v>1</v>
      </c>
      <c r="K38" s="27" t="str">
        <f t="shared" si="2"/>
        <v>Ф1 - C</v>
      </c>
      <c r="L38" s="27"/>
      <c r="M38" s="22">
        <v>29</v>
      </c>
      <c r="N38" s="22">
        <f>IF($G38="x",H38,10)</f>
        <v>10</v>
      </c>
      <c r="O38" s="27"/>
      <c r="P38" s="30"/>
      <c r="Q38" s="27"/>
      <c r="R38" s="57"/>
      <c r="S38" s="26"/>
    </row>
    <row r="39" spans="1:19" x14ac:dyDescent="0.3">
      <c r="A39" s="24"/>
      <c r="B39" s="25" t="str">
        <f t="shared" si="5"/>
        <v/>
      </c>
      <c r="C39" s="26" t="str">
        <f>IF(J39&lt;&gt;1,1,"")</f>
        <v/>
      </c>
      <c r="D39" s="26"/>
      <c r="E39" s="27">
        <v>1</v>
      </c>
      <c r="F39" s="27"/>
      <c r="G39" s="29"/>
      <c r="H39" s="50" t="s">
        <v>211</v>
      </c>
      <c r="I39" s="56" t="s">
        <v>3</v>
      </c>
      <c r="J39" s="27">
        <v>1</v>
      </c>
      <c r="K39" s="27" t="str">
        <f t="shared" si="2"/>
        <v>Ф1 - C</v>
      </c>
      <c r="L39" s="27"/>
      <c r="M39" s="22">
        <v>30</v>
      </c>
      <c r="N39" s="22">
        <f>IF($G39="x",H39,10)</f>
        <v>10</v>
      </c>
      <c r="O39" s="27"/>
      <c r="P39" s="30"/>
      <c r="Q39" s="27"/>
      <c r="R39" s="57"/>
      <c r="S39" s="26"/>
    </row>
    <row r="40" spans="1:19" x14ac:dyDescent="0.3">
      <c r="A40" s="24"/>
      <c r="B40" s="25" t="str">
        <f t="shared" si="5"/>
        <v/>
      </c>
      <c r="C40" s="26" t="str">
        <f>IF(J40&lt;&gt;1,1,"")</f>
        <v/>
      </c>
      <c r="D40" s="26" t="str">
        <f>IF(L40&lt;&gt;"YR*",1,"")</f>
        <v/>
      </c>
      <c r="E40" s="27">
        <v>1</v>
      </c>
      <c r="F40" s="27" t="s">
        <v>191</v>
      </c>
      <c r="G40" s="22"/>
      <c r="H40" s="51"/>
      <c r="I40" s="56" t="s">
        <v>3</v>
      </c>
      <c r="J40" s="27">
        <v>1</v>
      </c>
      <c r="K40" s="27" t="str">
        <f t="shared" si="2"/>
        <v>Ф1 - C</v>
      </c>
      <c r="L40" s="27" t="s">
        <v>191</v>
      </c>
      <c r="M40" s="22">
        <v>41</v>
      </c>
      <c r="N40" s="22">
        <v>11</v>
      </c>
      <c r="O40" s="27"/>
      <c r="P40" s="30"/>
      <c r="Q40" s="27"/>
      <c r="R40" s="57"/>
      <c r="S40" s="26"/>
    </row>
    <row r="41" spans="1:19" x14ac:dyDescent="0.3">
      <c r="A41" s="24"/>
      <c r="B41" s="25" t="str">
        <f t="shared" si="5"/>
        <v/>
      </c>
      <c r="C41" s="26" t="str">
        <f t="shared" ref="C41:C47" si="6">IF(J41&lt;&gt;6,1,"")</f>
        <v/>
      </c>
      <c r="D41" s="26"/>
      <c r="E41" s="27">
        <v>6</v>
      </c>
      <c r="F41" s="27"/>
      <c r="G41" s="29"/>
      <c r="H41" s="50" t="s">
        <v>226</v>
      </c>
      <c r="I41" s="56" t="s">
        <v>3</v>
      </c>
      <c r="J41" s="27">
        <v>6</v>
      </c>
      <c r="K41" s="27" t="str">
        <f t="shared" si="2"/>
        <v>Ф6 - C</v>
      </c>
      <c r="L41" s="27"/>
      <c r="M41" s="22">
        <v>16</v>
      </c>
      <c r="N41" s="22">
        <f>IF($G41="x",H41,9)</f>
        <v>9</v>
      </c>
      <c r="O41" s="27"/>
      <c r="P41" s="30"/>
      <c r="Q41" s="27"/>
      <c r="R41" s="57"/>
      <c r="S41" s="26"/>
    </row>
    <row r="42" spans="1:19" x14ac:dyDescent="0.3">
      <c r="A42" s="24"/>
      <c r="B42" s="25" t="str">
        <f t="shared" si="5"/>
        <v/>
      </c>
      <c r="C42" s="26" t="str">
        <f t="shared" si="6"/>
        <v/>
      </c>
      <c r="D42" s="26"/>
      <c r="E42" s="27">
        <v>6</v>
      </c>
      <c r="F42" s="27"/>
      <c r="G42" s="29"/>
      <c r="H42" s="50" t="s">
        <v>227</v>
      </c>
      <c r="I42" s="56" t="s">
        <v>3</v>
      </c>
      <c r="J42" s="27">
        <v>6</v>
      </c>
      <c r="K42" s="27" t="str">
        <f t="shared" si="2"/>
        <v>Ф6 - C</v>
      </c>
      <c r="L42" s="27"/>
      <c r="M42" s="22">
        <v>17</v>
      </c>
      <c r="N42" s="22">
        <f>IF($G42="x",H42,10)</f>
        <v>10</v>
      </c>
      <c r="O42" s="27"/>
      <c r="P42" s="30"/>
      <c r="Q42" s="27"/>
      <c r="R42" s="57"/>
      <c r="S42" s="26"/>
    </row>
    <row r="43" spans="1:19" x14ac:dyDescent="0.3">
      <c r="A43" s="24"/>
      <c r="B43" s="25" t="str">
        <f t="shared" si="5"/>
        <v/>
      </c>
      <c r="C43" s="26" t="str">
        <f t="shared" si="6"/>
        <v/>
      </c>
      <c r="D43" s="26"/>
      <c r="E43" s="27">
        <v>6</v>
      </c>
      <c r="F43" s="27"/>
      <c r="G43" s="29"/>
      <c r="H43" s="50" t="s">
        <v>228</v>
      </c>
      <c r="I43" s="56" t="s">
        <v>3</v>
      </c>
      <c r="J43" s="27">
        <v>6</v>
      </c>
      <c r="K43" s="27" t="str">
        <f t="shared" si="2"/>
        <v>Ф6 - C</v>
      </c>
      <c r="L43" s="27"/>
      <c r="M43" s="22">
        <v>18</v>
      </c>
      <c r="N43" s="22">
        <f>IF($G43="x",H43,10)</f>
        <v>10</v>
      </c>
      <c r="O43" s="27"/>
      <c r="P43" s="30"/>
      <c r="Q43" s="27"/>
      <c r="R43" s="57"/>
      <c r="S43" s="26"/>
    </row>
    <row r="44" spans="1:19" x14ac:dyDescent="0.3">
      <c r="A44" s="24"/>
      <c r="B44" s="25" t="str">
        <f t="shared" si="5"/>
        <v/>
      </c>
      <c r="C44" s="26" t="str">
        <f t="shared" si="6"/>
        <v/>
      </c>
      <c r="D44" s="26"/>
      <c r="E44" s="27">
        <v>6</v>
      </c>
      <c r="F44" s="27"/>
      <c r="G44" s="29"/>
      <c r="H44" s="50" t="s">
        <v>229</v>
      </c>
      <c r="I44" s="56" t="s">
        <v>3</v>
      </c>
      <c r="J44" s="27">
        <v>6</v>
      </c>
      <c r="K44" s="27" t="str">
        <f t="shared" ref="K44:K75" si="7">"Ф"&amp;J44&amp;" - "&amp;I44</f>
        <v>Ф6 - C</v>
      </c>
      <c r="L44" s="27"/>
      <c r="M44" s="22">
        <v>19</v>
      </c>
      <c r="N44" s="22">
        <f>IF($G44="x",H44,10)</f>
        <v>10</v>
      </c>
      <c r="O44" s="27"/>
      <c r="P44" s="30"/>
      <c r="Q44" s="27"/>
      <c r="R44" s="57"/>
      <c r="S44" s="26"/>
    </row>
    <row r="45" spans="1:19" x14ac:dyDescent="0.3">
      <c r="A45" s="24"/>
      <c r="B45" s="25" t="str">
        <f t="shared" si="5"/>
        <v/>
      </c>
      <c r="C45" s="26" t="str">
        <f t="shared" si="6"/>
        <v/>
      </c>
      <c r="D45" s="26"/>
      <c r="E45" s="27">
        <v>6</v>
      </c>
      <c r="F45" s="27"/>
      <c r="G45" s="29"/>
      <c r="H45" s="50" t="s">
        <v>230</v>
      </c>
      <c r="I45" s="56" t="s">
        <v>3</v>
      </c>
      <c r="J45" s="27">
        <v>6</v>
      </c>
      <c r="K45" s="27" t="str">
        <f t="shared" si="7"/>
        <v>Ф6 - C</v>
      </c>
      <c r="L45" s="27"/>
      <c r="M45" s="22">
        <v>20</v>
      </c>
      <c r="N45" s="22">
        <f>IF($G45="x",H45,10)</f>
        <v>10</v>
      </c>
      <c r="O45" s="27"/>
      <c r="P45" s="30"/>
      <c r="Q45" s="27"/>
      <c r="R45" s="57"/>
      <c r="S45" s="26"/>
    </row>
    <row r="46" spans="1:19" x14ac:dyDescent="0.3">
      <c r="A46" s="24"/>
      <c r="B46" s="25" t="str">
        <f t="shared" si="5"/>
        <v/>
      </c>
      <c r="C46" s="26" t="str">
        <f t="shared" si="6"/>
        <v/>
      </c>
      <c r="D46" s="26"/>
      <c r="E46" s="27">
        <v>6</v>
      </c>
      <c r="F46" s="27"/>
      <c r="G46" s="29"/>
      <c r="H46" s="50" t="s">
        <v>231</v>
      </c>
      <c r="I46" s="56" t="s">
        <v>3</v>
      </c>
      <c r="J46" s="27">
        <v>6</v>
      </c>
      <c r="K46" s="27" t="str">
        <f t="shared" si="7"/>
        <v>Ф6 - C</v>
      </c>
      <c r="L46" s="27"/>
      <c r="M46" s="22">
        <v>37</v>
      </c>
      <c r="N46" s="22">
        <f>IF($G46="x",H46,11)</f>
        <v>11</v>
      </c>
      <c r="O46" s="27"/>
      <c r="P46" s="30"/>
      <c r="Q46" s="27"/>
      <c r="R46" s="57"/>
      <c r="S46" s="26"/>
    </row>
    <row r="47" spans="1:19" x14ac:dyDescent="0.3">
      <c r="A47" s="24"/>
      <c r="B47" s="25" t="str">
        <f t="shared" si="5"/>
        <v/>
      </c>
      <c r="C47" s="26" t="str">
        <f t="shared" si="6"/>
        <v/>
      </c>
      <c r="D47" s="26" t="str">
        <f>IF(L47&lt;&gt;"YR*",1,"")</f>
        <v/>
      </c>
      <c r="E47" s="27">
        <v>6</v>
      </c>
      <c r="F47" s="27" t="s">
        <v>191</v>
      </c>
      <c r="G47" s="22"/>
      <c r="H47" s="51"/>
      <c r="I47" s="56" t="s">
        <v>3</v>
      </c>
      <c r="J47" s="27">
        <v>6</v>
      </c>
      <c r="K47" s="27" t="str">
        <f t="shared" si="7"/>
        <v>Ф6 - C</v>
      </c>
      <c r="L47" s="27" t="s">
        <v>191</v>
      </c>
      <c r="M47" s="22">
        <v>46</v>
      </c>
      <c r="N47" s="22">
        <v>11</v>
      </c>
      <c r="O47" s="27"/>
      <c r="P47" s="30"/>
      <c r="Q47" s="27"/>
      <c r="R47" s="57"/>
      <c r="S47" s="26"/>
    </row>
    <row r="48" spans="1:19" x14ac:dyDescent="0.3">
      <c r="A48" s="24"/>
      <c r="B48" s="25" t="str">
        <f t="shared" ref="B48:B59" si="8">IF(I48&lt;&gt;"D",1,"")</f>
        <v/>
      </c>
      <c r="C48" s="26" t="str">
        <f>IF(J48&lt;&gt;3,1,"")</f>
        <v/>
      </c>
      <c r="D48" s="26"/>
      <c r="E48" s="27">
        <v>3</v>
      </c>
      <c r="F48" s="27"/>
      <c r="G48" s="29"/>
      <c r="H48" s="50" t="s">
        <v>209</v>
      </c>
      <c r="I48" s="56" t="s">
        <v>4</v>
      </c>
      <c r="J48" s="27">
        <v>3</v>
      </c>
      <c r="K48" s="27" t="str">
        <f t="shared" si="7"/>
        <v>Ф3 - D</v>
      </c>
      <c r="L48" s="27"/>
      <c r="M48" s="22">
        <v>7</v>
      </c>
      <c r="N48" s="22">
        <f>IF($G48="x",H48,9)</f>
        <v>9</v>
      </c>
      <c r="O48" s="27"/>
      <c r="P48" s="30"/>
      <c r="Q48" s="27"/>
      <c r="R48" s="57"/>
      <c r="S48" s="26"/>
    </row>
    <row r="49" spans="1:19" x14ac:dyDescent="0.3">
      <c r="A49" s="24"/>
      <c r="B49" s="25" t="str">
        <f t="shared" si="8"/>
        <v/>
      </c>
      <c r="C49" s="26" t="str">
        <f>IF(J49&lt;&gt;3,1,"")</f>
        <v/>
      </c>
      <c r="D49" s="26"/>
      <c r="E49" s="27">
        <v>3</v>
      </c>
      <c r="F49" s="27"/>
      <c r="G49" s="29"/>
      <c r="H49" s="50" t="s">
        <v>215</v>
      </c>
      <c r="I49" s="56" t="s">
        <v>4</v>
      </c>
      <c r="J49" s="27">
        <v>3</v>
      </c>
      <c r="K49" s="27" t="str">
        <f t="shared" si="7"/>
        <v>Ф3 - D</v>
      </c>
      <c r="L49" s="27"/>
      <c r="M49" s="22">
        <v>14</v>
      </c>
      <c r="N49" s="22">
        <f>IF($G49="x",H49,9)</f>
        <v>9</v>
      </c>
      <c r="O49" s="27"/>
      <c r="P49" s="30"/>
      <c r="Q49" s="27"/>
      <c r="R49" s="57"/>
      <c r="S49" s="26"/>
    </row>
    <row r="50" spans="1:19" x14ac:dyDescent="0.3">
      <c r="A50" s="24"/>
      <c r="B50" s="25" t="str">
        <f t="shared" si="8"/>
        <v/>
      </c>
      <c r="C50" s="26" t="str">
        <f>IF(J50&lt;&gt;3,1,"")</f>
        <v/>
      </c>
      <c r="D50" s="26"/>
      <c r="E50" s="27">
        <v>3</v>
      </c>
      <c r="F50" s="27"/>
      <c r="G50" s="29"/>
      <c r="H50" s="50" t="s">
        <v>216</v>
      </c>
      <c r="I50" s="56" t="s">
        <v>4</v>
      </c>
      <c r="J50" s="27">
        <v>3</v>
      </c>
      <c r="K50" s="27" t="str">
        <f t="shared" si="7"/>
        <v>Ф3 - D</v>
      </c>
      <c r="L50" s="27"/>
      <c r="M50" s="22">
        <v>32</v>
      </c>
      <c r="N50" s="22">
        <f>IF($G50="x",H50,10)</f>
        <v>10</v>
      </c>
      <c r="O50" s="27"/>
      <c r="P50" s="30"/>
      <c r="Q50" s="27"/>
      <c r="R50" s="57"/>
      <c r="S50" s="26"/>
    </row>
    <row r="51" spans="1:19" x14ac:dyDescent="0.3">
      <c r="A51" s="24"/>
      <c r="B51" s="25" t="str">
        <f t="shared" si="8"/>
        <v/>
      </c>
      <c r="C51" s="26" t="str">
        <f>IF(J51&lt;&gt;3,1,"")</f>
        <v/>
      </c>
      <c r="D51" s="26"/>
      <c r="E51" s="27">
        <v>3</v>
      </c>
      <c r="F51" s="27"/>
      <c r="G51" s="29"/>
      <c r="H51" s="50" t="s">
        <v>217</v>
      </c>
      <c r="I51" s="56" t="s">
        <v>4</v>
      </c>
      <c r="J51" s="27">
        <v>3</v>
      </c>
      <c r="K51" s="27" t="str">
        <f t="shared" si="7"/>
        <v>Ф3 - D</v>
      </c>
      <c r="L51" s="27"/>
      <c r="M51" s="22">
        <v>33</v>
      </c>
      <c r="N51" s="22">
        <f>IF($G51="x",H51,11)</f>
        <v>11</v>
      </c>
      <c r="O51" s="27"/>
      <c r="P51" s="30"/>
      <c r="Q51" s="27"/>
      <c r="R51" s="57"/>
      <c r="S51" s="26"/>
    </row>
    <row r="52" spans="1:19" x14ac:dyDescent="0.3">
      <c r="A52" s="24"/>
      <c r="B52" s="25" t="str">
        <f t="shared" si="8"/>
        <v/>
      </c>
      <c r="C52" s="26" t="str">
        <f>IF(J52&lt;&gt;3,1,"")</f>
        <v/>
      </c>
      <c r="D52" s="26" t="str">
        <f>IF(L52&lt;&gt;"YR*",1,"")</f>
        <v/>
      </c>
      <c r="E52" s="27">
        <v>3</v>
      </c>
      <c r="F52" s="30" t="s">
        <v>191</v>
      </c>
      <c r="G52" s="22"/>
      <c r="H52" s="51"/>
      <c r="I52" s="56" t="s">
        <v>4</v>
      </c>
      <c r="J52" s="27">
        <v>3</v>
      </c>
      <c r="K52" s="27" t="str">
        <f t="shared" si="7"/>
        <v>Ф3 - D</v>
      </c>
      <c r="L52" s="27" t="s">
        <v>191</v>
      </c>
      <c r="M52" s="22">
        <v>43</v>
      </c>
      <c r="N52" s="22">
        <v>11</v>
      </c>
      <c r="O52" s="27"/>
      <c r="P52" s="30"/>
      <c r="Q52" s="27"/>
      <c r="R52" s="57"/>
      <c r="S52" s="26"/>
    </row>
    <row r="53" spans="1:19" x14ac:dyDescent="0.3">
      <c r="A53" s="24"/>
      <c r="B53" s="25" t="str">
        <f t="shared" si="8"/>
        <v/>
      </c>
      <c r="C53" s="26" t="str">
        <f t="shared" ref="C53:C59" si="9">IF(J53&lt;&gt;8,1,"")</f>
        <v/>
      </c>
      <c r="D53" s="26"/>
      <c r="E53" s="27">
        <v>8</v>
      </c>
      <c r="F53" s="30"/>
      <c r="G53" s="29"/>
      <c r="H53" s="50" t="s">
        <v>236</v>
      </c>
      <c r="I53" s="56" t="s">
        <v>4</v>
      </c>
      <c r="J53" s="27">
        <v>8</v>
      </c>
      <c r="K53" s="27" t="str">
        <f t="shared" si="7"/>
        <v>Ф8 - D</v>
      </c>
      <c r="L53" s="27"/>
      <c r="M53" s="22">
        <v>22</v>
      </c>
      <c r="N53" s="22">
        <f>IF($G53="x",H53,10)</f>
        <v>10</v>
      </c>
      <c r="O53" s="27"/>
      <c r="P53" s="30"/>
      <c r="Q53" s="27"/>
      <c r="R53" s="57"/>
      <c r="S53" s="26"/>
    </row>
    <row r="54" spans="1:19" x14ac:dyDescent="0.3">
      <c r="A54" s="24"/>
      <c r="B54" s="25" t="str">
        <f t="shared" si="8"/>
        <v/>
      </c>
      <c r="C54" s="26" t="str">
        <f t="shared" si="9"/>
        <v/>
      </c>
      <c r="D54" s="26"/>
      <c r="E54" s="27">
        <v>8</v>
      </c>
      <c r="F54" s="30"/>
      <c r="G54" s="29"/>
      <c r="H54" s="50" t="s">
        <v>237</v>
      </c>
      <c r="I54" s="56" t="s">
        <v>4</v>
      </c>
      <c r="J54" s="27">
        <v>8</v>
      </c>
      <c r="K54" s="27" t="str">
        <f t="shared" si="7"/>
        <v>Ф8 - D</v>
      </c>
      <c r="L54" s="27"/>
      <c r="M54" s="22">
        <v>23</v>
      </c>
      <c r="N54" s="22">
        <f>IF($G54="x",H54,10)</f>
        <v>10</v>
      </c>
      <c r="O54" s="27"/>
      <c r="P54" s="30"/>
      <c r="Q54" s="27"/>
      <c r="R54" s="57"/>
      <c r="S54" s="26"/>
    </row>
    <row r="55" spans="1:19" x14ac:dyDescent="0.3">
      <c r="A55" s="24"/>
      <c r="B55" s="25" t="str">
        <f t="shared" si="8"/>
        <v/>
      </c>
      <c r="C55" s="26" t="str">
        <f t="shared" si="9"/>
        <v/>
      </c>
      <c r="D55" s="26"/>
      <c r="E55" s="27">
        <v>8</v>
      </c>
      <c r="F55" s="30"/>
      <c r="G55" s="29"/>
      <c r="H55" s="50" t="s">
        <v>238</v>
      </c>
      <c r="I55" s="56" t="s">
        <v>4</v>
      </c>
      <c r="J55" s="27">
        <v>8</v>
      </c>
      <c r="K55" s="27" t="str">
        <f t="shared" si="7"/>
        <v>Ф8 - D</v>
      </c>
      <c r="L55" s="27"/>
      <c r="M55" s="22">
        <v>24</v>
      </c>
      <c r="N55" s="22">
        <f>IF($G55="x",H55,10)</f>
        <v>10</v>
      </c>
      <c r="O55" s="27"/>
      <c r="P55" s="30"/>
      <c r="Q55" s="27"/>
      <c r="R55" s="57"/>
      <c r="S55" s="26"/>
    </row>
    <row r="56" spans="1:19" x14ac:dyDescent="0.3">
      <c r="A56" s="24"/>
      <c r="B56" s="25" t="str">
        <f t="shared" si="8"/>
        <v/>
      </c>
      <c r="C56" s="26" t="str">
        <f t="shared" si="9"/>
        <v/>
      </c>
      <c r="D56" s="26"/>
      <c r="E56" s="27">
        <v>8</v>
      </c>
      <c r="F56" s="30"/>
      <c r="G56" s="29"/>
      <c r="H56" s="50" t="s">
        <v>239</v>
      </c>
      <c r="I56" s="56" t="s">
        <v>4</v>
      </c>
      <c r="J56" s="27">
        <v>8</v>
      </c>
      <c r="K56" s="27" t="str">
        <f t="shared" si="7"/>
        <v>Ф8 - D</v>
      </c>
      <c r="L56" s="27"/>
      <c r="M56" s="22">
        <v>25</v>
      </c>
      <c r="N56" s="22">
        <f>IF($G56="x",H56,10)</f>
        <v>10</v>
      </c>
      <c r="O56" s="27"/>
      <c r="P56" s="30"/>
      <c r="Q56" s="27"/>
      <c r="R56" s="57"/>
      <c r="S56" s="26"/>
    </row>
    <row r="57" spans="1:19" x14ac:dyDescent="0.3">
      <c r="A57" s="24"/>
      <c r="B57" s="25" t="str">
        <f t="shared" si="8"/>
        <v/>
      </c>
      <c r="C57" s="26" t="str">
        <f t="shared" si="9"/>
        <v/>
      </c>
      <c r="D57" s="26"/>
      <c r="E57" s="27">
        <v>8</v>
      </c>
      <c r="F57" s="30"/>
      <c r="G57" s="29"/>
      <c r="H57" s="50" t="s">
        <v>240</v>
      </c>
      <c r="I57" s="56" t="s">
        <v>4</v>
      </c>
      <c r="J57" s="27">
        <v>8</v>
      </c>
      <c r="K57" s="27" t="str">
        <f t="shared" si="7"/>
        <v>Ф8 - D</v>
      </c>
      <c r="L57" s="27"/>
      <c r="M57" s="22">
        <v>26</v>
      </c>
      <c r="N57" s="22">
        <f>IF($G57="x",H57,10)</f>
        <v>10</v>
      </c>
      <c r="O57" s="27"/>
      <c r="P57" s="30"/>
      <c r="Q57" s="27"/>
      <c r="R57" s="57"/>
      <c r="S57" s="26"/>
    </row>
    <row r="58" spans="1:19" x14ac:dyDescent="0.3">
      <c r="A58" s="24"/>
      <c r="B58" s="25" t="str">
        <f t="shared" si="8"/>
        <v/>
      </c>
      <c r="C58" s="26" t="str">
        <f t="shared" si="9"/>
        <v/>
      </c>
      <c r="D58" s="26"/>
      <c r="E58" s="27">
        <v>8</v>
      </c>
      <c r="F58" s="30"/>
      <c r="G58" s="29"/>
      <c r="H58" s="50" t="s">
        <v>241</v>
      </c>
      <c r="I58" s="56" t="s">
        <v>4</v>
      </c>
      <c r="J58" s="27">
        <v>8</v>
      </c>
      <c r="K58" s="27" t="str">
        <f t="shared" si="7"/>
        <v>Ф8 - D</v>
      </c>
      <c r="L58" s="27"/>
      <c r="M58" s="22">
        <v>40</v>
      </c>
      <c r="N58" s="22">
        <f>IF($G58="x",H58,11)</f>
        <v>11</v>
      </c>
      <c r="O58" s="27"/>
      <c r="P58" s="30"/>
      <c r="Q58" s="27"/>
      <c r="R58" s="57"/>
      <c r="S58" s="26"/>
    </row>
    <row r="59" spans="1:19" x14ac:dyDescent="0.3">
      <c r="A59" s="24"/>
      <c r="B59" s="25" t="str">
        <f t="shared" si="8"/>
        <v/>
      </c>
      <c r="C59" s="26" t="str">
        <f t="shared" si="9"/>
        <v/>
      </c>
      <c r="D59" s="26" t="str">
        <f>IF(L59&lt;&gt;"YR*",1,"")</f>
        <v/>
      </c>
      <c r="E59" s="27">
        <v>8</v>
      </c>
      <c r="F59" s="30" t="s">
        <v>191</v>
      </c>
      <c r="G59" s="22"/>
      <c r="H59" s="51"/>
      <c r="I59" s="56" t="s">
        <v>4</v>
      </c>
      <c r="J59" s="27">
        <v>8</v>
      </c>
      <c r="K59" s="27" t="str">
        <f t="shared" si="7"/>
        <v>Ф8 - D</v>
      </c>
      <c r="L59" s="27" t="s">
        <v>191</v>
      </c>
      <c r="M59" s="22">
        <v>48</v>
      </c>
      <c r="N59" s="22">
        <v>11</v>
      </c>
      <c r="O59" s="27"/>
      <c r="P59" s="30"/>
      <c r="Q59" s="27"/>
      <c r="R59" s="57"/>
      <c r="S59" s="26"/>
    </row>
    <row r="60" spans="1:19" x14ac:dyDescent="0.3">
      <c r="A60" s="24"/>
      <c r="B60" s="25" t="str">
        <f>IF(I60&lt;&gt;"E",1,"")</f>
        <v/>
      </c>
      <c r="C60" s="26" t="str">
        <f>IF(J60&lt;&gt;2,1,"")</f>
        <v/>
      </c>
      <c r="D60" s="26" t="str">
        <f>IF(L60&lt;&gt;"A*",1,"")</f>
        <v/>
      </c>
      <c r="E60" s="27">
        <v>2</v>
      </c>
      <c r="F60" s="30" t="s">
        <v>193</v>
      </c>
      <c r="G60" s="22"/>
      <c r="H60" s="51"/>
      <c r="I60" s="56" t="s">
        <v>5</v>
      </c>
      <c r="J60" s="27">
        <v>2</v>
      </c>
      <c r="K60" s="27" t="str">
        <f t="shared" si="7"/>
        <v>Ф2 - E</v>
      </c>
      <c r="L60" s="27" t="s">
        <v>193</v>
      </c>
      <c r="M60" s="22">
        <v>49</v>
      </c>
      <c r="N60" s="22">
        <v>11</v>
      </c>
      <c r="O60" s="27"/>
      <c r="P60" s="30"/>
      <c r="Q60" s="27"/>
      <c r="R60" s="57"/>
      <c r="S60" s="26"/>
    </row>
    <row r="61" spans="1:19" x14ac:dyDescent="0.3">
      <c r="A61" s="24"/>
      <c r="B61" s="25" t="str">
        <f>IF(I61&lt;&gt;"E",1,"")</f>
        <v/>
      </c>
      <c r="C61" s="26" t="str">
        <f>IF(J61&lt;&gt;2,1,"")</f>
        <v/>
      </c>
      <c r="D61" s="26" t="str">
        <f>IF(L61&lt;&gt;"CO*",1,"")</f>
        <v/>
      </c>
      <c r="E61" s="27">
        <v>2</v>
      </c>
      <c r="F61" s="30" t="s">
        <v>192</v>
      </c>
      <c r="G61" s="22"/>
      <c r="H61" s="51"/>
      <c r="I61" s="56" t="s">
        <v>5</v>
      </c>
      <c r="J61" s="27">
        <v>2</v>
      </c>
      <c r="K61" s="27" t="str">
        <f t="shared" si="7"/>
        <v>Ф2 - E</v>
      </c>
      <c r="L61" s="27" t="s">
        <v>192</v>
      </c>
      <c r="M61" s="22">
        <v>50</v>
      </c>
      <c r="N61" s="22">
        <v>12</v>
      </c>
      <c r="O61" s="27"/>
      <c r="P61" s="30"/>
      <c r="Q61" s="27"/>
      <c r="R61" s="57"/>
      <c r="S61" s="26"/>
    </row>
    <row r="62" spans="1:19" x14ac:dyDescent="0.3">
      <c r="A62" s="24"/>
      <c r="B62" s="25" t="str">
        <f>IF(I62&lt;&gt;"F",1,"")</f>
        <v/>
      </c>
      <c r="C62" s="26" t="str">
        <f>IF(J62&lt;&gt;4,1,"")</f>
        <v/>
      </c>
      <c r="D62" s="26" t="str">
        <f>IF(L62&lt;&gt;"A*",1,"")</f>
        <v/>
      </c>
      <c r="E62" s="27">
        <v>4</v>
      </c>
      <c r="F62" s="30" t="s">
        <v>193</v>
      </c>
      <c r="G62" s="22"/>
      <c r="H62" s="51"/>
      <c r="I62" s="56" t="s">
        <v>8</v>
      </c>
      <c r="J62" s="27">
        <v>4</v>
      </c>
      <c r="K62" s="27" t="str">
        <f t="shared" si="7"/>
        <v>Ф4 - F</v>
      </c>
      <c r="L62" s="27" t="s">
        <v>193</v>
      </c>
      <c r="M62" s="22">
        <v>53</v>
      </c>
      <c r="N62" s="22">
        <v>12</v>
      </c>
      <c r="O62" s="27"/>
      <c r="P62" s="30"/>
      <c r="Q62" s="27"/>
      <c r="R62" s="57"/>
      <c r="S62" s="26"/>
    </row>
    <row r="63" spans="1:19" x14ac:dyDescent="0.3">
      <c r="A63" s="24"/>
      <c r="B63" s="25" t="str">
        <f>IF(I63&lt;&gt;"F",1,"")</f>
        <v/>
      </c>
      <c r="C63" s="26" t="str">
        <f>IF(J63&lt;&gt;4,1,"")</f>
        <v/>
      </c>
      <c r="D63" s="26" t="str">
        <f>IF(L63&lt;&gt;"CO*",1,"")</f>
        <v/>
      </c>
      <c r="E63" s="27">
        <v>4</v>
      </c>
      <c r="F63" s="30" t="s">
        <v>192</v>
      </c>
      <c r="G63" s="22"/>
      <c r="H63" s="51"/>
      <c r="I63" s="56" t="s">
        <v>8</v>
      </c>
      <c r="J63" s="27">
        <v>4</v>
      </c>
      <c r="K63" s="27" t="str">
        <f t="shared" si="7"/>
        <v>Ф4 - F</v>
      </c>
      <c r="L63" s="27" t="s">
        <v>192</v>
      </c>
      <c r="M63" s="22">
        <v>54</v>
      </c>
      <c r="N63" s="22">
        <v>12</v>
      </c>
      <c r="O63" s="27"/>
      <c r="P63" s="30"/>
      <c r="Q63" s="27"/>
      <c r="R63" s="57"/>
      <c r="S63" s="26"/>
    </row>
    <row r="64" spans="1:19" x14ac:dyDescent="0.3">
      <c r="A64" s="24"/>
      <c r="B64" s="25" t="str">
        <f>IF(I64&lt;&gt;"G",1,"")</f>
        <v/>
      </c>
      <c r="C64" s="26" t="str">
        <f>IF(J64&lt;&gt;6,1,"")</f>
        <v/>
      </c>
      <c r="D64" s="26" t="str">
        <f>IF(L64&lt;&gt;"A*",1,"")</f>
        <v/>
      </c>
      <c r="E64" s="27">
        <v>6</v>
      </c>
      <c r="F64" s="30" t="s">
        <v>193</v>
      </c>
      <c r="G64" s="22"/>
      <c r="H64" s="51"/>
      <c r="I64" s="56" t="s">
        <v>6</v>
      </c>
      <c r="J64" s="27">
        <v>6</v>
      </c>
      <c r="K64" s="27" t="str">
        <f t="shared" si="7"/>
        <v>Ф6 - G</v>
      </c>
      <c r="L64" s="27" t="s">
        <v>193</v>
      </c>
      <c r="M64" s="22">
        <v>51</v>
      </c>
      <c r="N64" s="22">
        <v>12</v>
      </c>
      <c r="O64" s="27"/>
      <c r="P64" s="30"/>
      <c r="Q64" s="27"/>
      <c r="R64" s="57"/>
      <c r="S64" s="26"/>
    </row>
    <row r="65" spans="1:19" x14ac:dyDescent="0.3">
      <c r="A65" s="24"/>
      <c r="B65" s="25" t="str">
        <f>IF(I65&lt;&gt;"G",1,"")</f>
        <v/>
      </c>
      <c r="C65" s="26" t="str">
        <f>IF(J65&lt;&gt;6,1,"")</f>
        <v/>
      </c>
      <c r="D65" s="26" t="str">
        <f>IF(L65&lt;&gt;"CO*",1,"")</f>
        <v/>
      </c>
      <c r="E65" s="27">
        <v>6</v>
      </c>
      <c r="F65" s="30" t="s">
        <v>192</v>
      </c>
      <c r="G65" s="22"/>
      <c r="H65" s="51"/>
      <c r="I65" s="56" t="s">
        <v>6</v>
      </c>
      <c r="J65" s="27">
        <v>6</v>
      </c>
      <c r="K65" s="27" t="str">
        <f t="shared" si="7"/>
        <v>Ф6 - G</v>
      </c>
      <c r="L65" s="27" t="s">
        <v>192</v>
      </c>
      <c r="M65" s="22">
        <v>52</v>
      </c>
      <c r="N65" s="22">
        <v>12</v>
      </c>
      <c r="O65" s="27"/>
      <c r="P65" s="30"/>
      <c r="Q65" s="27"/>
      <c r="R65" s="57"/>
      <c r="S65" s="26"/>
    </row>
    <row r="66" spans="1:19" x14ac:dyDescent="0.3">
      <c r="A66" s="24"/>
      <c r="B66" s="25" t="str">
        <f>IF(I66&lt;&gt;"H",1,"")</f>
        <v/>
      </c>
      <c r="C66" s="26" t="str">
        <f>IF(J66&lt;&gt;8,1,"")</f>
        <v/>
      </c>
      <c r="D66" s="26" t="str">
        <f>IF(L66&lt;&gt;"A*",1,"")</f>
        <v/>
      </c>
      <c r="E66" s="27">
        <v>8</v>
      </c>
      <c r="F66" s="30" t="s">
        <v>193</v>
      </c>
      <c r="G66" s="22"/>
      <c r="H66" s="51"/>
      <c r="I66" s="56" t="s">
        <v>9</v>
      </c>
      <c r="J66" s="27">
        <v>8</v>
      </c>
      <c r="K66" s="27" t="str">
        <f t="shared" si="7"/>
        <v>Ф8 - H</v>
      </c>
      <c r="L66" s="27" t="s">
        <v>193</v>
      </c>
      <c r="M66" s="22">
        <v>55</v>
      </c>
      <c r="N66" s="22">
        <v>12</v>
      </c>
      <c r="O66" s="27"/>
      <c r="P66" s="30"/>
      <c r="Q66" s="27"/>
      <c r="R66" s="57"/>
      <c r="S66" s="26"/>
    </row>
    <row r="67" spans="1:19" x14ac:dyDescent="0.3">
      <c r="A67" s="24"/>
      <c r="B67" s="25" t="str">
        <f>IF(I67&lt;&gt;"H",1,"")</f>
        <v/>
      </c>
      <c r="C67" s="26" t="str">
        <f>IF(J67&lt;&gt;8,1,"")</f>
        <v/>
      </c>
      <c r="D67" s="26" t="str">
        <f>IF(L67&lt;&gt;"CO*",1,"")</f>
        <v/>
      </c>
      <c r="E67" s="27">
        <v>8</v>
      </c>
      <c r="F67" s="30" t="s">
        <v>192</v>
      </c>
      <c r="G67" s="22"/>
      <c r="H67" s="51"/>
      <c r="I67" s="56" t="s">
        <v>9</v>
      </c>
      <c r="J67" s="27">
        <v>8</v>
      </c>
      <c r="K67" s="27" t="str">
        <f t="shared" si="7"/>
        <v>Ф8 - H</v>
      </c>
      <c r="L67" s="27" t="s">
        <v>192</v>
      </c>
      <c r="M67" s="22">
        <v>56</v>
      </c>
      <c r="N67" s="22">
        <v>12</v>
      </c>
      <c r="O67" s="27"/>
      <c r="P67" s="30"/>
      <c r="Q67" s="27"/>
      <c r="R67" s="57"/>
      <c r="S67" s="26"/>
    </row>
    <row r="68" spans="1:19" x14ac:dyDescent="0.3">
      <c r="A68" s="24"/>
      <c r="B68" s="25"/>
      <c r="C68" s="26"/>
      <c r="D68" s="26" t="str">
        <f t="shared" ref="D68:D75" si="10">IF(L68&lt;&gt;"misc",1,"")</f>
        <v/>
      </c>
      <c r="E68" s="27"/>
      <c r="F68" s="30" t="s">
        <v>190</v>
      </c>
      <c r="G68" s="22"/>
      <c r="H68" s="51"/>
      <c r="I68" s="56"/>
      <c r="J68" s="27"/>
      <c r="K68" s="27" t="str">
        <f t="shared" si="7"/>
        <v xml:space="preserve">Ф - </v>
      </c>
      <c r="L68" s="27" t="s">
        <v>190</v>
      </c>
      <c r="M68" s="22">
        <v>57</v>
      </c>
      <c r="N68" s="22">
        <v>12</v>
      </c>
      <c r="O68" s="27"/>
      <c r="P68" s="30"/>
      <c r="Q68" s="27"/>
      <c r="R68" s="57"/>
      <c r="S68" s="26"/>
    </row>
    <row r="69" spans="1:19" x14ac:dyDescent="0.3">
      <c r="A69" s="24"/>
      <c r="B69" s="25"/>
      <c r="C69" s="26"/>
      <c r="D69" s="26" t="str">
        <f t="shared" si="10"/>
        <v/>
      </c>
      <c r="E69" s="27"/>
      <c r="F69" s="30" t="s">
        <v>190</v>
      </c>
      <c r="G69" s="22"/>
      <c r="H69" s="51"/>
      <c r="I69" s="56"/>
      <c r="J69" s="27"/>
      <c r="K69" s="27" t="str">
        <f t="shared" si="7"/>
        <v xml:space="preserve">Ф - </v>
      </c>
      <c r="L69" s="27" t="s">
        <v>190</v>
      </c>
      <c r="M69" s="22">
        <v>58</v>
      </c>
      <c r="N69" s="22">
        <v>12</v>
      </c>
      <c r="O69" s="27"/>
      <c r="P69" s="30"/>
      <c r="Q69" s="27"/>
      <c r="R69" s="57"/>
      <c r="S69" s="26"/>
    </row>
    <row r="70" spans="1:19" x14ac:dyDescent="0.3">
      <c r="A70" s="24"/>
      <c r="B70" s="25"/>
      <c r="C70" s="26"/>
      <c r="D70" s="26" t="str">
        <f t="shared" si="10"/>
        <v/>
      </c>
      <c r="E70" s="27"/>
      <c r="F70" s="30" t="s">
        <v>190</v>
      </c>
      <c r="G70" s="22"/>
      <c r="H70" s="51"/>
      <c r="I70" s="56"/>
      <c r="J70" s="27"/>
      <c r="K70" s="27" t="str">
        <f t="shared" si="7"/>
        <v xml:space="preserve">Ф - </v>
      </c>
      <c r="L70" s="27" t="s">
        <v>190</v>
      </c>
      <c r="M70" s="22">
        <v>59</v>
      </c>
      <c r="N70" s="22">
        <v>12</v>
      </c>
      <c r="O70" s="27"/>
      <c r="P70" s="30"/>
      <c r="Q70" s="27"/>
      <c r="R70" s="57"/>
      <c r="S70" s="26"/>
    </row>
    <row r="71" spans="1:19" x14ac:dyDescent="0.3">
      <c r="A71" s="24"/>
      <c r="B71" s="25"/>
      <c r="C71" s="26"/>
      <c r="D71" s="26" t="str">
        <f t="shared" si="10"/>
        <v/>
      </c>
      <c r="E71" s="27"/>
      <c r="F71" s="30" t="s">
        <v>190</v>
      </c>
      <c r="G71" s="22"/>
      <c r="H71" s="51"/>
      <c r="I71" s="56"/>
      <c r="J71" s="27"/>
      <c r="K71" s="27" t="str">
        <f t="shared" si="7"/>
        <v xml:space="preserve">Ф - </v>
      </c>
      <c r="L71" s="27" t="s">
        <v>190</v>
      </c>
      <c r="M71" s="22">
        <v>60</v>
      </c>
      <c r="N71" s="22">
        <v>12</v>
      </c>
      <c r="O71" s="27"/>
      <c r="P71" s="30"/>
      <c r="Q71" s="27"/>
      <c r="R71" s="57"/>
      <c r="S71" s="26"/>
    </row>
    <row r="72" spans="1:19" x14ac:dyDescent="0.3">
      <c r="A72" s="24"/>
      <c r="B72" s="25"/>
      <c r="C72" s="26"/>
      <c r="D72" s="26" t="str">
        <f t="shared" si="10"/>
        <v/>
      </c>
      <c r="E72" s="27"/>
      <c r="F72" s="30" t="s">
        <v>190</v>
      </c>
      <c r="G72" s="22"/>
      <c r="H72" s="51"/>
      <c r="I72" s="56"/>
      <c r="J72" s="27"/>
      <c r="K72" s="27" t="str">
        <f t="shared" si="7"/>
        <v xml:space="preserve">Ф - </v>
      </c>
      <c r="L72" s="27" t="s">
        <v>190</v>
      </c>
      <c r="M72" s="22">
        <v>61</v>
      </c>
      <c r="N72" s="22">
        <v>12</v>
      </c>
      <c r="O72" s="27"/>
      <c r="P72" s="30"/>
      <c r="Q72" s="27"/>
      <c r="R72" s="57"/>
      <c r="S72" s="26"/>
    </row>
    <row r="73" spans="1:19" x14ac:dyDescent="0.3">
      <c r="A73" s="24"/>
      <c r="B73" s="25"/>
      <c r="C73" s="26"/>
      <c r="D73" s="26" t="str">
        <f t="shared" si="10"/>
        <v/>
      </c>
      <c r="E73" s="27"/>
      <c r="F73" s="30" t="s">
        <v>190</v>
      </c>
      <c r="G73" s="22"/>
      <c r="H73" s="51"/>
      <c r="I73" s="56"/>
      <c r="J73" s="27"/>
      <c r="K73" s="27" t="str">
        <f t="shared" si="7"/>
        <v xml:space="preserve">Ф - </v>
      </c>
      <c r="L73" s="27" t="s">
        <v>190</v>
      </c>
      <c r="M73" s="22">
        <v>62</v>
      </c>
      <c r="N73" s="22">
        <v>12</v>
      </c>
      <c r="O73" s="27"/>
      <c r="P73" s="30"/>
      <c r="Q73" s="27"/>
      <c r="R73" s="57"/>
      <c r="S73" s="26"/>
    </row>
    <row r="74" spans="1:19" x14ac:dyDescent="0.3">
      <c r="A74" s="24"/>
      <c r="B74" s="25"/>
      <c r="C74" s="26"/>
      <c r="D74" s="26" t="str">
        <f t="shared" si="10"/>
        <v/>
      </c>
      <c r="E74" s="27"/>
      <c r="F74" s="30" t="s">
        <v>190</v>
      </c>
      <c r="G74" s="22"/>
      <c r="H74" s="51"/>
      <c r="I74" s="56"/>
      <c r="J74" s="27"/>
      <c r="K74" s="27" t="str">
        <f t="shared" si="7"/>
        <v xml:space="preserve">Ф - </v>
      </c>
      <c r="L74" s="27" t="s">
        <v>190</v>
      </c>
      <c r="M74" s="22">
        <v>63</v>
      </c>
      <c r="N74" s="22">
        <v>12</v>
      </c>
      <c r="O74" s="27"/>
      <c r="P74" s="30"/>
      <c r="Q74" s="27"/>
      <c r="R74" s="57"/>
      <c r="S74" s="26"/>
    </row>
    <row r="75" spans="1:19" ht="10.8" thickBot="1" x14ac:dyDescent="0.35">
      <c r="A75" s="24"/>
      <c r="B75" s="25"/>
      <c r="C75" s="26"/>
      <c r="D75" s="26" t="str">
        <f t="shared" si="10"/>
        <v/>
      </c>
      <c r="E75" s="27"/>
      <c r="F75" s="30" t="s">
        <v>190</v>
      </c>
      <c r="G75" s="22"/>
      <c r="H75" s="51"/>
      <c r="I75" s="58"/>
      <c r="J75" s="59"/>
      <c r="K75" s="59" t="str">
        <f t="shared" si="7"/>
        <v xml:space="preserve">Ф - </v>
      </c>
      <c r="L75" s="59" t="s">
        <v>190</v>
      </c>
      <c r="M75" s="60">
        <v>64</v>
      </c>
      <c r="N75" s="60">
        <v>12</v>
      </c>
      <c r="O75" s="59"/>
      <c r="P75" s="79"/>
      <c r="Q75" s="59"/>
      <c r="R75" s="61"/>
      <c r="S75" s="26"/>
    </row>
  </sheetData>
  <sheetProtection sheet="1" selectLockedCells="1" sort="0" autoFilter="0"/>
  <autoFilter ref="A11:P75" xr:uid="{00000000-0009-0000-0000-000000000000}">
    <sortState xmlns:xlrd2="http://schemas.microsoft.com/office/spreadsheetml/2017/richdata2" ref="A12:P75">
      <sortCondition ref="I9:I73"/>
    </sortState>
  </autoFilter>
  <sortState xmlns:xlrd2="http://schemas.microsoft.com/office/spreadsheetml/2017/richdata2" ref="A10:S62">
    <sortCondition ref="I10:I62"/>
    <sortCondition ref="J10:J62"/>
    <sortCondition ref="M10:M62"/>
  </sortState>
  <customSheetViews>
    <customSheetView guid="{47EDE86C-1ACF-4726-853F-87433783037A}" showAutoFilter="1" hiddenColumns="1">
      <selection activeCell="M7" sqref="M7"/>
      <pageMargins left="0.7" right="0.7" top="0.75" bottom="0.75" header="0.3" footer="0.3"/>
      <pageSetup orientation="portrait" r:id="rId1"/>
      <autoFilter ref="A6:M70" xr:uid="{4A3887F7-E298-4E7A-8E48-8BCBED84DCCD}">
        <sortState xmlns:xlrd2="http://schemas.microsoft.com/office/spreadsheetml/2017/richdata2" ref="A7:M70">
          <sortCondition ref="G6:G70"/>
        </sortState>
      </autoFilter>
    </customSheetView>
  </customSheetViews>
  <mergeCells count="3">
    <mergeCell ref="T2:T4"/>
    <mergeCell ref="I6:J6"/>
    <mergeCell ref="A2:N4"/>
  </mergeCells>
  <conditionalFormatting sqref="J12:K75">
    <cfRule type="expression" dxfId="3" priority="8">
      <formula>$C12=1</formula>
    </cfRule>
  </conditionalFormatting>
  <conditionalFormatting sqref="I12:I75">
    <cfRule type="expression" dxfId="2" priority="5">
      <formula>$B12=1</formula>
    </cfRule>
  </conditionalFormatting>
  <conditionalFormatting sqref="L12:L75">
    <cfRule type="expression" dxfId="1" priority="4">
      <formula>$D12</formula>
    </cfRule>
  </conditionalFormatting>
  <conditionalFormatting sqref="N12:N75">
    <cfRule type="cellIs" dxfId="0" priority="3" operator="notBetween">
      <formula>9</formula>
      <formula>12</formula>
    </cfRule>
  </conditionalFormatting>
  <printOptions horizontalCentered="1"/>
  <pageMargins left="0.7" right="0.7" top="0.75" bottom="0.75" header="0.3" footer="0.3"/>
  <pageSetup scale="79" orientation="portrait" r:id="rId2"/>
  <drawing r:id="rId3"/>
  <legacyDrawing r:id="rId4"/>
  <controls>
    <mc:AlternateContent xmlns:mc="http://schemas.openxmlformats.org/markup-compatibility/2006">
      <mc:Choice Requires="x14">
        <control shapeId="1027" r:id="rId5" name="Label1">
          <controlPr autoLine="0" r:id="rId6">
            <anchor moveWithCells="1">
              <from>
                <xdr:col>19</xdr:col>
                <xdr:colOff>2887980</xdr:colOff>
                <xdr:row>3</xdr:row>
                <xdr:rowOff>60960</xdr:rowOff>
              </from>
              <to>
                <xdr:col>19</xdr:col>
                <xdr:colOff>3238500</xdr:colOff>
                <xdr:row>3</xdr:row>
                <xdr:rowOff>251460</xdr:rowOff>
              </to>
            </anchor>
          </controlPr>
        </control>
      </mc:Choice>
      <mc:Fallback>
        <control shapeId="1027" r:id="rId5" name="Label1"/>
      </mc:Fallback>
    </mc:AlternateContent>
    <mc:AlternateContent xmlns:mc="http://schemas.openxmlformats.org/markup-compatibility/2006">
      <mc:Choice Requires="x14">
        <control shapeId="1028" r:id="rId7" name="Button 4">
          <controlPr defaultSize="0" print="0" autoFill="0" autoPict="0" macro="[0]!showAll">
            <anchor moveWithCells="1">
              <from>
                <xdr:col>19</xdr:col>
                <xdr:colOff>2659380</xdr:colOff>
                <xdr:row>3</xdr:row>
                <xdr:rowOff>457200</xdr:rowOff>
              </from>
              <to>
                <xdr:col>19</xdr:col>
                <xdr:colOff>3886200</xdr:colOff>
                <xdr:row>3</xdr:row>
                <xdr:rowOff>716280</xdr:rowOff>
              </to>
            </anchor>
          </controlPr>
        </control>
      </mc:Choice>
    </mc:AlternateContent>
    <mc:AlternateContent xmlns:mc="http://schemas.openxmlformats.org/markup-compatibility/2006">
      <mc:Choice Requires="x14">
        <control shapeId="1029" r:id="rId8" name="Button 5">
          <controlPr defaultSize="0" print="0" autoFill="0" autoPict="0" macro="[0]!uprotect">
            <anchor moveWithCells="1" sizeWithCells="1">
              <from>
                <xdr:col>0</xdr:col>
                <xdr:colOff>266700</xdr:colOff>
                <xdr:row>2</xdr:row>
                <xdr:rowOff>144780</xdr:rowOff>
              </from>
              <to>
                <xdr:col>8</xdr:col>
                <xdr:colOff>213360</xdr:colOff>
                <xdr:row>3</xdr:row>
                <xdr:rowOff>502920</xdr:rowOff>
              </to>
            </anchor>
          </controlPr>
        </control>
      </mc:Choice>
    </mc:AlternateContent>
    <mc:AlternateContent xmlns:mc="http://schemas.openxmlformats.org/markup-compatibility/2006">
      <mc:Choice Requires="x14">
        <control shapeId="1030" r:id="rId9" name="Button 6">
          <controlPr defaultSize="0" print="0" autoFill="0" autoPict="0" macro="[0]!protect">
            <anchor moveWithCells="1">
              <from>
                <xdr:col>8</xdr:col>
                <xdr:colOff>388620</xdr:colOff>
                <xdr:row>2</xdr:row>
                <xdr:rowOff>121920</xdr:rowOff>
              </from>
              <to>
                <xdr:col>13</xdr:col>
                <xdr:colOff>160020</xdr:colOff>
                <xdr:row>3</xdr:row>
                <xdr:rowOff>533400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B1:W43"/>
  <sheetViews>
    <sheetView workbookViewId="0">
      <selection activeCell="B18" sqref="B18"/>
    </sheetView>
  </sheetViews>
  <sheetFormatPr defaultColWidth="9.109375" defaultRowHeight="10.199999999999999" x14ac:dyDescent="0.2"/>
  <cols>
    <col min="1" max="1" width="2.109375" style="3" customWidth="1"/>
    <col min="2" max="15" width="9.5546875" style="3" customWidth="1"/>
    <col min="16" max="16" width="3" style="3" customWidth="1"/>
    <col min="17" max="17" width="112.109375" style="2" customWidth="1"/>
    <col min="18" max="18" width="9.109375" style="3"/>
    <col min="19" max="23" width="0" style="3" hidden="1" customWidth="1"/>
    <col min="24" max="16384" width="9.109375" style="3"/>
  </cols>
  <sheetData>
    <row r="1" spans="2:23" ht="87" customHeight="1" thickBot="1" x14ac:dyDescent="0.25">
      <c r="B1" s="120" t="s">
        <v>261</v>
      </c>
      <c r="C1" s="121"/>
      <c r="D1" s="121"/>
      <c r="E1" s="121"/>
      <c r="F1" s="121"/>
      <c r="G1" s="121"/>
      <c r="H1" s="121"/>
      <c r="I1" s="121"/>
      <c r="J1" s="121"/>
      <c r="K1" s="121"/>
      <c r="L1" s="121"/>
      <c r="M1" s="121"/>
      <c r="N1" s="121"/>
      <c r="O1" s="122"/>
      <c r="Q1" s="19"/>
    </row>
    <row r="2" spans="2:23" ht="10.5" customHeight="1" thickBot="1" x14ac:dyDescent="0.25">
      <c r="S2" s="14" t="s">
        <v>252</v>
      </c>
    </row>
    <row r="3" spans="2:23" s="14" customFormat="1" ht="13.8" thickBot="1" x14ac:dyDescent="0.35">
      <c r="B3" s="10" t="s">
        <v>27</v>
      </c>
      <c r="C3" s="10" t="s">
        <v>28</v>
      </c>
      <c r="D3" s="10" t="s">
        <v>29</v>
      </c>
      <c r="E3" s="10" t="s">
        <v>30</v>
      </c>
      <c r="F3" s="10" t="s">
        <v>31</v>
      </c>
      <c r="G3" s="10" t="s">
        <v>32</v>
      </c>
      <c r="H3" s="10" t="s">
        <v>33</v>
      </c>
      <c r="I3" s="10" t="s">
        <v>34</v>
      </c>
      <c r="J3" s="10" t="s">
        <v>35</v>
      </c>
      <c r="K3" s="10" t="s">
        <v>36</v>
      </c>
      <c r="L3" s="48" t="s">
        <v>37</v>
      </c>
      <c r="M3" s="48" t="s">
        <v>38</v>
      </c>
      <c r="N3" s="10" t="s">
        <v>39</v>
      </c>
      <c r="O3" s="10" t="s">
        <v>40</v>
      </c>
      <c r="P3" s="13"/>
      <c r="Q3" s="35" t="s">
        <v>201</v>
      </c>
    </row>
    <row r="4" spans="2:23" ht="13.2" x14ac:dyDescent="0.25">
      <c r="B4" s="41"/>
      <c r="C4" s="41"/>
      <c r="D4" s="41"/>
      <c r="E4" s="41"/>
      <c r="F4" s="41"/>
      <c r="G4" s="41"/>
      <c r="H4" s="41"/>
      <c r="I4" s="41"/>
      <c r="J4" s="41"/>
      <c r="K4" s="41"/>
      <c r="L4" s="123" t="str">
        <f>IF(OR(L5="x",M5="x"),"VRCM","")</f>
        <v/>
      </c>
      <c r="M4" s="124"/>
      <c r="N4" s="42" t="str">
        <f>IF(OR(N5="x",N16="x"),242,"")</f>
        <v/>
      </c>
      <c r="O4" s="42" t="str">
        <f>IF(OR(O5="x",O16="x"),242,"")</f>
        <v/>
      </c>
      <c r="Q4" s="36" t="s">
        <v>258</v>
      </c>
      <c r="S4" s="12" t="s">
        <v>253</v>
      </c>
    </row>
    <row r="5" spans="2:23" s="9" customFormat="1" ht="27.6" x14ac:dyDescent="0.45">
      <c r="B5" s="70" t="str">
        <f>IF(INDEX(ZoneConfigurationTable!$G$12:$G$75,MATCH(1,ZoneConfigurationTable!$M$12:$M$75,0))="","",INDEX(ZoneConfigurationTable!$G$12:$G$75,MATCH(1,ZoneConfigurationTable!$M$12:$M$75,0)))</f>
        <v/>
      </c>
      <c r="C5" s="70" t="str">
        <f>IF(INDEX(ZoneConfigurationTable!$G$12:$G$75,MATCH(29,ZoneConfigurationTable!$M$12:$M$75,0))="","",INDEX(ZoneConfigurationTable!$G$12:$G$75,MATCH(29,ZoneConfigurationTable!$M$12:$M$75,0)))</f>
        <v/>
      </c>
      <c r="D5" s="70" t="str">
        <f>IF(INDEX(ZoneConfigurationTable!$G$12:$G$75,MATCH(2,ZoneConfigurationTable!$M$12:$M$75,0))="","",INDEX(ZoneConfigurationTable!$G$12:$G$75,MATCH(2,ZoneConfigurationTable!$M$12:$M$75,0)))</f>
        <v/>
      </c>
      <c r="E5" s="70" t="str">
        <f>IF(INDEX(ZoneConfigurationTable!$G$12:$G$75,MATCH(4,ZoneConfigurationTable!$M$12:$M$75,0))="","",INDEX(ZoneConfigurationTable!$G$12:$G$75,MATCH(4,ZoneConfigurationTable!$M$12:$M$75,0)))</f>
        <v/>
      </c>
      <c r="F5" s="70" t="str">
        <f>IF(INDEX(ZoneConfigurationTable!$G$12:$G$75,MATCH(6,ZoneConfigurationTable!$M$12:$M$75,0))="","",INDEX(ZoneConfigurationTable!$G$12:$G$75,MATCH(6,ZoneConfigurationTable!$M$12:$M$75,0)))</f>
        <v/>
      </c>
      <c r="G5" s="70" t="str">
        <f>IF(INDEX(ZoneConfigurationTable!$G$12:$G$75,MATCH(7,ZoneConfigurationTable!$M$12:$M$75,0))="","",INDEX(ZoneConfigurationTable!$G$12:$G$75,MATCH(7,ZoneConfigurationTable!$M$12:$M$75,0)))</f>
        <v/>
      </c>
      <c r="H5" s="70" t="str">
        <f>IF(INDEX(ZoneConfigurationTable!$G$12:$G$75,MATCH(32,ZoneConfigurationTable!$M$12:$M$75,0))="","",INDEX(ZoneConfigurationTable!$G$12:$G$75,MATCH(32,ZoneConfigurationTable!$M$12:$M$75,0)))</f>
        <v/>
      </c>
      <c r="I5" s="70" t="str">
        <f>IF(INDEX(ZoneConfigurationTable!$G$12:$G$75,MATCH(8,ZoneConfigurationTable!$M$12:$M$75,0))="","",INDEX(ZoneConfigurationTable!$G$12:$G$75,MATCH(8,ZoneConfigurationTable!$M$12:$M$75,0)))</f>
        <v/>
      </c>
      <c r="J5" s="70" t="str">
        <f>IF(INDEX(ZoneConfigurationTable!$G$12:$G$75,MATCH(10,ZoneConfigurationTable!$M$12:$M$75,0))="","",INDEX(ZoneConfigurationTable!$G$12:$G$75,MATCH(10,ZoneConfigurationTable!$M$12:$M$75,0)))</f>
        <v/>
      </c>
      <c r="K5" s="70" t="str">
        <f>IF(INDEX(ZoneConfigurationTable!$G$12:$G$75,MATCH(12,ZoneConfigurationTable!$M$12:$M$75,0))="","",INDEX(ZoneConfigurationTable!$G$12:$G$75,MATCH(12,ZoneConfigurationTable!$M$12:$M$75,0)))</f>
        <v/>
      </c>
      <c r="L5" s="71"/>
      <c r="M5" s="71"/>
      <c r="N5" s="71"/>
      <c r="O5" s="71"/>
      <c r="Q5" s="37" t="s">
        <v>257</v>
      </c>
      <c r="S5" s="12" t="s">
        <v>254</v>
      </c>
      <c r="T5" s="3"/>
      <c r="U5" s="3">
        <v>255</v>
      </c>
      <c r="V5" s="9" t="s">
        <v>109</v>
      </c>
      <c r="W5" s="9">
        <v>752</v>
      </c>
    </row>
    <row r="6" spans="2:23" ht="14.4" x14ac:dyDescent="0.2">
      <c r="B6" s="62" t="str">
        <f>IF(B5="","",INDEX(ZoneConfigurationTable!$L$12:$L$75,MATCH(1,ZoneConfigurationTable!$M$12:$M$75,0))&amp;"")</f>
        <v/>
      </c>
      <c r="C6" s="62" t="str">
        <f>IF(C5="","",INDEX(ZoneConfigurationTable!$L$12:$L$75,MATCH(29,ZoneConfigurationTable!$M$12:$M$75,0))&amp;"")</f>
        <v/>
      </c>
      <c r="D6" s="62" t="str">
        <f>IF(D5="","",INDEX(ZoneConfigurationTable!$L$12:$L$75,MATCH(2,ZoneConfigurationTable!$M$12:$M$75,0))&amp;"")</f>
        <v/>
      </c>
      <c r="E6" s="62" t="str">
        <f>IF(E5="","",INDEX(ZoneConfigurationTable!$L$12:$L$75,MATCH(4,ZoneConfigurationTable!$M$12:$M$75,0))&amp;"")</f>
        <v/>
      </c>
      <c r="F6" s="62" t="str">
        <f>IF(F5="","",INDEX(ZoneConfigurationTable!$L$12:$L$75,MATCH(6,ZoneConfigurationTable!$M$12:$M$75,0))&amp;"")</f>
        <v/>
      </c>
      <c r="G6" s="62" t="str">
        <f>IF(G5="","",INDEX(ZoneConfigurationTable!$L$12:$L$75,MATCH(7,ZoneConfigurationTable!$M$12:$M$75,0))&amp;"")</f>
        <v/>
      </c>
      <c r="H6" s="62" t="str">
        <f>IF(H5="","",INDEX(ZoneConfigurationTable!$L$12:$L$75,MATCH(32,ZoneConfigurationTable!$M$12:$M$75,0))&amp;"")</f>
        <v/>
      </c>
      <c r="I6" s="62" t="str">
        <f>IF(I5="","",INDEX(ZoneConfigurationTable!$L$12:$L$75,MATCH(8,ZoneConfigurationTable!$M$12:$M$75,0))&amp;"")</f>
        <v/>
      </c>
      <c r="J6" s="62" t="str">
        <f>IF(J5="","",INDEX(ZoneConfigurationTable!$L$12:$L$75,MATCH(10,ZoneConfigurationTable!$M$12:$M$75,0))&amp;"")</f>
        <v/>
      </c>
      <c r="K6" s="62" t="str">
        <f>IF(K5="","",INDEX(ZoneConfigurationTable!$L$12:$L$75,MATCH(12,ZoneConfigurationTable!$M$12:$M$75,0))&amp;"")</f>
        <v/>
      </c>
      <c r="L6" s="43"/>
      <c r="M6" s="43"/>
      <c r="N6" s="43"/>
      <c r="O6" s="43"/>
      <c r="P6" s="1"/>
      <c r="Q6" s="38" t="s">
        <v>260</v>
      </c>
      <c r="S6" s="12" t="s">
        <v>255</v>
      </c>
      <c r="W6" s="3">
        <v>2140</v>
      </c>
    </row>
    <row r="7" spans="2:23" ht="14.4" x14ac:dyDescent="0.25">
      <c r="B7" s="62" t="str">
        <f>IF(B5="","",INDEX(ZoneConfigurationTable!$K$12:$K$75,MATCH(1,ZoneConfigurationTable!$M$12:$M$75,0))&amp;"")</f>
        <v/>
      </c>
      <c r="C7" s="62" t="str">
        <f>IF(C5="","",INDEX(ZoneConfigurationTable!$K$12:$K$75,MATCH(29,ZoneConfigurationTable!$M$12:$M$75,0))&amp;"")</f>
        <v/>
      </c>
      <c r="D7" s="62" t="str">
        <f>IF(D5="","",INDEX(ZoneConfigurationTable!$K$12:$K$75,MATCH(2,ZoneConfigurationTable!$M$12:$M$75,0))&amp;"")</f>
        <v/>
      </c>
      <c r="E7" s="62" t="str">
        <f>IF(E5="","",INDEX(ZoneConfigurationTable!$K$12:$K$75,MATCH(4,ZoneConfigurationTable!$M$12:$M$75,0))&amp;"")</f>
        <v/>
      </c>
      <c r="F7" s="62" t="str">
        <f>IF(F5="","",INDEX(ZoneConfigurationTable!$K$12:$K$75,MATCH(6,ZoneConfigurationTable!$M$12:$M$75,0))&amp;"")</f>
        <v/>
      </c>
      <c r="G7" s="62" t="str">
        <f>IF(G5="","",INDEX(ZoneConfigurationTable!$K$12:$K$75,MATCH(7,ZoneConfigurationTable!$M$12:$M$75,0))&amp;"")</f>
        <v/>
      </c>
      <c r="H7" s="62" t="str">
        <f>IF(H5="","",INDEX(ZoneConfigurationTable!$K$12:$K$75,MATCH(32,ZoneConfigurationTable!$M$12:$M$75,0))&amp;"")</f>
        <v/>
      </c>
      <c r="I7" s="62" t="str">
        <f>IF(I5="","",INDEX(ZoneConfigurationTable!$K$12:$K$75,MATCH(8,ZoneConfigurationTable!$M$12:$M$75,0))&amp;"")</f>
        <v/>
      </c>
      <c r="J7" s="62" t="str">
        <f>IF(J5="","",INDEX(ZoneConfigurationTable!$K$12:$K$75,MATCH(10,ZoneConfigurationTable!$M$12:$M$75,0))&amp;"")</f>
        <v/>
      </c>
      <c r="K7" s="62" t="str">
        <f>IF(K5="","",INDEX(ZoneConfigurationTable!$K$12:$K$75,MATCH(12,ZoneConfigurationTable!$M$12:$M$75,0))&amp;"")</f>
        <v/>
      </c>
      <c r="L7" s="44"/>
      <c r="M7" s="44"/>
      <c r="N7" s="44"/>
      <c r="O7" s="44"/>
      <c r="Q7" s="38" t="s">
        <v>251</v>
      </c>
      <c r="S7" s="12" t="s">
        <v>256</v>
      </c>
    </row>
    <row r="8" spans="2:23" ht="6.9" customHeight="1" x14ac:dyDescent="0.2">
      <c r="B8" s="63"/>
      <c r="C8" s="63"/>
      <c r="D8" s="63"/>
      <c r="E8" s="63"/>
      <c r="F8" s="63"/>
      <c r="G8" s="63"/>
      <c r="H8" s="63"/>
      <c r="I8" s="63"/>
      <c r="J8" s="63"/>
      <c r="K8" s="63"/>
      <c r="L8" s="45"/>
      <c r="M8" s="45"/>
      <c r="N8" s="45"/>
      <c r="O8" s="45"/>
      <c r="Q8" s="37"/>
      <c r="S8" s="12">
        <v>222</v>
      </c>
    </row>
    <row r="9" spans="2:23" ht="13.2" x14ac:dyDescent="0.2">
      <c r="B9" s="64" t="s">
        <v>170</v>
      </c>
      <c r="C9" s="64" t="s">
        <v>172</v>
      </c>
      <c r="D9" s="64" t="s">
        <v>174</v>
      </c>
      <c r="E9" s="64" t="s">
        <v>176</v>
      </c>
      <c r="F9" s="64" t="s">
        <v>179</v>
      </c>
      <c r="G9" s="64" t="s">
        <v>180</v>
      </c>
      <c r="H9" s="64" t="s">
        <v>182</v>
      </c>
      <c r="I9" s="64" t="s">
        <v>184</v>
      </c>
      <c r="J9" s="64" t="s">
        <v>186</v>
      </c>
      <c r="K9" s="64" t="s">
        <v>188</v>
      </c>
      <c r="L9" s="18" t="s">
        <v>97</v>
      </c>
      <c r="M9" s="18" t="s">
        <v>97</v>
      </c>
      <c r="N9" s="18" t="s">
        <v>106</v>
      </c>
      <c r="O9" s="18" t="s">
        <v>107</v>
      </c>
      <c r="Q9" s="37"/>
    </row>
    <row r="10" spans="2:23" s="16" customFormat="1" ht="13.8" thickBot="1" x14ac:dyDescent="0.35">
      <c r="B10" s="65" t="s">
        <v>41</v>
      </c>
      <c r="C10" s="65" t="s">
        <v>51</v>
      </c>
      <c r="D10" s="65" t="s">
        <v>52</v>
      </c>
      <c r="E10" s="65" t="s">
        <v>48</v>
      </c>
      <c r="F10" s="65" t="s">
        <v>53</v>
      </c>
      <c r="G10" s="65" t="s">
        <v>43</v>
      </c>
      <c r="H10" s="65" t="s">
        <v>54</v>
      </c>
      <c r="I10" s="65" t="s">
        <v>55</v>
      </c>
      <c r="J10" s="65" t="s">
        <v>50</v>
      </c>
      <c r="K10" s="65" t="s">
        <v>56</v>
      </c>
      <c r="L10" s="46" t="s">
        <v>60</v>
      </c>
      <c r="M10" s="46" t="s">
        <v>61</v>
      </c>
      <c r="N10" s="46" t="s">
        <v>62</v>
      </c>
      <c r="O10" s="46" t="s">
        <v>63</v>
      </c>
      <c r="P10" s="15"/>
      <c r="Q10" s="39"/>
    </row>
    <row r="11" spans="2:23" ht="13.2" x14ac:dyDescent="0.25">
      <c r="B11" s="66" t="s">
        <v>45</v>
      </c>
      <c r="C11" s="66" t="s">
        <v>64</v>
      </c>
      <c r="D11" s="66" t="s">
        <v>65</v>
      </c>
      <c r="E11" s="66" t="s">
        <v>66</v>
      </c>
      <c r="F11" s="66" t="s">
        <v>67</v>
      </c>
      <c r="G11" s="66" t="s">
        <v>47</v>
      </c>
      <c r="H11" s="66" t="s">
        <v>68</v>
      </c>
      <c r="I11" s="66" t="s">
        <v>69</v>
      </c>
      <c r="J11" s="66" t="s">
        <v>70</v>
      </c>
      <c r="K11" s="66" t="s">
        <v>71</v>
      </c>
      <c r="L11" s="47" t="s">
        <v>72</v>
      </c>
      <c r="M11" s="47" t="s">
        <v>73</v>
      </c>
      <c r="N11" s="47" t="s">
        <v>74</v>
      </c>
      <c r="O11" s="47" t="s">
        <v>75</v>
      </c>
      <c r="Q11" s="36"/>
    </row>
    <row r="12" spans="2:23" ht="13.2" x14ac:dyDescent="0.25">
      <c r="B12" s="67" t="s">
        <v>171</v>
      </c>
      <c r="C12" s="67" t="s">
        <v>173</v>
      </c>
      <c r="D12" s="67" t="s">
        <v>175</v>
      </c>
      <c r="E12" s="67" t="s">
        <v>177</v>
      </c>
      <c r="F12" s="67" t="s">
        <v>178</v>
      </c>
      <c r="G12" s="67" t="s">
        <v>181</v>
      </c>
      <c r="H12" s="67" t="s">
        <v>183</v>
      </c>
      <c r="I12" s="67" t="s">
        <v>185</v>
      </c>
      <c r="J12" s="67" t="s">
        <v>187</v>
      </c>
      <c r="K12" s="67" t="s">
        <v>189</v>
      </c>
      <c r="L12" s="17" t="s">
        <v>97</v>
      </c>
      <c r="M12" s="17" t="s">
        <v>97</v>
      </c>
      <c r="N12" s="17" t="s">
        <v>105</v>
      </c>
      <c r="O12" s="17" t="s">
        <v>108</v>
      </c>
      <c r="Q12" s="37"/>
    </row>
    <row r="13" spans="2:23" ht="6.9" customHeight="1" x14ac:dyDescent="0.2">
      <c r="B13" s="63"/>
      <c r="C13" s="63"/>
      <c r="D13" s="63"/>
      <c r="E13" s="63"/>
      <c r="F13" s="63"/>
      <c r="G13" s="63"/>
      <c r="H13" s="63"/>
      <c r="I13" s="63"/>
      <c r="J13" s="63"/>
      <c r="K13" s="63"/>
      <c r="L13" s="45"/>
      <c r="M13" s="45"/>
      <c r="N13" s="45"/>
      <c r="O13" s="45"/>
      <c r="Q13" s="37"/>
    </row>
    <row r="14" spans="2:23" ht="14.4" x14ac:dyDescent="0.25">
      <c r="B14" s="62" t="str">
        <f>IF(B16="","",INDEX(ZoneConfigurationTable!$K$12:$K$75,MATCH(13,ZoneConfigurationTable!$M$12:$M$75,0))&amp;"")</f>
        <v/>
      </c>
      <c r="C14" s="62" t="str">
        <f>IF(C16="","",INDEX(ZoneConfigurationTable!$K$12:$K$75,MATCH(30,ZoneConfigurationTable!$M$12:$M$75,0))&amp;"")</f>
        <v/>
      </c>
      <c r="D14" s="62" t="str">
        <f>IF(D16="","",INDEX(ZoneConfigurationTable!$K$12:$K$75,MATCH(3,ZoneConfigurationTable!$M$12:$M$75,0))&amp;"")</f>
        <v/>
      </c>
      <c r="E14" s="62" t="str">
        <f>IF(E16="","",INDEX(ZoneConfigurationTable!$K$12:$K$75,MATCH(5,ZoneConfigurationTable!$M$12:$M$75,0))&amp;"")</f>
        <v/>
      </c>
      <c r="F14" s="62" t="str">
        <f>IF(F16="","",INDEX(ZoneConfigurationTable!$K$12:$K$75,MATCH(31,ZoneConfigurationTable!$M$12:$M$75,0))&amp;"")</f>
        <v/>
      </c>
      <c r="G14" s="62" t="str">
        <f>IF(G16="","",INDEX(ZoneConfigurationTable!$K$12:$K$75,MATCH(14,ZoneConfigurationTable!$M$12:$M$75,0))&amp;"")</f>
        <v/>
      </c>
      <c r="H14" s="62" t="str">
        <f>IF(H16="","",INDEX(ZoneConfigurationTable!$K$12:$K$75,MATCH(33,ZoneConfigurationTable!$M$12:$M$75,0))&amp;"")</f>
        <v/>
      </c>
      <c r="I14" s="62" t="str">
        <f>IF(I16="","",INDEX(ZoneConfigurationTable!$K$12:$K$75,MATCH(9,ZoneConfigurationTable!$M$12:$M$75,0))&amp;"")</f>
        <v/>
      </c>
      <c r="J14" s="62" t="str">
        <f>IF(J16="","",INDEX(ZoneConfigurationTable!$K$12:$K$75,MATCH(11,ZoneConfigurationTable!$M$12:$M$75,0))&amp;"")</f>
        <v/>
      </c>
      <c r="K14" s="62" t="str">
        <f>IF(K16="","",INDEX(ZoneConfigurationTable!$K$12:$K$75,MATCH(34,ZoneConfigurationTable!$M$12:$M$75,0))&amp;"")</f>
        <v/>
      </c>
      <c r="L14" s="44"/>
      <c r="M14" s="44"/>
      <c r="N14" s="44"/>
      <c r="O14" s="44"/>
      <c r="Q14" s="38" t="s">
        <v>12</v>
      </c>
    </row>
    <row r="15" spans="2:23" ht="14.4" x14ac:dyDescent="0.2">
      <c r="B15" s="62" t="str">
        <f>IF(B16="","",INDEX(ZoneConfigurationTable!$L$12:$L$75,MATCH(13,ZoneConfigurationTable!$M$12:$M$75,0))&amp;"")</f>
        <v/>
      </c>
      <c r="C15" s="62" t="str">
        <f>IF(C16="","",INDEX(ZoneConfigurationTable!$L$12:$L$75,MATCH(30,ZoneConfigurationTable!$M$12:$M$75,0))&amp;"")</f>
        <v/>
      </c>
      <c r="D15" s="62" t="str">
        <f>IF(D16="","",INDEX(ZoneConfigurationTable!$L$12:$L$75,MATCH(3,ZoneConfigurationTable!$M$12:$M$75,0))&amp;"")</f>
        <v/>
      </c>
      <c r="E15" s="62" t="str">
        <f>IF(E16="","",INDEX(ZoneConfigurationTable!$L$12:$L$75,MATCH(5,ZoneConfigurationTable!$M$12:$M$75,0))&amp;"")</f>
        <v/>
      </c>
      <c r="F15" s="62" t="str">
        <f>IF(F16="","",INDEX(ZoneConfigurationTable!$L$12:$L$75,MATCH(31,ZoneConfigurationTable!$M$12:$M$75,0))&amp;"")</f>
        <v/>
      </c>
      <c r="G15" s="62" t="str">
        <f>IF(G16="","",INDEX(ZoneConfigurationTable!$L$12:$L$75,MATCH(14,ZoneConfigurationTable!$M$12:$M$75,0))&amp;"")</f>
        <v/>
      </c>
      <c r="H15" s="62" t="str">
        <f>IF(H16="","",INDEX(ZoneConfigurationTable!$L$12:$L$75,MATCH(33,ZoneConfigurationTable!$M$12:$M$75,0))&amp;"")</f>
        <v/>
      </c>
      <c r="I15" s="62" t="str">
        <f>IF(I16="","",INDEX(ZoneConfigurationTable!$L$12:$L$75,MATCH(9,ZoneConfigurationTable!$M$12:$M$75,0))&amp;"")</f>
        <v/>
      </c>
      <c r="J15" s="62" t="str">
        <f>IF(J16="","",INDEX(ZoneConfigurationTable!$L$12:$L$75,MATCH(11,ZoneConfigurationTable!$M$12:$M$75,0))&amp;"")</f>
        <v/>
      </c>
      <c r="K15" s="62" t="str">
        <f>IF(K16="","",INDEX(ZoneConfigurationTable!$L$12:$L$75,MATCH(34,ZoneConfigurationTable!$M$12:$M$75,0))&amp;"")</f>
        <v/>
      </c>
      <c r="L15" s="43"/>
      <c r="M15" s="43"/>
      <c r="N15" s="43"/>
      <c r="O15" s="43"/>
      <c r="P15" s="1"/>
      <c r="Q15" s="38" t="s">
        <v>202</v>
      </c>
    </row>
    <row r="16" spans="2:23" s="9" customFormat="1" ht="28.2" thickBot="1" x14ac:dyDescent="0.5">
      <c r="B16" s="72" t="str">
        <f>IF(INDEX(ZoneConfigurationTable!$G$12:$G$75,MATCH(13,ZoneConfigurationTable!$M$12:$M$75,0))="","",INDEX(ZoneConfigurationTable!$G$12:$G$75,MATCH(13,ZoneConfigurationTable!$M$12:$M$75,0)))</f>
        <v/>
      </c>
      <c r="C16" s="72" t="str">
        <f>IF(INDEX(ZoneConfigurationTable!$G$12:$G$75,MATCH(30,ZoneConfigurationTable!$M$12:$M$75,0))="","",INDEX(ZoneConfigurationTable!$G$12:$G$75,MATCH(30,ZoneConfigurationTable!$M$12:$M$75,0)))</f>
        <v/>
      </c>
      <c r="D16" s="72" t="str">
        <f>IF(INDEX(ZoneConfigurationTable!$G$12:$G$75,MATCH(3,ZoneConfigurationTable!$M$12:$M$75,0))="","",INDEX(ZoneConfigurationTable!$G$12:$G$75,MATCH(3,ZoneConfigurationTable!$M$12:$M$75,0)))</f>
        <v/>
      </c>
      <c r="E16" s="72" t="str">
        <f>IF(INDEX(ZoneConfigurationTable!$G$12:$G$75,MATCH(5,ZoneConfigurationTable!$M$12:$M$75,0))="","",INDEX(ZoneConfigurationTable!$G$12:$G$75,MATCH(5,ZoneConfigurationTable!$M$12:$M$75,0)))</f>
        <v/>
      </c>
      <c r="F16" s="72" t="str">
        <f>IF(INDEX(ZoneConfigurationTable!$G$12:$G$75,MATCH(31,ZoneConfigurationTable!$M$12:$M$75,0))="","",INDEX(ZoneConfigurationTable!$G$12:$G$75,MATCH(31,ZoneConfigurationTable!$M$12:$M$75,0)))</f>
        <v/>
      </c>
      <c r="G16" s="72" t="str">
        <f>IF(INDEX(ZoneConfigurationTable!$G$12:$G$75,MATCH(14,ZoneConfigurationTable!$M$12:$M$75,0))="","",INDEX(ZoneConfigurationTable!$G$12:$G$75,MATCH(14,ZoneConfigurationTable!$M$12:$M$75,0)))</f>
        <v/>
      </c>
      <c r="H16" s="72" t="str">
        <f>IF(INDEX(ZoneConfigurationTable!$G$12:$G$75,MATCH(33,ZoneConfigurationTable!$M$12:$M$75,0))="","",INDEX(ZoneConfigurationTable!$G$12:$G$75,MATCH(33,ZoneConfigurationTable!$M$12:$M$75,0)))</f>
        <v/>
      </c>
      <c r="I16" s="72" t="str">
        <f>IF(INDEX(ZoneConfigurationTable!$G$12:$G$75,MATCH(9,ZoneConfigurationTable!$M$12:$M$75,0))="","",INDEX(ZoneConfigurationTable!$G$12:$G$75,MATCH(9,ZoneConfigurationTable!$M$12:$M$75,0)))</f>
        <v/>
      </c>
      <c r="J16" s="72" t="str">
        <f>IF(INDEX(ZoneConfigurationTable!$G$12:$G$75,MATCH(11,ZoneConfigurationTable!$M$12:$M$75,0))="","",INDEX(ZoneConfigurationTable!$G$12:$G$75,MATCH(11,ZoneConfigurationTable!$M$12:$M$75,0)))</f>
        <v/>
      </c>
      <c r="K16" s="72" t="str">
        <f>IF(INDEX(ZoneConfigurationTable!$G$12:$G$75,MATCH(34,ZoneConfigurationTable!$M$12:$M$75,0))="","",INDEX(ZoneConfigurationTable!$G$12:$G$75,MATCH(34,ZoneConfigurationTable!$M$12:$M$75,0)))</f>
        <v/>
      </c>
      <c r="L16" s="73"/>
      <c r="M16" s="73"/>
      <c r="N16" s="74"/>
      <c r="O16" s="74"/>
      <c r="P16" s="8"/>
      <c r="Q16" s="39" t="s">
        <v>257</v>
      </c>
    </row>
    <row r="17" spans="2:17" ht="10.8" thickBot="1" x14ac:dyDescent="0.25">
      <c r="B17" s="1"/>
      <c r="C17" s="1"/>
      <c r="D17" s="1"/>
      <c r="E17" s="1"/>
      <c r="F17" s="1"/>
      <c r="G17" s="1"/>
      <c r="H17" s="1"/>
      <c r="I17" s="1"/>
      <c r="J17" s="1"/>
      <c r="K17" s="1"/>
      <c r="L17" s="1"/>
      <c r="M17" s="1"/>
      <c r="N17" s="1"/>
      <c r="O17" s="1"/>
      <c r="P17" s="1"/>
      <c r="Q17" s="40"/>
    </row>
    <row r="18" spans="2:17" s="12" customFormat="1" ht="13.8" thickBot="1" x14ac:dyDescent="0.35">
      <c r="B18" s="10" t="s">
        <v>13</v>
      </c>
      <c r="C18" s="10" t="s">
        <v>14</v>
      </c>
      <c r="D18" s="10" t="s">
        <v>15</v>
      </c>
      <c r="E18" s="10" t="s">
        <v>16</v>
      </c>
      <c r="F18" s="10" t="s">
        <v>17</v>
      </c>
      <c r="G18" s="10" t="s">
        <v>18</v>
      </c>
      <c r="H18" s="10" t="s">
        <v>19</v>
      </c>
      <c r="I18" s="10" t="s">
        <v>20</v>
      </c>
      <c r="J18" s="10" t="s">
        <v>21</v>
      </c>
      <c r="K18" s="10" t="s">
        <v>22</v>
      </c>
      <c r="L18" s="10" t="s">
        <v>23</v>
      </c>
      <c r="M18" s="10" t="s">
        <v>24</v>
      </c>
      <c r="N18" s="10" t="s">
        <v>25</v>
      </c>
      <c r="O18" s="10" t="s">
        <v>26</v>
      </c>
      <c r="P18" s="11"/>
      <c r="Q18" s="35" t="s">
        <v>201</v>
      </c>
    </row>
    <row r="19" spans="2:17" ht="13.2" x14ac:dyDescent="0.25">
      <c r="B19" s="41"/>
      <c r="C19" s="41"/>
      <c r="D19" s="41"/>
      <c r="E19" s="41"/>
      <c r="F19" s="41"/>
      <c r="G19" s="41"/>
      <c r="H19" s="41"/>
      <c r="I19" s="41"/>
      <c r="J19" s="41"/>
      <c r="K19" s="41"/>
      <c r="L19" s="41"/>
      <c r="M19" s="42" t="str">
        <f>IF(OR(M20="x",M31="x"),255,"")</f>
        <v/>
      </c>
      <c r="N19" s="69"/>
      <c r="O19" s="69"/>
      <c r="Q19" s="36" t="s">
        <v>258</v>
      </c>
    </row>
    <row r="20" spans="2:17" s="4" customFormat="1" ht="27.6" x14ac:dyDescent="0.45">
      <c r="B20" s="70" t="str">
        <f>IF(INDEX(ZoneConfigurationTable!$G$12:$G$75,MATCH(15,ZoneConfigurationTable!$M$12:$M$75,0))="","",INDEX(ZoneConfigurationTable!$G$12:$G$75,MATCH(15,ZoneConfigurationTable!$M$12:$M$75,0)))</f>
        <v/>
      </c>
      <c r="C20" s="70" t="str">
        <f>IF(INDEX(ZoneConfigurationTable!$G$12:$G$75,MATCH(35,ZoneConfigurationTable!$M$12:$M$75,0))="","",INDEX(ZoneConfigurationTable!$G$12:$G$75,MATCH(35,ZoneConfigurationTable!$M$12:$M$75,0)))</f>
        <v/>
      </c>
      <c r="D20" s="70" t="str">
        <f>IF(INDEX(ZoneConfigurationTable!$G$12:$G$75,MATCH(16,ZoneConfigurationTable!$M$12:$M$75,0))="","",INDEX(ZoneConfigurationTable!$G$12:$G$75,MATCH(16,ZoneConfigurationTable!$M$12:$M$75,0)))</f>
        <v/>
      </c>
      <c r="E20" s="70" t="str">
        <f>IF(INDEX(ZoneConfigurationTable!$G$12:$G$75,MATCH(18,ZoneConfigurationTable!$M$12:$M$75,0))="","",INDEX(ZoneConfigurationTable!$G$12:$G$75,MATCH(18,ZoneConfigurationTable!$M$12:$M$75,0)))</f>
        <v/>
      </c>
      <c r="F20" s="70" t="str">
        <f>IF(INDEX(ZoneConfigurationTable!$G$12:$G$75,MATCH(20,ZoneConfigurationTable!$M$12:$M$75,0))="","",INDEX(ZoneConfigurationTable!$G$12:$G$75,MATCH(20,ZoneConfigurationTable!$M$12:$M$75,0)))</f>
        <v/>
      </c>
      <c r="G20" s="70" t="str">
        <f>IF(INDEX(ZoneConfigurationTable!$G$12:$G$75,MATCH(21,ZoneConfigurationTable!$M$12:$M$75,0))="","",INDEX(ZoneConfigurationTable!$G$12:$G$75,MATCH(21,ZoneConfigurationTable!$M$12:$M$75,0)))</f>
        <v/>
      </c>
      <c r="H20" s="70" t="str">
        <f>IF(INDEX(ZoneConfigurationTable!$G$12:$G$75,MATCH(38,ZoneConfigurationTable!$M$12:$M$75,0))="","",INDEX(ZoneConfigurationTable!$G$12:$G$75,MATCH(38,ZoneConfigurationTable!$M$12:$M$75,0)))</f>
        <v/>
      </c>
      <c r="I20" s="70" t="str">
        <f>IF(INDEX(ZoneConfigurationTable!$G$12:$G$75,MATCH(22,ZoneConfigurationTable!$M$12:$M$75,0))="","",INDEX(ZoneConfigurationTable!$G$12:$G$75,MATCH(22,ZoneConfigurationTable!$M$12:$M$75,0)))</f>
        <v/>
      </c>
      <c r="J20" s="70" t="str">
        <f>IF(INDEX(ZoneConfigurationTable!$G$12:$G$75,MATCH(24,ZoneConfigurationTable!$M$12:$M$75,0))="","",INDEX(ZoneConfigurationTable!$G$12:$G$75,MATCH(24,ZoneConfigurationTable!$M$12:$M$75,0)))</f>
        <v/>
      </c>
      <c r="K20" s="70" t="str">
        <f>IF(INDEX(ZoneConfigurationTable!$G$12:$G$75,MATCH(26,ZoneConfigurationTable!$M$12:$M$75,0))="","",INDEX(ZoneConfigurationTable!$G$12:$G$75,MATCH(26,ZoneConfigurationTable!$M$12:$M$75,0)))</f>
        <v/>
      </c>
      <c r="L20" s="71"/>
      <c r="M20" s="71"/>
      <c r="N20" s="71"/>
      <c r="O20" s="71"/>
      <c r="Q20" s="37" t="s">
        <v>257</v>
      </c>
    </row>
    <row r="21" spans="2:17" ht="14.4" x14ac:dyDescent="0.2">
      <c r="B21" s="62" t="str">
        <f>IF(B20="","",INDEX(ZoneConfigurationTable!$L$12:$L$75,MATCH(15,ZoneConfigurationTable!$M$12:$M$75,0))&amp;"")</f>
        <v/>
      </c>
      <c r="C21" s="62" t="str">
        <f>IF(C20="","",INDEX(ZoneConfigurationTable!$L$12:$L$75,MATCH(35,ZoneConfigurationTable!$M$12:$M$75,0))&amp;"")</f>
        <v/>
      </c>
      <c r="D21" s="62" t="str">
        <f>IF(D20="","",INDEX(ZoneConfigurationTable!$L$12:$L$75,MATCH(16,ZoneConfigurationTable!$M$12:$M$75,0))&amp;"")</f>
        <v/>
      </c>
      <c r="E21" s="62" t="str">
        <f>IF(E20="","",INDEX(ZoneConfigurationTable!$L$12:$L$75,MATCH(18,ZoneConfigurationTable!$M$12:$M$75,0))&amp;"")</f>
        <v/>
      </c>
      <c r="F21" s="62" t="str">
        <f>IF(F20="","",INDEX(ZoneConfigurationTable!$L$12:$L$75,MATCH(20,ZoneConfigurationTable!$M$12:$M$75,0))&amp;"")</f>
        <v/>
      </c>
      <c r="G21" s="62" t="str">
        <f>IF(G20="","",INDEX(ZoneConfigurationTable!$L$12:$L$75,MATCH(21,ZoneConfigurationTable!$M$12:$M$75,0))&amp;"")</f>
        <v/>
      </c>
      <c r="H21" s="62" t="str">
        <f>IF(H20="","",INDEX(ZoneConfigurationTable!$L$12:$L$75,MATCH(38,ZoneConfigurationTable!$M$12:$M$75,0))&amp;"")</f>
        <v/>
      </c>
      <c r="I21" s="62" t="str">
        <f>IF(I20="","",INDEX(ZoneConfigurationTable!$L$12:$L$75,MATCH(22,ZoneConfigurationTable!$M$12:$M$75,0))&amp;"")</f>
        <v/>
      </c>
      <c r="J21" s="62" t="str">
        <f>IF(J20="","",INDEX(ZoneConfigurationTable!$L$12:$L$75,MATCH(24,ZoneConfigurationTable!$M$12:$M$75,0))&amp;"")</f>
        <v/>
      </c>
      <c r="K21" s="62" t="str">
        <f>IF(K20="","",INDEX(ZoneConfigurationTable!$L$12:$L$75,MATCH(26,ZoneConfigurationTable!$M$12:$M$75,0))&amp;"")</f>
        <v/>
      </c>
      <c r="L21" s="43"/>
      <c r="M21" s="43"/>
      <c r="N21" s="43"/>
      <c r="O21" s="43"/>
      <c r="P21" s="1"/>
      <c r="Q21" s="38" t="s">
        <v>260</v>
      </c>
    </row>
    <row r="22" spans="2:17" ht="14.4" x14ac:dyDescent="0.25">
      <c r="B22" s="62" t="str">
        <f>IF(B20="","",INDEX(ZoneConfigurationTable!$K$12:$K$75,MATCH(15,ZoneConfigurationTable!$M$12:$M$75,0))&amp;"")</f>
        <v/>
      </c>
      <c r="C22" s="62" t="str">
        <f>IF(C20="","",INDEX(ZoneConfigurationTable!$K$12:$K$75,MATCH(35,ZoneConfigurationTable!$M$12:$M$75,0))&amp;"")</f>
        <v/>
      </c>
      <c r="D22" s="62" t="str">
        <f>IF(D20="","",INDEX(ZoneConfigurationTable!$K$12:$K$75,MATCH(16,ZoneConfigurationTable!$M$12:$M$75,0))&amp;"")</f>
        <v/>
      </c>
      <c r="E22" s="62" t="str">
        <f>IF(E20="","",INDEX(ZoneConfigurationTable!$K$12:$K$75,MATCH(18,ZoneConfigurationTable!$M$12:$M$75,0))&amp;"")</f>
        <v/>
      </c>
      <c r="F22" s="62" t="str">
        <f>IF(F20="","",INDEX(ZoneConfigurationTable!$K$12:$K$75,MATCH(20,ZoneConfigurationTable!$M$12:$M$75,0))&amp;"")</f>
        <v/>
      </c>
      <c r="G22" s="62" t="str">
        <f>IF(G20="","",INDEX(ZoneConfigurationTable!$K$12:$K$75,MATCH(21,ZoneConfigurationTable!$M$12:$M$75,0))&amp;"")</f>
        <v/>
      </c>
      <c r="H22" s="62" t="str">
        <f>IF(H20="","",INDEX(ZoneConfigurationTable!$K$12:$K$75,MATCH(38,ZoneConfigurationTable!$M$12:$M$75,0))&amp;"")</f>
        <v/>
      </c>
      <c r="I22" s="62" t="str">
        <f>IF(I20="","",INDEX(ZoneConfigurationTable!$K$12:$K$75,MATCH(22,ZoneConfigurationTable!$M$12:$M$75,0))&amp;"")</f>
        <v/>
      </c>
      <c r="J22" s="62" t="str">
        <f>IF(J20="","",INDEX(ZoneConfigurationTable!$K$12:$K$75,MATCH(24,ZoneConfigurationTable!$M$12:$M$75,0))&amp;"")</f>
        <v/>
      </c>
      <c r="K22" s="62" t="str">
        <f>IF(K20="","",INDEX(ZoneConfigurationTable!$K$12:$K$75,MATCH(26,ZoneConfigurationTable!$M$12:$M$75,0))&amp;"")</f>
        <v/>
      </c>
      <c r="L22" s="44"/>
      <c r="M22" s="44"/>
      <c r="N22" s="44"/>
      <c r="O22" s="44"/>
      <c r="Q22" s="38" t="s">
        <v>251</v>
      </c>
    </row>
    <row r="23" spans="2:17" ht="6.9" customHeight="1" x14ac:dyDescent="0.2">
      <c r="B23" s="63"/>
      <c r="C23" s="63"/>
      <c r="D23" s="63"/>
      <c r="E23" s="63"/>
      <c r="F23" s="63"/>
      <c r="G23" s="63"/>
      <c r="H23" s="63"/>
      <c r="I23" s="63"/>
      <c r="J23" s="63"/>
      <c r="K23" s="63"/>
      <c r="L23" s="45"/>
      <c r="M23" s="45"/>
      <c r="N23" s="45"/>
      <c r="O23" s="45"/>
      <c r="Q23" s="37"/>
    </row>
    <row r="24" spans="2:17" ht="13.2" x14ac:dyDescent="0.2">
      <c r="B24" s="64" t="s">
        <v>130</v>
      </c>
      <c r="C24" s="64" t="s">
        <v>132</v>
      </c>
      <c r="D24" s="64" t="s">
        <v>135</v>
      </c>
      <c r="E24" s="64" t="s">
        <v>136</v>
      </c>
      <c r="F24" s="64" t="s">
        <v>138</v>
      </c>
      <c r="G24" s="64" t="s">
        <v>140</v>
      </c>
      <c r="H24" s="64" t="s">
        <v>142</v>
      </c>
      <c r="I24" s="64" t="s">
        <v>144</v>
      </c>
      <c r="J24" s="64" t="s">
        <v>146</v>
      </c>
      <c r="K24" s="64" t="s">
        <v>148</v>
      </c>
      <c r="L24" s="18" t="s">
        <v>97</v>
      </c>
      <c r="M24" s="18" t="s">
        <v>100</v>
      </c>
      <c r="N24" s="18" t="s">
        <v>101</v>
      </c>
      <c r="O24" s="18" t="s">
        <v>102</v>
      </c>
      <c r="Q24" s="37"/>
    </row>
    <row r="25" spans="2:17" ht="13.8" thickBot="1" x14ac:dyDescent="0.25">
      <c r="B25" s="65" t="s">
        <v>76</v>
      </c>
      <c r="C25" s="65" t="s">
        <v>77</v>
      </c>
      <c r="D25" s="65" t="s">
        <v>78</v>
      </c>
      <c r="E25" s="65" t="s">
        <v>49</v>
      </c>
      <c r="F25" s="65" t="s">
        <v>79</v>
      </c>
      <c r="G25" s="65" t="s">
        <v>42</v>
      </c>
      <c r="H25" s="65" t="s">
        <v>80</v>
      </c>
      <c r="I25" s="65" t="s">
        <v>81</v>
      </c>
      <c r="J25" s="65" t="s">
        <v>82</v>
      </c>
      <c r="K25" s="65" t="s">
        <v>57</v>
      </c>
      <c r="L25" s="46" t="s">
        <v>83</v>
      </c>
      <c r="M25" s="46" t="s">
        <v>58</v>
      </c>
      <c r="N25" s="46" t="s">
        <v>84</v>
      </c>
      <c r="O25" s="46" t="s">
        <v>85</v>
      </c>
      <c r="P25" s="5"/>
      <c r="Q25" s="39"/>
    </row>
    <row r="26" spans="2:17" ht="13.2" x14ac:dyDescent="0.25">
      <c r="B26" s="66" t="s">
        <v>44</v>
      </c>
      <c r="C26" s="66" t="s">
        <v>86</v>
      </c>
      <c r="D26" s="66" t="s">
        <v>87</v>
      </c>
      <c r="E26" s="66" t="s">
        <v>88</v>
      </c>
      <c r="F26" s="66" t="s">
        <v>89</v>
      </c>
      <c r="G26" s="66" t="s">
        <v>46</v>
      </c>
      <c r="H26" s="66" t="s">
        <v>90</v>
      </c>
      <c r="I26" s="66" t="s">
        <v>91</v>
      </c>
      <c r="J26" s="66" t="s">
        <v>92</v>
      </c>
      <c r="K26" s="66" t="s">
        <v>93</v>
      </c>
      <c r="L26" s="47" t="s">
        <v>94</v>
      </c>
      <c r="M26" s="47" t="s">
        <v>59</v>
      </c>
      <c r="N26" s="47" t="s">
        <v>95</v>
      </c>
      <c r="O26" s="47" t="s">
        <v>96</v>
      </c>
      <c r="Q26" s="36"/>
    </row>
    <row r="27" spans="2:17" ht="13.2" x14ac:dyDescent="0.25">
      <c r="B27" s="67" t="s">
        <v>131</v>
      </c>
      <c r="C27" s="67" t="s">
        <v>133</v>
      </c>
      <c r="D27" s="67" t="s">
        <v>134</v>
      </c>
      <c r="E27" s="67" t="s">
        <v>137</v>
      </c>
      <c r="F27" s="67" t="s">
        <v>139</v>
      </c>
      <c r="G27" s="67" t="s">
        <v>141</v>
      </c>
      <c r="H27" s="67" t="s">
        <v>143</v>
      </c>
      <c r="I27" s="67" t="s">
        <v>145</v>
      </c>
      <c r="J27" s="67" t="s">
        <v>147</v>
      </c>
      <c r="K27" s="67" t="s">
        <v>149</v>
      </c>
      <c r="L27" s="17" t="s">
        <v>98</v>
      </c>
      <c r="M27" s="17" t="s">
        <v>99</v>
      </c>
      <c r="N27" s="17" t="s">
        <v>103</v>
      </c>
      <c r="O27" s="17" t="s">
        <v>104</v>
      </c>
      <c r="Q27" s="37"/>
    </row>
    <row r="28" spans="2:17" ht="6.9" customHeight="1" x14ac:dyDescent="0.2">
      <c r="B28" s="63"/>
      <c r="C28" s="63"/>
      <c r="D28" s="63"/>
      <c r="E28" s="63"/>
      <c r="F28" s="63"/>
      <c r="G28" s="63"/>
      <c r="H28" s="63"/>
      <c r="I28" s="63"/>
      <c r="J28" s="63"/>
      <c r="K28" s="63"/>
      <c r="L28" s="45"/>
      <c r="M28" s="45"/>
      <c r="N28" s="45"/>
      <c r="O28" s="45"/>
      <c r="Q28" s="37"/>
    </row>
    <row r="29" spans="2:17" ht="14.4" x14ac:dyDescent="0.25">
      <c r="B29" s="62" t="str">
        <f>IF(B31="","",INDEX(ZoneConfigurationTable!$K$12:$K$75,MATCH(27,ZoneConfigurationTable!$M$12:$M$75,0))&amp;"")</f>
        <v/>
      </c>
      <c r="C29" s="62" t="str">
        <f>IF(C31="","",INDEX(ZoneConfigurationTable!$K$12:$K$75,MATCH(36,ZoneConfigurationTable!$M$12:$M$75,0))&amp;"")</f>
        <v/>
      </c>
      <c r="D29" s="62" t="str">
        <f>IF(D31="","",INDEX(ZoneConfigurationTable!$K$12:$K$75,MATCH(17,ZoneConfigurationTable!$M$12:$M$75,0))&amp;"")</f>
        <v/>
      </c>
      <c r="E29" s="62" t="str">
        <f>IF(E31="","",INDEX(ZoneConfigurationTable!$K$12:$K$75,MATCH(19,ZoneConfigurationTable!$M$12:$M$75,0))&amp;"")</f>
        <v/>
      </c>
      <c r="F29" s="62" t="str">
        <f>IF(F31="","",INDEX(ZoneConfigurationTable!$K$12:$K$75,MATCH(37,ZoneConfigurationTable!$M$12:$M$75,0))&amp;"")</f>
        <v/>
      </c>
      <c r="G29" s="62" t="str">
        <f>IF(G31="","",INDEX(ZoneConfigurationTable!$K$12:$K$75,MATCH(28,ZoneConfigurationTable!$M$12:$M$75,0))&amp;"")</f>
        <v/>
      </c>
      <c r="H29" s="62" t="str">
        <f>IF(H31="","",INDEX(ZoneConfigurationTable!$K$12:$K$75,MATCH(39,ZoneConfigurationTable!$M$12:$M$75,0))&amp;"")</f>
        <v/>
      </c>
      <c r="I29" s="62" t="str">
        <f>IF(I31="","",INDEX(ZoneConfigurationTable!$K$12:$K$75,MATCH(23,ZoneConfigurationTable!$M$12:$M$75,0))&amp;"")</f>
        <v/>
      </c>
      <c r="J29" s="62" t="str">
        <f>IF(J31="","",INDEX(ZoneConfigurationTable!$K$12:$K$75,MATCH(25,ZoneConfigurationTable!$M$12:$M$75,0))&amp;"")</f>
        <v/>
      </c>
      <c r="K29" s="62" t="str">
        <f>IF(K31="","",INDEX(ZoneConfigurationTable!$K$12:$K$75,MATCH(40,ZoneConfigurationTable!$M$12:$M$75,0))&amp;"")</f>
        <v/>
      </c>
      <c r="L29" s="44"/>
      <c r="M29" s="44"/>
      <c r="N29" s="44"/>
      <c r="O29" s="44"/>
      <c r="Q29" s="38" t="s">
        <v>250</v>
      </c>
    </row>
    <row r="30" spans="2:17" ht="14.4" x14ac:dyDescent="0.2">
      <c r="B30" s="62" t="str">
        <f>IF(B31="","",INDEX(ZoneConfigurationTable!$L$12:$L$75,MATCH(27,ZoneConfigurationTable!$M$12:$M$75,0))&amp;"")</f>
        <v/>
      </c>
      <c r="C30" s="62" t="str">
        <f>IF(C31="","",INDEX(ZoneConfigurationTable!$L$12:$L$75,MATCH(36,ZoneConfigurationTable!$M$12:$M$75,0))&amp;"")</f>
        <v/>
      </c>
      <c r="D30" s="62" t="str">
        <f>IF(D31="","",INDEX(ZoneConfigurationTable!$L$12:$L$75,MATCH(17,ZoneConfigurationTable!$M$12:$M$75,0))&amp;"")</f>
        <v/>
      </c>
      <c r="E30" s="62" t="str">
        <f>IF(E31="","",INDEX(ZoneConfigurationTable!$L$12:$L$75,MATCH(19,ZoneConfigurationTable!$M$12:$M$75,0))&amp;"")</f>
        <v/>
      </c>
      <c r="F30" s="62" t="str">
        <f>IF(F31="","",INDEX(ZoneConfigurationTable!$L$12:$L$75,MATCH(37,ZoneConfigurationTable!$M$12:$M$75,0))&amp;"")</f>
        <v/>
      </c>
      <c r="G30" s="62" t="str">
        <f>IF(G31="","",INDEX(ZoneConfigurationTable!$L$12:$L$75,MATCH(28,ZoneConfigurationTable!$M$12:$M$75,0))&amp;"")</f>
        <v/>
      </c>
      <c r="H30" s="62" t="str">
        <f>IF(H31="","",INDEX(ZoneConfigurationTable!$L$12:$L$75,MATCH(39,ZoneConfigurationTable!$M$12:$M$75,0))&amp;"")</f>
        <v/>
      </c>
      <c r="I30" s="62" t="str">
        <f>IF(I31="","",INDEX(ZoneConfigurationTable!$L$12:$L$75,MATCH(23,ZoneConfigurationTable!$M$12:$M$75,0))&amp;"")</f>
        <v/>
      </c>
      <c r="J30" s="62" t="str">
        <f>IF(J31="","",INDEX(ZoneConfigurationTable!$L$12:$L$75,MATCH(25,ZoneConfigurationTable!$M$12:$M$75,0))&amp;"")</f>
        <v/>
      </c>
      <c r="K30" s="62" t="str">
        <f>IF(K31="","",INDEX(ZoneConfigurationTable!$L$12:$L$75,MATCH(40,ZoneConfigurationTable!$M$12:$M$75,0))&amp;"")</f>
        <v/>
      </c>
      <c r="L30" s="68"/>
      <c r="M30" s="68"/>
      <c r="N30" s="68"/>
      <c r="O30" s="68"/>
      <c r="Q30" s="38" t="s">
        <v>251</v>
      </c>
    </row>
    <row r="31" spans="2:17" s="7" customFormat="1" ht="28.2" thickBot="1" x14ac:dyDescent="0.5">
      <c r="B31" s="72" t="str">
        <f>IF(INDEX(ZoneConfigurationTable!$G$12:$G$75,MATCH(27,ZoneConfigurationTable!$M$12:$M$75,0))="","",INDEX(ZoneConfigurationTable!$G$12:$G$75,MATCH(27,ZoneConfigurationTable!$M$12:$M$75,0)))</f>
        <v/>
      </c>
      <c r="C31" s="72" t="str">
        <f>IF(INDEX(ZoneConfigurationTable!$G$12:$G$75,MATCH(36,ZoneConfigurationTable!$M$12:$M$75,0))="","",INDEX(ZoneConfigurationTable!$G$12:$G$75,MATCH(36,ZoneConfigurationTable!$M$12:$M$75,0)))</f>
        <v/>
      </c>
      <c r="D31" s="72" t="str">
        <f>IF(INDEX(ZoneConfigurationTable!$G$12:$G$75,MATCH(17,ZoneConfigurationTable!$M$12:$M$75,0))="","",INDEX(ZoneConfigurationTable!$G$12:$G$75,MATCH(17,ZoneConfigurationTable!$M$12:$M$75,0)))</f>
        <v/>
      </c>
      <c r="E31" s="72" t="str">
        <f>IF(INDEX(ZoneConfigurationTable!$G$12:$G$75,MATCH(19,ZoneConfigurationTable!$M$12:$M$75,0))="","",INDEX(ZoneConfigurationTable!$G$12:$G$75,MATCH(19,ZoneConfigurationTable!$M$12:$M$75,0)))</f>
        <v/>
      </c>
      <c r="F31" s="72" t="str">
        <f>IF(INDEX(ZoneConfigurationTable!$G$12:$G$75,MATCH(37,ZoneConfigurationTable!$M$12:$M$75,0))="","",INDEX(ZoneConfigurationTable!$G$12:$G$75,MATCH(37,ZoneConfigurationTable!$M$12:$M$75,0)))</f>
        <v/>
      </c>
      <c r="G31" s="72" t="str">
        <f>IF(INDEX(ZoneConfigurationTable!$G$12:$G$75,MATCH(28,ZoneConfigurationTable!$M$12:$M$75,0))="","",INDEX(ZoneConfigurationTable!$G$12:$G$75,MATCH(28,ZoneConfigurationTable!$M$12:$M$75,0)))</f>
        <v/>
      </c>
      <c r="H31" s="72" t="str">
        <f>IF(INDEX(ZoneConfigurationTable!$G$12:$G$75,MATCH(39,ZoneConfigurationTable!$M$12:$M$75,0))="","",INDEX(ZoneConfigurationTable!$G$12:$G$75,MATCH(39,ZoneConfigurationTable!$M$12:$M$75,0)))</f>
        <v/>
      </c>
      <c r="I31" s="72" t="str">
        <f>IF(INDEX(ZoneConfigurationTable!$G$12:$G$75,MATCH(23,ZoneConfigurationTable!$M$12:$M$75,0))="","",INDEX(ZoneConfigurationTable!$G$12:$G$75,MATCH(23,ZoneConfigurationTable!$M$12:$M$75,0)))</f>
        <v/>
      </c>
      <c r="J31" s="72" t="str">
        <f>IF(INDEX(ZoneConfigurationTable!$G$12:$G$75,MATCH(25,ZoneConfigurationTable!$M$12:$M$75,0))="","",INDEX(ZoneConfigurationTable!$G$12:$G$75,MATCH(25,ZoneConfigurationTable!$M$12:$M$75,0)))</f>
        <v/>
      </c>
      <c r="K31" s="72" t="str">
        <f>IF(INDEX(ZoneConfigurationTable!$G$12:$G$75,MATCH(40,ZoneConfigurationTable!$M$12:$M$75,0))="","",INDEX(ZoneConfigurationTable!$G$12:$G$75,MATCH(40,ZoneConfigurationTable!$M$12:$M$75,0)))</f>
        <v/>
      </c>
      <c r="L31" s="74"/>
      <c r="M31" s="74"/>
      <c r="N31" s="74"/>
      <c r="O31" s="74"/>
      <c r="P31" s="6"/>
      <c r="Q31" s="39" t="s">
        <v>257</v>
      </c>
    </row>
    <row r="33" spans="2:11" ht="13.2" hidden="1" x14ac:dyDescent="0.2">
      <c r="B33" s="18" t="s">
        <v>110</v>
      </c>
      <c r="C33" s="18" t="s">
        <v>111</v>
      </c>
      <c r="D33" s="18" t="s">
        <v>112</v>
      </c>
      <c r="E33" s="18" t="s">
        <v>113</v>
      </c>
      <c r="F33" s="18" t="s">
        <v>114</v>
      </c>
      <c r="G33" s="18" t="s">
        <v>115</v>
      </c>
      <c r="H33" s="18" t="s">
        <v>116</v>
      </c>
      <c r="I33" s="18" t="s">
        <v>117</v>
      </c>
      <c r="J33" s="18" t="s">
        <v>118</v>
      </c>
      <c r="K33" s="18" t="s">
        <v>119</v>
      </c>
    </row>
    <row r="34" spans="2:11" ht="13.2" hidden="1" x14ac:dyDescent="0.25">
      <c r="B34" s="17" t="s">
        <v>120</v>
      </c>
      <c r="C34" s="17" t="s">
        <v>121</v>
      </c>
      <c r="D34" s="17" t="s">
        <v>122</v>
      </c>
      <c r="E34" s="17" t="s">
        <v>123</v>
      </c>
      <c r="F34" s="17" t="s">
        <v>124</v>
      </c>
      <c r="G34" s="17" t="s">
        <v>125</v>
      </c>
      <c r="H34" s="17" t="s">
        <v>126</v>
      </c>
      <c r="I34" s="17" t="s">
        <v>127</v>
      </c>
      <c r="J34" s="17" t="s">
        <v>128</v>
      </c>
      <c r="K34" s="17" t="s">
        <v>129</v>
      </c>
    </row>
    <row r="35" spans="2:11" hidden="1" x14ac:dyDescent="0.2"/>
    <row r="36" spans="2:11" ht="13.2" hidden="1" x14ac:dyDescent="0.2">
      <c r="B36" s="18" t="s">
        <v>150</v>
      </c>
      <c r="C36" s="18" t="s">
        <v>152</v>
      </c>
      <c r="D36" s="18" t="s">
        <v>154</v>
      </c>
      <c r="E36" s="18" t="s">
        <v>156</v>
      </c>
      <c r="F36" s="18" t="s">
        <v>159</v>
      </c>
      <c r="G36" s="18" t="s">
        <v>160</v>
      </c>
      <c r="H36" s="18" t="s">
        <v>163</v>
      </c>
      <c r="I36" s="18" t="s">
        <v>164</v>
      </c>
      <c r="J36" s="18" t="s">
        <v>166</v>
      </c>
      <c r="K36" s="18" t="s">
        <v>168</v>
      </c>
    </row>
    <row r="37" spans="2:11" ht="13.2" hidden="1" x14ac:dyDescent="0.25">
      <c r="B37" s="17" t="s">
        <v>151</v>
      </c>
      <c r="C37" s="17" t="s">
        <v>153</v>
      </c>
      <c r="D37" s="17" t="s">
        <v>155</v>
      </c>
      <c r="E37" s="17" t="s">
        <v>157</v>
      </c>
      <c r="F37" s="17" t="s">
        <v>158</v>
      </c>
      <c r="G37" s="17" t="s">
        <v>161</v>
      </c>
      <c r="H37" s="17" t="s">
        <v>162</v>
      </c>
      <c r="I37" s="17" t="s">
        <v>165</v>
      </c>
      <c r="J37" s="17" t="s">
        <v>167</v>
      </c>
      <c r="K37" s="17" t="s">
        <v>169</v>
      </c>
    </row>
    <row r="38" spans="2:11" hidden="1" x14ac:dyDescent="0.2"/>
    <row r="39" spans="2:11" ht="13.2" hidden="1" x14ac:dyDescent="0.2">
      <c r="B39" s="18" t="s">
        <v>170</v>
      </c>
      <c r="C39" s="18" t="s">
        <v>172</v>
      </c>
      <c r="D39" s="18" t="s">
        <v>174</v>
      </c>
      <c r="E39" s="18" t="s">
        <v>176</v>
      </c>
      <c r="F39" s="18" t="s">
        <v>179</v>
      </c>
      <c r="G39" s="18" t="s">
        <v>180</v>
      </c>
      <c r="H39" s="18" t="s">
        <v>182</v>
      </c>
      <c r="I39" s="18" t="s">
        <v>184</v>
      </c>
      <c r="J39" s="18" t="s">
        <v>186</v>
      </c>
      <c r="K39" s="18" t="s">
        <v>188</v>
      </c>
    </row>
    <row r="40" spans="2:11" ht="13.2" hidden="1" x14ac:dyDescent="0.25">
      <c r="B40" s="17" t="s">
        <v>171</v>
      </c>
      <c r="C40" s="17" t="s">
        <v>173</v>
      </c>
      <c r="D40" s="17" t="s">
        <v>175</v>
      </c>
      <c r="E40" s="17" t="s">
        <v>177</v>
      </c>
      <c r="F40" s="17" t="s">
        <v>178</v>
      </c>
      <c r="G40" s="17" t="s">
        <v>181</v>
      </c>
      <c r="H40" s="17" t="s">
        <v>183</v>
      </c>
      <c r="I40" s="17" t="s">
        <v>185</v>
      </c>
      <c r="J40" s="17" t="s">
        <v>187</v>
      </c>
      <c r="K40" s="17" t="s">
        <v>189</v>
      </c>
    </row>
    <row r="41" spans="2:11" hidden="1" x14ac:dyDescent="0.2"/>
    <row r="42" spans="2:11" ht="13.2" hidden="1" x14ac:dyDescent="0.2">
      <c r="B42" s="18" t="s">
        <v>130</v>
      </c>
      <c r="C42" s="18" t="s">
        <v>132</v>
      </c>
      <c r="D42" s="18" t="s">
        <v>135</v>
      </c>
      <c r="E42" s="18" t="s">
        <v>136</v>
      </c>
      <c r="F42" s="18" t="s">
        <v>138</v>
      </c>
      <c r="G42" s="18" t="s">
        <v>140</v>
      </c>
      <c r="H42" s="18" t="s">
        <v>142</v>
      </c>
      <c r="I42" s="18" t="s">
        <v>144</v>
      </c>
      <c r="J42" s="18" t="s">
        <v>146</v>
      </c>
      <c r="K42" s="18" t="s">
        <v>148</v>
      </c>
    </row>
    <row r="43" spans="2:11" ht="13.2" hidden="1" x14ac:dyDescent="0.25">
      <c r="B43" s="17" t="s">
        <v>131</v>
      </c>
      <c r="C43" s="17" t="s">
        <v>133</v>
      </c>
      <c r="D43" s="17" t="s">
        <v>134</v>
      </c>
      <c r="E43" s="17" t="s">
        <v>137</v>
      </c>
      <c r="F43" s="17" t="s">
        <v>139</v>
      </c>
      <c r="G43" s="17" t="s">
        <v>141</v>
      </c>
      <c r="H43" s="17" t="s">
        <v>143</v>
      </c>
      <c r="I43" s="17" t="s">
        <v>145</v>
      </c>
      <c r="J43" s="17" t="s">
        <v>147</v>
      </c>
      <c r="K43" s="17" t="s">
        <v>149</v>
      </c>
    </row>
  </sheetData>
  <sheetProtection sheet="1" sort="0" autoFilter="0"/>
  <customSheetViews>
    <customSheetView guid="{47EDE86C-1ACF-4726-853F-87433783037A}" hiddenRows="1">
      <selection activeCell="G49" sqref="G49"/>
      <pageMargins left="0.7" right="0.7" top="0.75" bottom="0.75" header="0.3" footer="0.3"/>
      <pageSetup orientation="portrait" r:id="rId1"/>
    </customSheetView>
  </customSheetViews>
  <mergeCells count="2">
    <mergeCell ref="B1:O1"/>
    <mergeCell ref="L4:M4"/>
  </mergeCells>
  <dataValidations count="3">
    <dataValidation type="list" allowBlank="1" showInputMessage="1" showErrorMessage="1" sqref="B4:K4 B19:K19" xr:uid="{00000000-0002-0000-0100-000000000000}">
      <formula1>$S$3:$S$8</formula1>
    </dataValidation>
    <dataValidation type="list" allowBlank="1" showInputMessage="1" showErrorMessage="1" sqref="N16:O16 L20:O20 L31:O31 L5:O5" xr:uid="{00000000-0002-0000-0100-000001000000}">
      <formula1>$V$4:$V$5</formula1>
    </dataValidation>
    <dataValidation type="list" allowBlank="1" showInputMessage="1" showErrorMessage="1" sqref="N19:O19" xr:uid="{00000000-0002-0000-0100-000002000000}">
      <formula1>$W$4:$W$6</formula1>
    </dataValidation>
  </dataValidation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copyInputFileToClipboard">
                <anchor moveWithCells="1">
                  <from>
                    <xdr:col>4</xdr:col>
                    <xdr:colOff>388620</xdr:colOff>
                    <xdr:row>0</xdr:row>
                    <xdr:rowOff>518160</xdr:rowOff>
                  </from>
                  <to>
                    <xdr:col>10</xdr:col>
                    <xdr:colOff>365760</xdr:colOff>
                    <xdr:row>0</xdr:row>
                    <xdr:rowOff>1013460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85DF8AB89DB942863BEDADBDBA240A" ma:contentTypeVersion="7" ma:contentTypeDescription="Create a new document." ma:contentTypeScope="" ma:versionID="a0d5ffcfe9498daf60b444055c54fe23">
  <xsd:schema xmlns:xsd="http://www.w3.org/2001/XMLSchema" xmlns:xs="http://www.w3.org/2001/XMLSchema" xmlns:p="http://schemas.microsoft.com/office/2006/metadata/properties" xmlns:ns2="4dbe33ca-922e-46d7-bc3b-7e298af18fae" xmlns:ns3="6ec60af1-6d1e-4575-bf73-1b6e791fcd10" targetNamespace="http://schemas.microsoft.com/office/2006/metadata/properties" ma:root="true" ma:fieldsID="16db7982cdd561619afe6d43727df762" ns2:_="" ns3:_="">
    <xsd:import namespace="4dbe33ca-922e-46d7-bc3b-7e298af18fae"/>
    <xsd:import namespace="6ec60af1-6d1e-4575-bf73-1b6e791fcd10"/>
    <xsd:element name="properties">
      <xsd:complexType>
        <xsd:sequence>
          <xsd:element name="documentManagement">
            <xsd:complexType>
              <xsd:all>
                <xsd:element ref="ns2:Manua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e33ca-922e-46d7-bc3b-7e298af18fae" elementFormDefault="qualified">
    <xsd:import namespace="http://schemas.microsoft.com/office/2006/documentManagement/types"/>
    <xsd:import namespace="http://schemas.microsoft.com/office/infopath/2007/PartnerControls"/>
    <xsd:element name="Manual" ma:index="4" nillable="true" ma:displayName="Manual" ma:description="Identify the manual name for those documents that are part of a larger document." ma:internalName="Manua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ma:index="5"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nual xmlns="4dbe33ca-922e-46d7-bc3b-7e298af18fae" xsi:nil="true"/>
  </documentManagement>
</p:properties>
</file>

<file path=customXml/itemProps1.xml><?xml version="1.0" encoding="utf-8"?>
<ds:datastoreItem xmlns:ds="http://schemas.openxmlformats.org/officeDocument/2006/customXml" ds:itemID="{9CACDF5E-9343-4909-87D4-4295CD7AB58C}"/>
</file>

<file path=customXml/itemProps2.xml><?xml version="1.0" encoding="utf-8"?>
<ds:datastoreItem xmlns:ds="http://schemas.openxmlformats.org/officeDocument/2006/customXml" ds:itemID="{8A68DF19-0410-4D5B-8D4C-70A09E4CCF56}"/>
</file>

<file path=customXml/itemProps3.xml><?xml version="1.0" encoding="utf-8"?>
<ds:datastoreItem xmlns:ds="http://schemas.openxmlformats.org/officeDocument/2006/customXml" ds:itemID="{74F78C98-9EF9-490F-8ACE-69EF7E7D05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ZoneConfigurationTable</vt:lpstr>
      <vt:lpstr>332S Input File</vt:lpstr>
      <vt:lpstr>ZoneConfigurationTable!Print_Area</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Katryn L * Katie</dc:creator>
  <cp:lastModifiedBy>MCCREA Sarah A</cp:lastModifiedBy>
  <cp:lastPrinted>2019-10-10T18:26:11Z</cp:lastPrinted>
  <dcterms:created xsi:type="dcterms:W3CDTF">2019-08-07T20:34:22Z</dcterms:created>
  <dcterms:modified xsi:type="dcterms:W3CDTF">2023-06-01T20:37:54Z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0x010100E185DF8AB89DB942863BEDADBDBA240A</vt:lpwstr>
  </property>
</Properties>
</file>