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5" windowWidth="12480" windowHeight="11640" tabRatio="856"/>
  </bookViews>
  <sheets>
    <sheet name="Notes" sheetId="16" r:id="rId1"/>
    <sheet name="Input" sheetId="12" r:id="rId2"/>
    <sheet name="Singlelane" sheetId="6" r:id="rId3"/>
    <sheet name="Bypasslane" sheetId="1" r:id="rId4"/>
    <sheet name="2ndBypasslane" sheetId="10" r:id="rId5"/>
    <sheet name="3rdBypasslane" sheetId="13" r:id="rId6"/>
    <sheet name="4thBypasslane" sheetId="14" r:id="rId7"/>
    <sheet name="VersionLog" sheetId="15" r:id="rId8"/>
  </sheets>
  <externalReferences>
    <externalReference r:id="rId9"/>
  </externalReferences>
  <definedNames>
    <definedName name="PicEast" localSheetId="0">Notes!$C$88:$E$97</definedName>
    <definedName name="PicEast">#REF!</definedName>
    <definedName name="PicNorth" localSheetId="0">Notes!$C$60:$E$69</definedName>
    <definedName name="PicNorth">#REF!</definedName>
    <definedName name="PicSouth" localSheetId="0">Notes!$C$74:$E$83</definedName>
    <definedName name="PicSouth">#REF!</definedName>
    <definedName name="PicWest" localSheetId="0">Notes!$C$101:$E$110</definedName>
    <definedName name="PicWest">#REF!</definedName>
    <definedName name="_xlnm.Print_Area" localSheetId="4">'2ndBypasslane'!$A$1:$J$56,'2ndBypasslane'!$K$1:$Z$53</definedName>
    <definedName name="_xlnm.Print_Area" localSheetId="5">'3rdBypasslane'!$A$1:$J$57,'3rdBypasslane'!$K$1:$Z$53</definedName>
    <definedName name="_xlnm.Print_Area" localSheetId="6">'4thBypasslane'!$A$1:$J$59,'4thBypasslane'!$K$1:$Z$53</definedName>
    <definedName name="_xlnm.Print_Area" localSheetId="3">Bypasslane!$A$1:$J$54,Bypasslane!$K$1:$Z$53</definedName>
    <definedName name="_xlnm.Print_Area" localSheetId="1">Input!$A$1:$U$54</definedName>
    <definedName name="_xlnm.Print_Area" localSheetId="0">Notes!$A$1:$L$52,Notes!$N$1:$V$52</definedName>
    <definedName name="_xlnm.Print_Area" localSheetId="2">Singlelane!$A$1:$P$54</definedName>
    <definedName name="ShowMyPic" localSheetId="4">INDIRECT("Pic"&amp;'2ndBypasslane'!$E$14)</definedName>
    <definedName name="ShowMyPic" localSheetId="5">INDIRECT("Pic"&amp;'3rdBypasslane'!$E$17)</definedName>
    <definedName name="ShowMyPic" localSheetId="6">INDIRECT("Pic"&amp;'4thBypasslane'!$E$20)</definedName>
    <definedName name="ShowMyPic" localSheetId="0">INDIRECT("Pic"&amp;[1]Bypasslane!$E$13)</definedName>
    <definedName name="ShowMyPic">INDIRECT("Pic"&amp;Bypasslane!$E$13)</definedName>
    <definedName name="South" localSheetId="4">INDIRECT("Pic"&amp;'2ndBypasslane'!$E$14)</definedName>
    <definedName name="South" localSheetId="5">INDIRECT("Pic"&amp;'3rdBypasslane'!$E$17)</definedName>
    <definedName name="South" localSheetId="6">INDIRECT("Pic"&amp;'4thBypasslane'!$E$20)</definedName>
    <definedName name="South" localSheetId="0">INDIRECT("Pic"&amp;[1]Bypasslane!$E$13)</definedName>
    <definedName name="South">INDIRECT("Pic"&amp;Bypasslane!$E$13)</definedName>
  </definedNames>
  <calcPr calcId="145621"/>
</workbook>
</file>

<file path=xl/calcChain.xml><?xml version="1.0" encoding="utf-8"?>
<calcChain xmlns="http://schemas.openxmlformats.org/spreadsheetml/2006/main">
  <c r="Z19" i="14" l="1"/>
  <c r="Z17" i="14"/>
  <c r="Z16" i="14"/>
  <c r="Y19" i="14"/>
  <c r="Y18" i="14"/>
  <c r="Y16" i="14"/>
  <c r="X19" i="14"/>
  <c r="X18" i="14"/>
  <c r="X17" i="14"/>
  <c r="W18" i="14"/>
  <c r="W17" i="14"/>
  <c r="W16" i="14"/>
  <c r="Z19" i="13"/>
  <c r="Z17" i="13"/>
  <c r="Z16" i="13"/>
  <c r="Y19" i="13"/>
  <c r="Y18" i="13"/>
  <c r="Y16" i="13"/>
  <c r="X19" i="13"/>
  <c r="X18" i="13"/>
  <c r="X17" i="13"/>
  <c r="W18" i="13"/>
  <c r="W17" i="13"/>
  <c r="W16" i="13"/>
  <c r="F47" i="6"/>
  <c r="E47" i="6"/>
  <c r="D47" i="6"/>
  <c r="C47" i="6"/>
  <c r="Z19" i="10"/>
  <c r="Z17" i="10"/>
  <c r="Z16" i="10"/>
  <c r="Y19" i="10"/>
  <c r="Y18" i="10"/>
  <c r="Y16" i="10"/>
  <c r="X19" i="10"/>
  <c r="X18" i="10"/>
  <c r="X17" i="10"/>
  <c r="W18" i="10"/>
  <c r="W17" i="10"/>
  <c r="W16" i="10"/>
  <c r="Z19" i="1"/>
  <c r="Z17" i="1"/>
  <c r="Z16" i="1"/>
  <c r="Y19" i="1"/>
  <c r="Y18" i="1"/>
  <c r="Y16" i="1"/>
  <c r="X19" i="1"/>
  <c r="X18" i="1"/>
  <c r="X17" i="1"/>
  <c r="W18" i="1"/>
  <c r="W17" i="1"/>
  <c r="W16" i="1"/>
  <c r="P19" i="6" l="1"/>
  <c r="P18" i="6"/>
  <c r="P17" i="6"/>
  <c r="P16" i="6"/>
  <c r="O19" i="6"/>
  <c r="O18" i="6"/>
  <c r="O17" i="6"/>
  <c r="O16" i="6"/>
  <c r="N19" i="6"/>
  <c r="N18" i="6"/>
  <c r="N17" i="6"/>
  <c r="N16" i="6"/>
  <c r="M19" i="6"/>
  <c r="M18" i="6"/>
  <c r="M17" i="6"/>
  <c r="M16" i="6"/>
  <c r="AD24" i="12" l="1"/>
  <c r="C19" i="6"/>
  <c r="C18" i="6"/>
  <c r="C17" i="6"/>
  <c r="C16" i="6"/>
  <c r="F19" i="6"/>
  <c r="F18" i="6"/>
  <c r="F17" i="6"/>
  <c r="F16" i="6"/>
  <c r="E16" i="6"/>
  <c r="E19" i="6"/>
  <c r="E18" i="6"/>
  <c r="E17" i="6"/>
  <c r="D19" i="6"/>
  <c r="D18" i="6"/>
  <c r="D17" i="6"/>
  <c r="D16" i="6"/>
  <c r="P18" i="13" l="1"/>
  <c r="P18" i="14" s="1"/>
  <c r="O17" i="14"/>
  <c r="M19" i="10"/>
  <c r="M19" i="13" s="1"/>
  <c r="M19" i="14" s="1"/>
  <c r="N16" i="1" l="1"/>
  <c r="X10" i="1" l="1"/>
  <c r="N16" i="10"/>
  <c r="N16" i="13" s="1"/>
  <c r="N16" i="14" s="1"/>
  <c r="P19" i="1"/>
  <c r="Z13" i="1" s="1"/>
  <c r="P18" i="1"/>
  <c r="P18" i="10" s="1"/>
  <c r="P17" i="1"/>
  <c r="Z11" i="1" s="1"/>
  <c r="P16" i="1"/>
  <c r="P16" i="10" s="1"/>
  <c r="P16" i="13" s="1"/>
  <c r="P16" i="14" s="1"/>
  <c r="O19" i="1"/>
  <c r="Y13" i="1" s="1"/>
  <c r="O18" i="1"/>
  <c r="O18" i="10" s="1"/>
  <c r="O18" i="13" s="1"/>
  <c r="O18" i="14" s="1"/>
  <c r="O17" i="1"/>
  <c r="Y11" i="1" s="1"/>
  <c r="O16" i="1"/>
  <c r="O16" i="10" s="1"/>
  <c r="O16" i="13" s="1"/>
  <c r="O16" i="14" s="1"/>
  <c r="N19" i="1"/>
  <c r="X13" i="1" s="1"/>
  <c r="N18" i="1"/>
  <c r="X12" i="1" s="1"/>
  <c r="N17" i="1"/>
  <c r="N17" i="10" s="1"/>
  <c r="N17" i="13" s="1"/>
  <c r="N17" i="14" s="1"/>
  <c r="M19" i="1"/>
  <c r="W13" i="1" s="1"/>
  <c r="M18" i="1"/>
  <c r="M18" i="10" s="1"/>
  <c r="M18" i="13" s="1"/>
  <c r="M18" i="14" s="1"/>
  <c r="M17" i="1"/>
  <c r="M17" i="10" s="1"/>
  <c r="M17" i="13" s="1"/>
  <c r="M17" i="14" s="1"/>
  <c r="M16" i="1"/>
  <c r="M16" i="10" s="1"/>
  <c r="M16" i="13" s="1"/>
  <c r="M16" i="14" s="1"/>
  <c r="Y12" i="1" l="1"/>
  <c r="Z10" i="1"/>
  <c r="W11" i="1"/>
  <c r="W10" i="1"/>
  <c r="W12" i="1"/>
  <c r="P17" i="10"/>
  <c r="P17" i="13" s="1"/>
  <c r="P17" i="14" s="1"/>
  <c r="P19" i="10"/>
  <c r="P19" i="13" s="1"/>
  <c r="P19" i="14" s="1"/>
  <c r="Z12" i="1"/>
  <c r="Y10" i="1"/>
  <c r="O17" i="10"/>
  <c r="O17" i="13" s="1"/>
  <c r="O19" i="10"/>
  <c r="O19" i="13" s="1"/>
  <c r="O19" i="14" s="1"/>
  <c r="N18" i="10"/>
  <c r="N18" i="13" s="1"/>
  <c r="N18" i="14" s="1"/>
  <c r="X11" i="1"/>
  <c r="N19" i="10"/>
  <c r="N19" i="13" s="1"/>
  <c r="N19" i="14" s="1"/>
  <c r="P52" i="14"/>
  <c r="O35" i="14"/>
  <c r="O29" i="14"/>
  <c r="O23" i="14"/>
  <c r="O11" i="14" l="1"/>
  <c r="O47" i="14" s="1"/>
  <c r="E9" i="14" l="1"/>
  <c r="Q53" i="14"/>
  <c r="Q6" i="14"/>
  <c r="L6" i="14"/>
  <c r="L4" i="14"/>
  <c r="L3" i="14"/>
  <c r="L2" i="14"/>
  <c r="E21" i="14"/>
  <c r="E6" i="14"/>
  <c r="E3" i="14"/>
  <c r="M51" i="13"/>
  <c r="M51" i="14" s="1"/>
  <c r="N51" i="13"/>
  <c r="O51" i="13"/>
  <c r="P46" i="1" l="1"/>
  <c r="E6" i="13" l="1"/>
  <c r="Q53" i="13"/>
  <c r="Q6" i="13"/>
  <c r="L6" i="13"/>
  <c r="L4" i="13"/>
  <c r="L3" i="13"/>
  <c r="L2" i="13"/>
  <c r="E18" i="13"/>
  <c r="E10" i="14" s="1"/>
  <c r="E3" i="13"/>
  <c r="L4" i="6" l="1"/>
  <c r="V4" i="13" l="1"/>
  <c r="V4" i="14"/>
  <c r="N2" i="6"/>
  <c r="X2" i="13" l="1"/>
  <c r="X2" i="14"/>
  <c r="C10" i="6"/>
  <c r="B5" i="6" l="1"/>
  <c r="E5" i="6"/>
  <c r="P5" i="13" l="1"/>
  <c r="P5" i="14"/>
  <c r="L5" i="13"/>
  <c r="L5" i="14"/>
  <c r="L5" i="10"/>
  <c r="L5" i="1"/>
  <c r="P5" i="10"/>
  <c r="P5" i="1"/>
  <c r="P50" i="10"/>
  <c r="O50" i="10"/>
  <c r="O50" i="13" l="1"/>
  <c r="O51" i="14" s="1"/>
  <c r="O50" i="14"/>
  <c r="P50" i="13"/>
  <c r="P51" i="14" s="1"/>
  <c r="P50" i="14"/>
  <c r="D54" i="1"/>
  <c r="Q53" i="1"/>
  <c r="Q53" i="10"/>
  <c r="G54" i="6"/>
  <c r="H54" i="12"/>
  <c r="G4" i="6" l="1"/>
  <c r="G3" i="6"/>
  <c r="G2" i="6"/>
  <c r="Q3" i="13" l="1"/>
  <c r="Q3" i="14"/>
  <c r="Q2" i="13"/>
  <c r="Q2" i="14"/>
  <c r="Q4" i="13"/>
  <c r="Q4" i="14"/>
  <c r="N7" i="6"/>
  <c r="X7" i="13" l="1"/>
  <c r="X7" i="14"/>
  <c r="M4" i="6"/>
  <c r="N4" i="6"/>
  <c r="X4" i="14" s="1"/>
  <c r="W4" i="13" l="1"/>
  <c r="W4" i="14"/>
  <c r="X4" i="10"/>
  <c r="X4" i="13"/>
  <c r="N3" i="6"/>
  <c r="X3" i="13" l="1"/>
  <c r="X3" i="14"/>
  <c r="L2" i="10"/>
  <c r="Q2" i="10"/>
  <c r="Q4" i="10"/>
  <c r="X2" i="10"/>
  <c r="L6" i="10" l="1"/>
  <c r="Q6" i="10"/>
  <c r="W4" i="10"/>
  <c r="V4" i="10"/>
  <c r="X3" i="10"/>
  <c r="L4" i="10"/>
  <c r="Q3" i="10"/>
  <c r="L3" i="10"/>
  <c r="X2" i="1" l="1"/>
  <c r="W4" i="1"/>
  <c r="V4" i="1"/>
  <c r="X3" i="1" l="1"/>
  <c r="Q4" i="1"/>
  <c r="Q3" i="1"/>
  <c r="Q2" i="1"/>
  <c r="X4" i="1"/>
  <c r="Q6" i="1"/>
  <c r="L6" i="1"/>
  <c r="L4" i="1"/>
  <c r="L3" i="1"/>
  <c r="L2" i="1"/>
  <c r="C13" i="6" l="1"/>
  <c r="C12" i="6"/>
  <c r="C11" i="6"/>
  <c r="M10" i="1"/>
  <c r="D13" i="6"/>
  <c r="N13" i="1" s="1"/>
  <c r="F37" i="6"/>
  <c r="P37" i="1" s="1"/>
  <c r="P37" i="10" s="1"/>
  <c r="P37" i="13" s="1"/>
  <c r="P37" i="14" s="1"/>
  <c r="F36" i="6"/>
  <c r="P36" i="1" s="1"/>
  <c r="P36" i="10" s="1"/>
  <c r="P36" i="13" s="1"/>
  <c r="P36" i="14" s="1"/>
  <c r="F35" i="6"/>
  <c r="P35" i="1" s="1"/>
  <c r="P35" i="10" s="1"/>
  <c r="P35" i="13" s="1"/>
  <c r="P35" i="14" s="1"/>
  <c r="F34" i="6"/>
  <c r="P34" i="1" s="1"/>
  <c r="P34" i="10" s="1"/>
  <c r="P34" i="13" s="1"/>
  <c r="P34" i="14" s="1"/>
  <c r="F31" i="6"/>
  <c r="P31" i="1" s="1"/>
  <c r="P31" i="10" s="1"/>
  <c r="P31" i="13" s="1"/>
  <c r="P31" i="14" s="1"/>
  <c r="F30" i="6"/>
  <c r="P30" i="1" s="1"/>
  <c r="P30" i="10" s="1"/>
  <c r="P30" i="13" s="1"/>
  <c r="P30" i="14" s="1"/>
  <c r="F29" i="6"/>
  <c r="P29" i="1" s="1"/>
  <c r="P29" i="10" s="1"/>
  <c r="P29" i="13" s="1"/>
  <c r="P29" i="14" s="1"/>
  <c r="F28" i="6"/>
  <c r="P28" i="1" s="1"/>
  <c r="P28" i="10" s="1"/>
  <c r="P28" i="13" s="1"/>
  <c r="P28" i="14" s="1"/>
  <c r="F25" i="6"/>
  <c r="P25" i="1" s="1"/>
  <c r="F24" i="6"/>
  <c r="P24" i="1" s="1"/>
  <c r="F23" i="6"/>
  <c r="P23" i="1" s="1"/>
  <c r="P23" i="10" s="1"/>
  <c r="P23" i="13" s="1"/>
  <c r="P23" i="14" s="1"/>
  <c r="F22" i="6"/>
  <c r="F13" i="6"/>
  <c r="P13" i="1" s="1"/>
  <c r="F12" i="6"/>
  <c r="P12" i="1" s="1"/>
  <c r="F10" i="6"/>
  <c r="P10" i="1" s="1"/>
  <c r="F8" i="10" s="1"/>
  <c r="F11" i="6"/>
  <c r="P11" i="1" s="1"/>
  <c r="F9" i="10" s="1"/>
  <c r="E37" i="6"/>
  <c r="O37" i="1" s="1"/>
  <c r="O37" i="10" s="1"/>
  <c r="O37" i="13" s="1"/>
  <c r="O37" i="14" s="1"/>
  <c r="E36" i="6"/>
  <c r="O36" i="1" s="1"/>
  <c r="O36" i="10" s="1"/>
  <c r="O36" i="13" s="1"/>
  <c r="O36" i="14" s="1"/>
  <c r="E35" i="6"/>
  <c r="O35" i="1" s="1"/>
  <c r="O35" i="10" s="1"/>
  <c r="E34" i="6"/>
  <c r="O34" i="1" s="1"/>
  <c r="O34" i="10" s="1"/>
  <c r="O34" i="13" s="1"/>
  <c r="O34" i="14" s="1"/>
  <c r="E31" i="6"/>
  <c r="O31" i="1" s="1"/>
  <c r="O31" i="10" s="1"/>
  <c r="O31" i="13" s="1"/>
  <c r="O31" i="14" s="1"/>
  <c r="E30" i="6"/>
  <c r="O30" i="1" s="1"/>
  <c r="O30" i="10" s="1"/>
  <c r="O30" i="13" s="1"/>
  <c r="O30" i="14" s="1"/>
  <c r="E29" i="6"/>
  <c r="O29" i="1" s="1"/>
  <c r="O29" i="10" s="1"/>
  <c r="E28" i="6"/>
  <c r="O28" i="1" s="1"/>
  <c r="O28" i="10" s="1"/>
  <c r="O28" i="13" s="1"/>
  <c r="O28" i="14" s="1"/>
  <c r="E25" i="6"/>
  <c r="O25" i="1" s="1"/>
  <c r="O25" i="10" s="1"/>
  <c r="O25" i="13" s="1"/>
  <c r="O25" i="14" s="1"/>
  <c r="E24" i="6"/>
  <c r="O24" i="1" s="1"/>
  <c r="O24" i="10" s="1"/>
  <c r="O24" i="13" s="1"/>
  <c r="O24" i="14" s="1"/>
  <c r="E23" i="6"/>
  <c r="O23" i="1" s="1"/>
  <c r="E22" i="6"/>
  <c r="E13" i="6"/>
  <c r="O13" i="1" s="1"/>
  <c r="E12" i="6"/>
  <c r="O12" i="1" s="1"/>
  <c r="E11" i="6"/>
  <c r="E10" i="6"/>
  <c r="O10" i="1" s="1"/>
  <c r="O23" i="10" l="1"/>
  <c r="P24" i="10"/>
  <c r="P47" i="1"/>
  <c r="O22" i="1"/>
  <c r="O29" i="13"/>
  <c r="O23" i="13"/>
  <c r="O35" i="13"/>
  <c r="P22" i="1"/>
  <c r="P22" i="10" s="1"/>
  <c r="O11" i="1"/>
  <c r="Y29" i="1" s="1"/>
  <c r="M11" i="1"/>
  <c r="M11" i="10" s="1"/>
  <c r="F10" i="10"/>
  <c r="P12" i="10"/>
  <c r="O10" i="10"/>
  <c r="E8" i="10"/>
  <c r="O12" i="10"/>
  <c r="E10" i="10"/>
  <c r="Z25" i="1"/>
  <c r="F11" i="10"/>
  <c r="N13" i="10"/>
  <c r="D11" i="10"/>
  <c r="C8" i="10"/>
  <c r="O13" i="10"/>
  <c r="E11" i="10"/>
  <c r="M12" i="1"/>
  <c r="Z36" i="1"/>
  <c r="Z31" i="1"/>
  <c r="Y25" i="1"/>
  <c r="Y31" i="1"/>
  <c r="Z24" i="1"/>
  <c r="Z18" i="1" s="1"/>
  <c r="Y37" i="1"/>
  <c r="Y36" i="1"/>
  <c r="Y28" i="1"/>
  <c r="O22" i="10"/>
  <c r="O22" i="13" s="1"/>
  <c r="O22" i="14" s="1"/>
  <c r="P11" i="10"/>
  <c r="Z29" i="1"/>
  <c r="M13" i="1"/>
  <c r="P10" i="10"/>
  <c r="Z34" i="1"/>
  <c r="Y24" i="1"/>
  <c r="Z35" i="1"/>
  <c r="Z30" i="1"/>
  <c r="P13" i="10"/>
  <c r="Z37" i="1"/>
  <c r="P25" i="10"/>
  <c r="P25" i="13" s="1"/>
  <c r="P25" i="14" s="1"/>
  <c r="Y30" i="1"/>
  <c r="Z23" i="1"/>
  <c r="Y22" i="1"/>
  <c r="Z28" i="1"/>
  <c r="M10" i="10"/>
  <c r="Y34" i="1"/>
  <c r="D37" i="6"/>
  <c r="N37" i="1" s="1"/>
  <c r="N37" i="10" s="1"/>
  <c r="N37" i="13" s="1"/>
  <c r="N37" i="14" s="1"/>
  <c r="D36" i="6"/>
  <c r="N36" i="1" s="1"/>
  <c r="N36" i="10" s="1"/>
  <c r="N36" i="13" s="1"/>
  <c r="N36" i="14" s="1"/>
  <c r="D35" i="6"/>
  <c r="N35" i="1" s="1"/>
  <c r="N35" i="10" s="1"/>
  <c r="N35" i="13" s="1"/>
  <c r="N35" i="14" s="1"/>
  <c r="D34" i="6"/>
  <c r="N34" i="1" s="1"/>
  <c r="N34" i="10" s="1"/>
  <c r="D31" i="6"/>
  <c r="N31" i="1" s="1"/>
  <c r="N31" i="10" s="1"/>
  <c r="N31" i="13" s="1"/>
  <c r="N31" i="14" s="1"/>
  <c r="D30" i="6"/>
  <c r="N30" i="1" s="1"/>
  <c r="N30" i="10" s="1"/>
  <c r="N30" i="13" s="1"/>
  <c r="N30" i="14" s="1"/>
  <c r="D29" i="6"/>
  <c r="N29" i="1" s="1"/>
  <c r="N29" i="10" s="1"/>
  <c r="N29" i="13" s="1"/>
  <c r="N29" i="14" s="1"/>
  <c r="D28" i="6"/>
  <c r="N28" i="1" s="1"/>
  <c r="N28" i="10" s="1"/>
  <c r="D25" i="6"/>
  <c r="N25" i="1" s="1"/>
  <c r="N25" i="10" s="1"/>
  <c r="N25" i="13" s="1"/>
  <c r="N25" i="14" s="1"/>
  <c r="D24" i="6"/>
  <c r="N24" i="1" s="1"/>
  <c r="N24" i="10" s="1"/>
  <c r="N24" i="13" s="1"/>
  <c r="N24" i="14" s="1"/>
  <c r="D23" i="6"/>
  <c r="N23" i="1" s="1"/>
  <c r="N23" i="10" s="1"/>
  <c r="N23" i="13" s="1"/>
  <c r="N23" i="14" s="1"/>
  <c r="D22" i="6"/>
  <c r="D12" i="6"/>
  <c r="N12" i="1" s="1"/>
  <c r="D10" i="10" s="1"/>
  <c r="D11" i="6"/>
  <c r="N11" i="1" s="1"/>
  <c r="D9" i="10" s="1"/>
  <c r="D10" i="6"/>
  <c r="P7" i="6"/>
  <c r="O7" i="6"/>
  <c r="M7" i="6"/>
  <c r="C37" i="6"/>
  <c r="M37" i="1" s="1"/>
  <c r="M37" i="10" s="1"/>
  <c r="C36" i="6"/>
  <c r="M36" i="1" s="1"/>
  <c r="M36" i="10" s="1"/>
  <c r="M36" i="13" s="1"/>
  <c r="M36" i="14" s="1"/>
  <c r="C35" i="6"/>
  <c r="M35" i="1" s="1"/>
  <c r="M35" i="10" s="1"/>
  <c r="M35" i="13" s="1"/>
  <c r="M35" i="14" s="1"/>
  <c r="C34" i="6"/>
  <c r="M34" i="1" s="1"/>
  <c r="M34" i="10" s="1"/>
  <c r="M34" i="13" s="1"/>
  <c r="M34" i="14" s="1"/>
  <c r="C31" i="6"/>
  <c r="M31" i="1" s="1"/>
  <c r="M31" i="10" s="1"/>
  <c r="C30" i="6"/>
  <c r="M30" i="1" s="1"/>
  <c r="M30" i="10" s="1"/>
  <c r="M30" i="13" s="1"/>
  <c r="M30" i="14" s="1"/>
  <c r="C29" i="6"/>
  <c r="M29" i="1" s="1"/>
  <c r="M29" i="10" s="1"/>
  <c r="M29" i="13" s="1"/>
  <c r="M29" i="14" s="1"/>
  <c r="C28" i="6"/>
  <c r="M28" i="1" s="1"/>
  <c r="M28" i="10" s="1"/>
  <c r="M28" i="13" s="1"/>
  <c r="M28" i="14" s="1"/>
  <c r="C25" i="6"/>
  <c r="M25" i="1" s="1"/>
  <c r="C24" i="6"/>
  <c r="M24" i="1" s="1"/>
  <c r="M24" i="10" s="1"/>
  <c r="M24" i="13" s="1"/>
  <c r="M24" i="14" s="1"/>
  <c r="C23" i="6"/>
  <c r="M23" i="1" s="1"/>
  <c r="C22" i="6"/>
  <c r="P47" i="10" l="1"/>
  <c r="O47" i="1"/>
  <c r="M25" i="10"/>
  <c r="M47" i="1"/>
  <c r="P2" i="6"/>
  <c r="N22" i="1"/>
  <c r="Z7" i="13"/>
  <c r="Z7" i="14"/>
  <c r="W7" i="13"/>
  <c r="W7" i="14"/>
  <c r="Y7" i="13"/>
  <c r="Y7" i="14"/>
  <c r="N34" i="13"/>
  <c r="N34" i="14" s="1"/>
  <c r="M37" i="13"/>
  <c r="M37" i="14" s="1"/>
  <c r="N28" i="13"/>
  <c r="N28" i="14" s="1"/>
  <c r="M31" i="13"/>
  <c r="M31" i="14" s="1"/>
  <c r="Z22" i="1"/>
  <c r="P40" i="1" s="1"/>
  <c r="P22" i="13"/>
  <c r="P22" i="14" s="1"/>
  <c r="E50" i="6"/>
  <c r="Y23" i="1"/>
  <c r="Y17" i="1" s="1"/>
  <c r="O11" i="10"/>
  <c r="O47" i="10" s="1"/>
  <c r="E9" i="10"/>
  <c r="Y35" i="1"/>
  <c r="P12" i="13"/>
  <c r="F13" i="13"/>
  <c r="P11" i="13"/>
  <c r="F12" i="13"/>
  <c r="P10" i="13"/>
  <c r="F11" i="13"/>
  <c r="P13" i="13"/>
  <c r="F14" i="13"/>
  <c r="Y24" i="10"/>
  <c r="O12" i="13"/>
  <c r="E13" i="13"/>
  <c r="Y37" i="10"/>
  <c r="O13" i="13"/>
  <c r="E14" i="13"/>
  <c r="Y34" i="10"/>
  <c r="O10" i="13"/>
  <c r="E11" i="13"/>
  <c r="N13" i="13"/>
  <c r="D14" i="13"/>
  <c r="M10" i="13"/>
  <c r="C11" i="13"/>
  <c r="W11" i="10"/>
  <c r="M11" i="13"/>
  <c r="C12" i="13"/>
  <c r="C9" i="10"/>
  <c r="C11" i="10"/>
  <c r="D46" i="10"/>
  <c r="N50" i="10" s="1"/>
  <c r="P41" i="1"/>
  <c r="M22" i="1"/>
  <c r="O49" i="1" s="1"/>
  <c r="O43" i="1"/>
  <c r="O40" i="1"/>
  <c r="O42" i="1"/>
  <c r="P43" i="1"/>
  <c r="Y28" i="10"/>
  <c r="Z36" i="10"/>
  <c r="Z30" i="10"/>
  <c r="Z24" i="10"/>
  <c r="W34" i="1"/>
  <c r="W28" i="1"/>
  <c r="Y36" i="10"/>
  <c r="N10" i="1"/>
  <c r="D8" i="10" s="1"/>
  <c r="M12" i="10"/>
  <c r="Y30" i="10"/>
  <c r="X25" i="10"/>
  <c r="X37" i="10"/>
  <c r="Y31" i="10"/>
  <c r="X31" i="10"/>
  <c r="Y25" i="10"/>
  <c r="Z4" i="1"/>
  <c r="C10" i="10"/>
  <c r="Z37" i="10"/>
  <c r="Z25" i="10"/>
  <c r="W35" i="10"/>
  <c r="Z35" i="10"/>
  <c r="Z23" i="10"/>
  <c r="Z34" i="10"/>
  <c r="Z22" i="10"/>
  <c r="W34" i="10"/>
  <c r="Y22" i="10"/>
  <c r="X25" i="1"/>
  <c r="W24" i="1"/>
  <c r="X7" i="10"/>
  <c r="X7" i="1"/>
  <c r="X31" i="1"/>
  <c r="W7" i="10"/>
  <c r="W7" i="1"/>
  <c r="M49" i="1"/>
  <c r="W30" i="1"/>
  <c r="Z29" i="10"/>
  <c r="Z7" i="10"/>
  <c r="Z7" i="1"/>
  <c r="W29" i="1"/>
  <c r="N12" i="10"/>
  <c r="X36" i="1"/>
  <c r="X30" i="1"/>
  <c r="X24" i="1"/>
  <c r="M23" i="10"/>
  <c r="M23" i="13" s="1"/>
  <c r="M23" i="14" s="1"/>
  <c r="W23" i="1"/>
  <c r="Y7" i="10"/>
  <c r="Y7" i="1"/>
  <c r="Z28" i="10"/>
  <c r="N11" i="10"/>
  <c r="X23" i="1"/>
  <c r="X35" i="1"/>
  <c r="X29" i="1"/>
  <c r="W29" i="10"/>
  <c r="W28" i="10"/>
  <c r="Z31" i="10"/>
  <c r="W36" i="1"/>
  <c r="M13" i="10"/>
  <c r="W37" i="1"/>
  <c r="W31" i="1"/>
  <c r="W25" i="1"/>
  <c r="X37" i="1"/>
  <c r="W35" i="1"/>
  <c r="D50" i="6"/>
  <c r="C50" i="6"/>
  <c r="F50" i="6"/>
  <c r="E3" i="10"/>
  <c r="N22" i="10" l="1"/>
  <c r="N47" i="1"/>
  <c r="W19" i="1"/>
  <c r="Z18" i="10"/>
  <c r="P12" i="14"/>
  <c r="P47" i="14" s="1"/>
  <c r="P47" i="13"/>
  <c r="M47" i="10"/>
  <c r="M25" i="13"/>
  <c r="O41" i="1"/>
  <c r="O44" i="1" s="1"/>
  <c r="W10" i="13"/>
  <c r="N13" i="14"/>
  <c r="D17" i="14"/>
  <c r="M11" i="14"/>
  <c r="C15" i="14"/>
  <c r="C14" i="14"/>
  <c r="M10" i="14"/>
  <c r="P13" i="14"/>
  <c r="F17" i="14"/>
  <c r="P10" i="14"/>
  <c r="F14" i="14"/>
  <c r="P11" i="14"/>
  <c r="F15" i="14"/>
  <c r="Z36" i="14"/>
  <c r="Z30" i="14"/>
  <c r="O10" i="14"/>
  <c r="E14" i="14"/>
  <c r="O13" i="14"/>
  <c r="E17" i="14"/>
  <c r="O12" i="14"/>
  <c r="E16" i="14"/>
  <c r="N50" i="13"/>
  <c r="N51" i="14" s="1"/>
  <c r="N50" i="14"/>
  <c r="W13" i="14"/>
  <c r="F16" i="14"/>
  <c r="Y23" i="10"/>
  <c r="N22" i="13"/>
  <c r="O11" i="13"/>
  <c r="O47" i="13" s="1"/>
  <c r="Y35" i="10"/>
  <c r="E12" i="13"/>
  <c r="Y29" i="10"/>
  <c r="Y11" i="10"/>
  <c r="Y10" i="10"/>
  <c r="Y13" i="10"/>
  <c r="Z11" i="10"/>
  <c r="Z10" i="10"/>
  <c r="Z13" i="10"/>
  <c r="Y12" i="10"/>
  <c r="Z12" i="10"/>
  <c r="P24" i="13"/>
  <c r="P24" i="14" s="1"/>
  <c r="Z30" i="13"/>
  <c r="Z24" i="13"/>
  <c r="Z36" i="13"/>
  <c r="Z29" i="13"/>
  <c r="Z23" i="13"/>
  <c r="Z35" i="13"/>
  <c r="Z34" i="13"/>
  <c r="Z28" i="13"/>
  <c r="Z22" i="13"/>
  <c r="Z37" i="13"/>
  <c r="Z31" i="13"/>
  <c r="Z25" i="13"/>
  <c r="Y36" i="13"/>
  <c r="Y24" i="13"/>
  <c r="Y30" i="13"/>
  <c r="Y37" i="13"/>
  <c r="Y31" i="13"/>
  <c r="Y25" i="13"/>
  <c r="Y34" i="13"/>
  <c r="Y22" i="13"/>
  <c r="Y28" i="13"/>
  <c r="N11" i="13"/>
  <c r="D12" i="13"/>
  <c r="N12" i="13"/>
  <c r="D13" i="13"/>
  <c r="X37" i="13"/>
  <c r="X25" i="13"/>
  <c r="X31" i="13"/>
  <c r="W34" i="13"/>
  <c r="W35" i="13"/>
  <c r="W11" i="13"/>
  <c r="W28" i="13"/>
  <c r="W29" i="13"/>
  <c r="W23" i="13"/>
  <c r="M12" i="13"/>
  <c r="C13" i="13"/>
  <c r="W13" i="10"/>
  <c r="M13" i="13"/>
  <c r="M13" i="14" s="1"/>
  <c r="W37" i="14" s="1"/>
  <c r="C14" i="13"/>
  <c r="W12" i="10"/>
  <c r="N49" i="1"/>
  <c r="P42" i="1"/>
  <c r="P44" i="1" s="1"/>
  <c r="P49" i="1"/>
  <c r="M22" i="10"/>
  <c r="O49" i="10" s="1"/>
  <c r="M41" i="1"/>
  <c r="N43" i="1"/>
  <c r="N42" i="1"/>
  <c r="M42" i="1"/>
  <c r="W10" i="10"/>
  <c r="W22" i="1"/>
  <c r="M40" i="1" s="1"/>
  <c r="N45" i="1" s="1"/>
  <c r="N41" i="1"/>
  <c r="N10" i="10"/>
  <c r="X28" i="1"/>
  <c r="Z4" i="10"/>
  <c r="W24" i="10"/>
  <c r="X34" i="1"/>
  <c r="W36" i="10"/>
  <c r="W30" i="10"/>
  <c r="X22" i="1"/>
  <c r="M49" i="10"/>
  <c r="W37" i="10"/>
  <c r="W25" i="10"/>
  <c r="W19" i="10" s="1"/>
  <c r="X36" i="10"/>
  <c r="X24" i="10"/>
  <c r="X35" i="10"/>
  <c r="X23" i="10"/>
  <c r="W23" i="10"/>
  <c r="X29" i="10"/>
  <c r="X30" i="10"/>
  <c r="W31" i="10"/>
  <c r="E15" i="10"/>
  <c r="M25" i="14" l="1"/>
  <c r="M47" i="14" s="1"/>
  <c r="M47" i="13"/>
  <c r="Y17" i="10"/>
  <c r="X16" i="1"/>
  <c r="N22" i="14"/>
  <c r="Z18" i="13"/>
  <c r="Z24" i="14"/>
  <c r="Z18" i="14" s="1"/>
  <c r="N47" i="10"/>
  <c r="O41" i="10"/>
  <c r="M41" i="13"/>
  <c r="Z11" i="13"/>
  <c r="Y10" i="13"/>
  <c r="Z12" i="14"/>
  <c r="Z12" i="13"/>
  <c r="Y12" i="14"/>
  <c r="Y12" i="13"/>
  <c r="Y13" i="13"/>
  <c r="Z13" i="14"/>
  <c r="Z13" i="13"/>
  <c r="Z10" i="14"/>
  <c r="Z10" i="13"/>
  <c r="D52" i="14"/>
  <c r="O52" i="14" s="1"/>
  <c r="X25" i="14"/>
  <c r="X31" i="14"/>
  <c r="X37" i="14"/>
  <c r="D16" i="14"/>
  <c r="N12" i="14"/>
  <c r="N11" i="14"/>
  <c r="D15" i="14"/>
  <c r="W25" i="14"/>
  <c r="W31" i="14"/>
  <c r="M12" i="14"/>
  <c r="Z4" i="14" s="1"/>
  <c r="C16" i="14"/>
  <c r="W23" i="14"/>
  <c r="W35" i="14"/>
  <c r="W11" i="14"/>
  <c r="W28" i="14"/>
  <c r="W29" i="14"/>
  <c r="W22" i="14"/>
  <c r="W34" i="14"/>
  <c r="W10" i="14"/>
  <c r="Z37" i="14"/>
  <c r="Z25" i="14"/>
  <c r="Z31" i="14"/>
  <c r="Z22" i="14"/>
  <c r="Z28" i="14"/>
  <c r="Z34" i="14"/>
  <c r="Z29" i="14"/>
  <c r="Z35" i="14"/>
  <c r="Z23" i="14"/>
  <c r="Z11" i="14"/>
  <c r="Y34" i="14"/>
  <c r="Y28" i="14"/>
  <c r="Y22" i="14"/>
  <c r="Y10" i="14"/>
  <c r="Y31" i="14"/>
  <c r="Y37" i="14"/>
  <c r="Y25" i="14"/>
  <c r="Y13" i="14"/>
  <c r="Y30" i="14"/>
  <c r="Y24" i="14"/>
  <c r="Y36" i="14"/>
  <c r="M52" i="14"/>
  <c r="N52" i="14"/>
  <c r="Y23" i="14"/>
  <c r="Y35" i="14"/>
  <c r="Y29" i="14"/>
  <c r="Y11" i="14"/>
  <c r="W13" i="13"/>
  <c r="C17" i="14"/>
  <c r="N10" i="13"/>
  <c r="N47" i="13" s="1"/>
  <c r="Y11" i="13"/>
  <c r="E15" i="14"/>
  <c r="E7" i="13"/>
  <c r="E7" i="14"/>
  <c r="Y29" i="13"/>
  <c r="Y23" i="13"/>
  <c r="Y17" i="13" s="1"/>
  <c r="P40" i="10"/>
  <c r="P42" i="10"/>
  <c r="Y35" i="13"/>
  <c r="P43" i="10"/>
  <c r="O43" i="10"/>
  <c r="P41" i="10"/>
  <c r="O42" i="10"/>
  <c r="O40" i="10"/>
  <c r="M22" i="13"/>
  <c r="M22" i="14" s="1"/>
  <c r="N49" i="14" s="1"/>
  <c r="X12" i="10"/>
  <c r="X13" i="10"/>
  <c r="N43" i="10" s="1"/>
  <c r="W22" i="10"/>
  <c r="M40" i="10" s="1"/>
  <c r="X11" i="10"/>
  <c r="M49" i="13"/>
  <c r="X35" i="13"/>
  <c r="X29" i="13"/>
  <c r="X23" i="13"/>
  <c r="X36" i="13"/>
  <c r="X24" i="13"/>
  <c r="X30" i="13"/>
  <c r="X28" i="10"/>
  <c r="D11" i="13"/>
  <c r="W36" i="13"/>
  <c r="W12" i="13"/>
  <c r="W24" i="13"/>
  <c r="Z4" i="13"/>
  <c r="W30" i="13"/>
  <c r="W31" i="13"/>
  <c r="W37" i="13"/>
  <c r="W25" i="13"/>
  <c r="W19" i="13" s="1"/>
  <c r="M43" i="1"/>
  <c r="M44" i="1" s="1"/>
  <c r="X10" i="10"/>
  <c r="D49" i="13" s="1"/>
  <c r="P51" i="13" s="1"/>
  <c r="X44" i="1"/>
  <c r="X43" i="1" s="1"/>
  <c r="N49" i="10"/>
  <c r="P49" i="10"/>
  <c r="M42" i="10"/>
  <c r="M43" i="10"/>
  <c r="N40" i="1"/>
  <c r="N44" i="1" s="1"/>
  <c r="X22" i="10"/>
  <c r="X34" i="10"/>
  <c r="M41" i="10"/>
  <c r="Y42" i="1"/>
  <c r="Z42" i="1"/>
  <c r="P45" i="1"/>
  <c r="M45" i="1"/>
  <c r="O45" i="1"/>
  <c r="W19" i="14" l="1"/>
  <c r="X16" i="10"/>
  <c r="Y17" i="14"/>
  <c r="O41" i="14" s="1"/>
  <c r="P43" i="13"/>
  <c r="P40" i="13"/>
  <c r="M43" i="13"/>
  <c r="O43" i="13"/>
  <c r="P41" i="13"/>
  <c r="O41" i="13"/>
  <c r="O40" i="14"/>
  <c r="P43" i="14"/>
  <c r="P42" i="13"/>
  <c r="M42" i="13"/>
  <c r="O43" i="14"/>
  <c r="P41" i="14"/>
  <c r="M41" i="14"/>
  <c r="X34" i="13"/>
  <c r="M40" i="14"/>
  <c r="M43" i="14"/>
  <c r="O40" i="13"/>
  <c r="O42" i="14"/>
  <c r="P40" i="14"/>
  <c r="P42" i="14"/>
  <c r="O42" i="13"/>
  <c r="M49" i="14"/>
  <c r="P49" i="14"/>
  <c r="O49" i="14"/>
  <c r="X13" i="14"/>
  <c r="X13" i="13"/>
  <c r="N43" i="13" s="1"/>
  <c r="X12" i="13"/>
  <c r="X10" i="14"/>
  <c r="X10" i="13"/>
  <c r="X11" i="14"/>
  <c r="X11" i="13"/>
  <c r="X36" i="14"/>
  <c r="X24" i="14"/>
  <c r="X30" i="14"/>
  <c r="X12" i="14"/>
  <c r="X35" i="14"/>
  <c r="X23" i="14"/>
  <c r="X29" i="14"/>
  <c r="D14" i="14"/>
  <c r="N10" i="14"/>
  <c r="N47" i="14" s="1"/>
  <c r="W24" i="14"/>
  <c r="W30" i="14"/>
  <c r="W36" i="14"/>
  <c r="W12" i="14"/>
  <c r="X28" i="13"/>
  <c r="X22" i="13"/>
  <c r="X16" i="13" s="1"/>
  <c r="P44" i="10"/>
  <c r="Z42" i="10" s="1"/>
  <c r="P49" i="13"/>
  <c r="O49" i="13"/>
  <c r="O44" i="10"/>
  <c r="Y42" i="10" s="1"/>
  <c r="N45" i="10"/>
  <c r="X44" i="10" s="1"/>
  <c r="X41" i="10" s="1"/>
  <c r="N49" i="13"/>
  <c r="W22" i="13"/>
  <c r="M40" i="13" s="1"/>
  <c r="N41" i="10"/>
  <c r="O45" i="10" s="1"/>
  <c r="N42" i="10"/>
  <c r="X41" i="1"/>
  <c r="Z44" i="1"/>
  <c r="Z43" i="1" s="1"/>
  <c r="Z45" i="1" s="1"/>
  <c r="Z48" i="1" s="1"/>
  <c r="W44" i="1"/>
  <c r="W41" i="1" s="1"/>
  <c r="AD110" i="1"/>
  <c r="N40" i="10"/>
  <c r="W42" i="1"/>
  <c r="AB110" i="1"/>
  <c r="X42" i="1"/>
  <c r="X45" i="1" s="1"/>
  <c r="AC110" i="1"/>
  <c r="AE110" i="1"/>
  <c r="Y44" i="1"/>
  <c r="Y43" i="1" s="1"/>
  <c r="M44" i="10"/>
  <c r="P44" i="13" l="1"/>
  <c r="Z42" i="13" s="1"/>
  <c r="N41" i="13"/>
  <c r="O45" i="13" s="1"/>
  <c r="Y44" i="13" s="1"/>
  <c r="Y43" i="13" s="1"/>
  <c r="N43" i="14"/>
  <c r="P44" i="14"/>
  <c r="Z42" i="14" s="1"/>
  <c r="N40" i="13"/>
  <c r="O44" i="13"/>
  <c r="Y42" i="13" s="1"/>
  <c r="O44" i="14"/>
  <c r="Y42" i="14" s="1"/>
  <c r="N45" i="14"/>
  <c r="X44" i="14" s="1"/>
  <c r="M42" i="14"/>
  <c r="N42" i="14"/>
  <c r="X22" i="14"/>
  <c r="N41" i="14"/>
  <c r="O45" i="14" s="1"/>
  <c r="Y44" i="14" s="1"/>
  <c r="N45" i="13"/>
  <c r="X44" i="13" s="1"/>
  <c r="X43" i="13" s="1"/>
  <c r="X34" i="14"/>
  <c r="X28" i="14"/>
  <c r="N42" i="13"/>
  <c r="M44" i="13"/>
  <c r="W42" i="13" s="1"/>
  <c r="P45" i="10"/>
  <c r="Z44" i="10" s="1"/>
  <c r="Z43" i="10" s="1"/>
  <c r="N44" i="10"/>
  <c r="X42" i="10" s="1"/>
  <c r="M45" i="10"/>
  <c r="W44" i="10" s="1"/>
  <c r="W43" i="10" s="1"/>
  <c r="W43" i="1"/>
  <c r="X43" i="10"/>
  <c r="Z41" i="1"/>
  <c r="Y45" i="1"/>
  <c r="Y48" i="1" s="1"/>
  <c r="AD116" i="10"/>
  <c r="Z46" i="1"/>
  <c r="Z47" i="1" s="1"/>
  <c r="X46" i="1"/>
  <c r="X47" i="1" s="1"/>
  <c r="X48" i="1"/>
  <c r="W42" i="10"/>
  <c r="Y41" i="1"/>
  <c r="Y44" i="10"/>
  <c r="X16" i="14" l="1"/>
  <c r="M45" i="13"/>
  <c r="W44" i="13" s="1"/>
  <c r="W41" i="13" s="1"/>
  <c r="Y45" i="13"/>
  <c r="Y48" i="13" s="1"/>
  <c r="X41" i="13"/>
  <c r="P45" i="13"/>
  <c r="AE116" i="13" s="1"/>
  <c r="Y43" i="14"/>
  <c r="Y45" i="14" s="1"/>
  <c r="Y48" i="14" s="1"/>
  <c r="Y41" i="13"/>
  <c r="AD116" i="13"/>
  <c r="M44" i="14"/>
  <c r="W42" i="14" s="1"/>
  <c r="P45" i="14"/>
  <c r="Z44" i="14" s="1"/>
  <c r="Z41" i="14" s="1"/>
  <c r="AD120" i="14"/>
  <c r="N40" i="14"/>
  <c r="N44" i="14" s="1"/>
  <c r="AC120" i="14" s="1"/>
  <c r="Y41" i="14"/>
  <c r="M45" i="14"/>
  <c r="W44" i="14" s="1"/>
  <c r="W41" i="14" s="1"/>
  <c r="X43" i="14"/>
  <c r="N44" i="13"/>
  <c r="X42" i="13" s="1"/>
  <c r="X45" i="13" s="1"/>
  <c r="Y41" i="10"/>
  <c r="X41" i="14"/>
  <c r="W45" i="1"/>
  <c r="AE116" i="10"/>
  <c r="AB116" i="10"/>
  <c r="AC116" i="10"/>
  <c r="X45" i="10"/>
  <c r="X46" i="10" s="1"/>
  <c r="X47" i="10" s="1"/>
  <c r="Y43" i="10"/>
  <c r="W45" i="10"/>
  <c r="W48" i="10" s="1"/>
  <c r="Y46" i="1"/>
  <c r="Y47" i="1" s="1"/>
  <c r="W41" i="10"/>
  <c r="Z41" i="10"/>
  <c r="Z45" i="10"/>
  <c r="Z48" i="10" s="1"/>
  <c r="W43" i="13" l="1"/>
  <c r="W45" i="13" s="1"/>
  <c r="W48" i="13" s="1"/>
  <c r="AB116" i="13"/>
  <c r="Z44" i="13"/>
  <c r="Z41" i="13" s="1"/>
  <c r="Y46" i="13"/>
  <c r="Y47" i="13" s="1"/>
  <c r="AE120" i="14"/>
  <c r="Y46" i="14"/>
  <c r="Y47" i="14" s="1"/>
  <c r="AC116" i="13"/>
  <c r="W43" i="14"/>
  <c r="W45" i="14" s="1"/>
  <c r="W48" i="14" s="1"/>
  <c r="X42" i="14"/>
  <c r="X45" i="14" s="1"/>
  <c r="X46" i="14" s="1"/>
  <c r="X47" i="14" s="1"/>
  <c r="AB120" i="14"/>
  <c r="Z43" i="14"/>
  <c r="W48" i="1"/>
  <c r="W46" i="1"/>
  <c r="W47" i="1" s="1"/>
  <c r="X46" i="13"/>
  <c r="X47" i="13" s="1"/>
  <c r="X48" i="13"/>
  <c r="X48" i="10"/>
  <c r="W46" i="10"/>
  <c r="Z46" i="10"/>
  <c r="Y45" i="10"/>
  <c r="Y48" i="10" s="1"/>
  <c r="W46" i="13" l="1"/>
  <c r="W47" i="13" s="1"/>
  <c r="Z43" i="13"/>
  <c r="Z45" i="13" s="1"/>
  <c r="Z48" i="13" s="1"/>
  <c r="X48" i="14"/>
  <c r="Z45" i="14"/>
  <c r="Z48" i="14" s="1"/>
  <c r="W46" i="14"/>
  <c r="W47" i="14" s="1"/>
  <c r="W47" i="10"/>
  <c r="Z47" i="10"/>
  <c r="Y46" i="10"/>
  <c r="E14" i="1"/>
  <c r="E4" i="14" s="1"/>
  <c r="C8" i="1"/>
  <c r="D8" i="1"/>
  <c r="E8" i="1"/>
  <c r="F8" i="1"/>
  <c r="C9" i="1"/>
  <c r="D9" i="1"/>
  <c r="E9" i="1"/>
  <c r="F9" i="1"/>
  <c r="C10" i="1"/>
  <c r="D10" i="1"/>
  <c r="E10" i="1"/>
  <c r="F10" i="1"/>
  <c r="D7" i="1"/>
  <c r="E7" i="1"/>
  <c r="F7" i="1"/>
  <c r="C7" i="1"/>
  <c r="Z46" i="13" l="1"/>
  <c r="Z47" i="13" s="1"/>
  <c r="Z46" i="14"/>
  <c r="Z47" i="14" s="1"/>
  <c r="E4" i="13"/>
  <c r="Y47" i="10"/>
  <c r="D51" i="1"/>
  <c r="E4" i="10"/>
  <c r="N34" i="6"/>
  <c r="O34" i="6"/>
  <c r="P34" i="6"/>
  <c r="N35" i="6"/>
  <c r="O35" i="6"/>
  <c r="P35" i="6"/>
  <c r="N36" i="6"/>
  <c r="O36" i="6"/>
  <c r="P36" i="6"/>
  <c r="N37" i="6"/>
  <c r="O37" i="6"/>
  <c r="P37" i="6"/>
  <c r="M35" i="6"/>
  <c r="M36" i="6"/>
  <c r="M37" i="6"/>
  <c r="M34" i="6"/>
  <c r="N28" i="6"/>
  <c r="O28" i="6"/>
  <c r="P28" i="6"/>
  <c r="N29" i="6"/>
  <c r="O29" i="6"/>
  <c r="P29" i="6"/>
  <c r="N30" i="6"/>
  <c r="O30" i="6"/>
  <c r="P30" i="6"/>
  <c r="N31" i="6"/>
  <c r="O31" i="6"/>
  <c r="P31" i="6"/>
  <c r="M29" i="6"/>
  <c r="M30" i="6"/>
  <c r="M31" i="6"/>
  <c r="M28" i="6"/>
  <c r="N22" i="6"/>
  <c r="O22" i="6"/>
  <c r="P22" i="6"/>
  <c r="N23" i="6"/>
  <c r="O23" i="6"/>
  <c r="P23" i="6"/>
  <c r="N24" i="6"/>
  <c r="O24" i="6"/>
  <c r="P24" i="6"/>
  <c r="N25" i="6"/>
  <c r="O25" i="6"/>
  <c r="P25" i="6"/>
  <c r="M23" i="6"/>
  <c r="M24" i="6"/>
  <c r="M25" i="6"/>
  <c r="M22" i="6"/>
  <c r="N10" i="6" l="1"/>
  <c r="N11" i="6"/>
  <c r="N12" i="6"/>
  <c r="D42" i="6" s="1"/>
  <c r="N13" i="6"/>
  <c r="O10" i="6"/>
  <c r="O12" i="6"/>
  <c r="E42" i="6" s="1"/>
  <c r="O13" i="6"/>
  <c r="P10" i="6"/>
  <c r="P13" i="6"/>
  <c r="F43" i="6" s="1"/>
  <c r="M10" i="6"/>
  <c r="C40" i="6" s="1"/>
  <c r="O11" i="6"/>
  <c r="P11" i="6"/>
  <c r="F41" i="6" s="1"/>
  <c r="M11" i="6"/>
  <c r="P12" i="6"/>
  <c r="M12" i="6"/>
  <c r="C42" i="6" s="1"/>
  <c r="M13" i="6"/>
  <c r="M50" i="10" l="1"/>
  <c r="C41" i="6"/>
  <c r="E43" i="6"/>
  <c r="D43" i="6"/>
  <c r="E40" i="6"/>
  <c r="C43" i="6"/>
  <c r="F40" i="6"/>
  <c r="D41" i="6"/>
  <c r="E41" i="6"/>
  <c r="F42" i="6"/>
  <c r="B49" i="6"/>
  <c r="D40" i="6"/>
  <c r="D45" i="1"/>
  <c r="M50" i="14" l="1"/>
  <c r="M50" i="13"/>
  <c r="B50" i="6"/>
  <c r="D44" i="10" s="1"/>
  <c r="D45" i="10" s="1"/>
  <c r="D47" i="10" s="1"/>
  <c r="D50" i="10" s="1"/>
  <c r="B47" i="6"/>
  <c r="O48" i="1"/>
  <c r="O48" i="14" s="1"/>
  <c r="P48" i="1"/>
  <c r="P48" i="14" s="1"/>
  <c r="E45" i="6"/>
  <c r="B48" i="6"/>
  <c r="D50" i="14" s="1"/>
  <c r="D51" i="14" s="1"/>
  <c r="D44" i="6"/>
  <c r="N42" i="6" s="1"/>
  <c r="N48" i="1"/>
  <c r="M48" i="1"/>
  <c r="M48" i="14" s="1"/>
  <c r="F45" i="6"/>
  <c r="C45" i="6"/>
  <c r="E44" i="6"/>
  <c r="F44" i="6"/>
  <c r="C44" i="6"/>
  <c r="D45" i="6"/>
  <c r="D47" i="13" l="1"/>
  <c r="D48" i="13" s="1"/>
  <c r="D50" i="13" s="1"/>
  <c r="D53" i="13" s="1"/>
  <c r="D43" i="1"/>
  <c r="D53" i="14"/>
  <c r="D54" i="14" s="1"/>
  <c r="O46" i="14" s="1"/>
  <c r="N48" i="13"/>
  <c r="N48" i="14"/>
  <c r="D48" i="10"/>
  <c r="P48" i="10"/>
  <c r="P48" i="13"/>
  <c r="O48" i="10"/>
  <c r="O48" i="13"/>
  <c r="M48" i="10"/>
  <c r="M48" i="13"/>
  <c r="W50" i="1"/>
  <c r="W51" i="1" s="1"/>
  <c r="O44" i="6"/>
  <c r="O41" i="6" s="1"/>
  <c r="N48" i="10"/>
  <c r="M42" i="6"/>
  <c r="P42" i="6"/>
  <c r="O42" i="6"/>
  <c r="M44" i="6"/>
  <c r="M41" i="6" s="1"/>
  <c r="N44" i="6"/>
  <c r="N43" i="6" s="1"/>
  <c r="P44" i="6"/>
  <c r="P43" i="6" s="1"/>
  <c r="D49" i="10" l="1"/>
  <c r="M46" i="10"/>
  <c r="M46" i="13" s="1"/>
  <c r="M46" i="14" s="1"/>
  <c r="M54" i="14" s="1"/>
  <c r="D55" i="14"/>
  <c r="D44" i="1"/>
  <c r="D46" i="1" s="1"/>
  <c r="M43" i="6"/>
  <c r="D51" i="13"/>
  <c r="N45" i="6"/>
  <c r="N48" i="6" s="1"/>
  <c r="O43" i="6"/>
  <c r="O45" i="6" s="1"/>
  <c r="O48" i="6" s="1"/>
  <c r="P45" i="6"/>
  <c r="P48" i="6" s="1"/>
  <c r="N41" i="6"/>
  <c r="P41" i="6"/>
  <c r="D52" i="13" l="1"/>
  <c r="P46" i="13"/>
  <c r="P46" i="14" s="1"/>
  <c r="P54" i="14" s="1"/>
  <c r="D49" i="1"/>
  <c r="D47" i="1"/>
  <c r="N46" i="6"/>
  <c r="N47" i="6" s="1"/>
  <c r="M54" i="10"/>
  <c r="O46" i="6"/>
  <c r="O47" i="6" s="1"/>
  <c r="P46" i="6"/>
  <c r="P47" i="6" s="1"/>
  <c r="P46" i="10"/>
  <c r="M45" i="6"/>
  <c r="M48" i="6" s="1"/>
  <c r="M46" i="1" l="1"/>
  <c r="O46" i="1"/>
  <c r="O46" i="10" s="1"/>
  <c r="N46" i="1"/>
  <c r="N46" i="10" s="1"/>
  <c r="P54" i="13"/>
  <c r="P54" i="10"/>
  <c r="M54" i="13"/>
  <c r="D48" i="1"/>
  <c r="M46" i="6"/>
  <c r="M50" i="6" s="1"/>
  <c r="O46" i="13" l="1"/>
  <c r="O54" i="13" s="1"/>
  <c r="O54" i="14"/>
  <c r="N46" i="13"/>
  <c r="N46" i="14" s="1"/>
  <c r="N54" i="14" s="1"/>
  <c r="N54" i="10"/>
  <c r="O54" i="10"/>
  <c r="M47" i="6"/>
  <c r="M51" i="6"/>
  <c r="W51" i="14" l="1"/>
  <c r="W52" i="14" s="1"/>
  <c r="N54" i="13"/>
  <c r="W50" i="13" s="1"/>
  <c r="W51" i="13" s="1"/>
  <c r="W50" i="10"/>
  <c r="W51" i="10" s="1"/>
</calcChain>
</file>

<file path=xl/comments1.xml><?xml version="1.0" encoding="utf-8"?>
<comments xmlns="http://schemas.openxmlformats.org/spreadsheetml/2006/main">
  <authors>
    <author>hwyr42b</author>
    <author>MEEK Joseph L</author>
  </authors>
  <commentList>
    <comment ref="F2" authorId="0">
      <text>
        <r>
          <rPr>
            <sz val="9"/>
            <color indexed="81"/>
            <rFont val="Tahoma"/>
            <family val="2"/>
          </rPr>
          <t>Type in "3" or "4"</t>
        </r>
      </text>
    </comment>
    <comment ref="F3" authorId="1">
      <text>
        <r>
          <rPr>
            <b/>
            <sz val="9"/>
            <color indexed="81"/>
            <rFont val="Tahoma"/>
            <family val="2"/>
          </rPr>
          <t>decimal between 0.0 and 1.0.  For an hour with a 15 minute peak, 0.25 is standard, unless demand exceeds capacity during a 15 minute period.</t>
        </r>
      </text>
    </comment>
  </commentList>
</comments>
</file>

<file path=xl/comments2.xml><?xml version="1.0" encoding="utf-8"?>
<comments xmlns="http://schemas.openxmlformats.org/spreadsheetml/2006/main">
  <authors>
    <author>hwyr42b</author>
    <author>MEEK Joseph L</author>
  </authors>
  <commentList>
    <comment ref="N2" authorId="0">
      <text>
        <r>
          <rPr>
            <sz val="9"/>
            <color indexed="81"/>
            <rFont val="Tahoma"/>
            <family val="2"/>
          </rPr>
          <t>Type in "3" or "4"</t>
        </r>
      </text>
    </comment>
    <comment ref="N3" authorId="1">
      <text>
        <r>
          <rPr>
            <b/>
            <sz val="9"/>
            <color indexed="81"/>
            <rFont val="Tahoma"/>
            <family val="2"/>
          </rPr>
          <t>decimal between 0.0 and 1.0.  For an hour with a 15 minute peak, 0.25 is standard, unless demand exceeds capacity during a 15 minute period.</t>
        </r>
      </text>
    </comment>
    <comment ref="M7" authorId="1">
      <text>
        <r>
          <rPr>
            <b/>
            <sz val="9"/>
            <color indexed="81"/>
            <rFont val="Tahoma"/>
            <family val="2"/>
          </rPr>
          <t>number of pedestrians crossing the north leg</t>
        </r>
      </text>
    </comment>
    <comment ref="C10" authorId="1">
      <text>
        <r>
          <rPr>
            <b/>
            <sz val="9"/>
            <color indexed="81"/>
            <rFont val="Tahoma"/>
            <family val="2"/>
          </rPr>
          <t>hourly volume of total traffic "Approaching" from the north leg and "exiting" the north leg; this movement would be a U turn</t>
        </r>
      </text>
    </comment>
    <comment ref="C22" authorId="1">
      <text>
        <r>
          <rPr>
            <b/>
            <sz val="9"/>
            <color indexed="81"/>
            <rFont val="Tahoma"/>
            <family val="2"/>
          </rPr>
          <t>hourly volume of total traffic "Approaching" from the north leg and "exiting" the north leg; this movement would be a U turn</t>
        </r>
      </text>
    </comment>
    <comment ref="C28" authorId="1">
      <text>
        <r>
          <rPr>
            <b/>
            <sz val="9"/>
            <color indexed="81"/>
            <rFont val="Tahoma"/>
            <family val="2"/>
          </rPr>
          <t>hourly volume of total traffic "Approaching" from the north leg and "exiting" the north leg; this movement would be a U turn</t>
        </r>
      </text>
    </comment>
    <comment ref="C34" authorId="1">
      <text>
        <r>
          <rPr>
            <b/>
            <sz val="9"/>
            <color indexed="81"/>
            <rFont val="Tahoma"/>
            <family val="2"/>
          </rPr>
          <t>hourly volume of total traffic "Approaching" from the north leg and "exiting" the north leg; this movement would be a U turn</t>
        </r>
      </text>
    </comment>
  </commentList>
</comments>
</file>

<file path=xl/comments3.xml><?xml version="1.0" encoding="utf-8"?>
<comments xmlns="http://schemas.openxmlformats.org/spreadsheetml/2006/main">
  <authors>
    <author>hwyr42b</author>
    <author>MEEK Joseph L</author>
  </authors>
  <commentList>
    <comment ref="X2" authorId="0">
      <text>
        <r>
          <rPr>
            <sz val="9"/>
            <color indexed="81"/>
            <rFont val="Tahoma"/>
            <family val="2"/>
          </rPr>
          <t>Type in "3" or "4"</t>
        </r>
      </text>
    </comment>
    <comment ref="X3" authorId="1">
      <text>
        <r>
          <rPr>
            <b/>
            <sz val="9"/>
            <color indexed="81"/>
            <rFont val="Tahoma"/>
            <family val="2"/>
          </rPr>
          <t>decimal between 0.0 and 1.1</t>
        </r>
      </text>
    </comment>
    <comment ref="C7" authorId="1">
      <text>
        <r>
          <rPr>
            <b/>
            <sz val="9"/>
            <color indexed="81"/>
            <rFont val="Tahoma"/>
            <family val="2"/>
          </rPr>
          <t>hourly volume of total traffic "Approaching" from the north leg and "exiting" the north leg; this movement would be a U turn</t>
        </r>
      </text>
    </comment>
    <comment ref="W7" authorId="1">
      <text>
        <r>
          <rPr>
            <b/>
            <sz val="9"/>
            <color indexed="81"/>
            <rFont val="Tahoma"/>
            <family val="2"/>
          </rPr>
          <t>number of pedestrians crossing the north leg</t>
        </r>
      </text>
    </comment>
    <comment ref="M10" authorId="1">
      <text>
        <r>
          <rPr>
            <b/>
            <sz val="9"/>
            <color indexed="81"/>
            <rFont val="Tahoma"/>
            <family val="2"/>
          </rPr>
          <t>hourly volume of total traffic "Approaching" from the north leg and "exiting" the north leg; this movement would be a U turn</t>
        </r>
      </text>
    </comment>
    <comment ref="M16" authorId="1">
      <text>
        <r>
          <rPr>
            <b/>
            <sz val="9"/>
            <color indexed="81"/>
            <rFont val="Tahoma"/>
            <family val="2"/>
          </rPr>
          <t>hourly volume of total traffic "Approaching" from the north leg and "exiting" the north leg; this movement would be a U turn</t>
        </r>
      </text>
    </comment>
    <comment ref="M22" authorId="1">
      <text>
        <r>
          <rPr>
            <b/>
            <sz val="9"/>
            <color indexed="81"/>
            <rFont val="Tahoma"/>
            <family val="2"/>
          </rPr>
          <t>hourly volume of total traffic "Approaching" from the north leg and "exiting" the north leg; this movement would be a U turn</t>
        </r>
      </text>
    </comment>
    <comment ref="M28" authorId="1">
      <text>
        <r>
          <rPr>
            <b/>
            <sz val="9"/>
            <color indexed="81"/>
            <rFont val="Tahoma"/>
            <family val="2"/>
          </rPr>
          <t>hourly volume of total traffic "Approaching" from the north leg and "exiting" the north leg; this movement would be a U turn</t>
        </r>
      </text>
    </comment>
    <comment ref="M34" authorId="1">
      <text>
        <r>
          <rPr>
            <b/>
            <sz val="9"/>
            <color indexed="81"/>
            <rFont val="Tahoma"/>
            <family val="2"/>
          </rPr>
          <t>hourly volume of total traffic "Approaching" from the north leg and "exiting" the north leg; this movement would be a U turn</t>
        </r>
      </text>
    </comment>
  </commentList>
</comments>
</file>

<file path=xl/comments4.xml><?xml version="1.0" encoding="utf-8"?>
<comments xmlns="http://schemas.openxmlformats.org/spreadsheetml/2006/main">
  <authors>
    <author>MEEK Joseph L</author>
  </authors>
  <commentList>
    <comment ref="X3" authorId="0">
      <text>
        <r>
          <rPr>
            <b/>
            <sz val="9"/>
            <color indexed="81"/>
            <rFont val="Tahoma"/>
            <family val="2"/>
          </rPr>
          <t>enter "yes" or "no"
shortest street/sidewalk system, not as the crow flies</t>
        </r>
      </text>
    </comment>
    <comment ref="W7" authorId="0">
      <text>
        <r>
          <rPr>
            <b/>
            <sz val="9"/>
            <color indexed="81"/>
            <rFont val="Tahoma"/>
            <family val="2"/>
          </rPr>
          <t>number of pedestrians crossing the north leg</t>
        </r>
      </text>
    </comment>
    <comment ref="C8" authorId="0">
      <text>
        <r>
          <rPr>
            <b/>
            <sz val="9"/>
            <color indexed="81"/>
            <rFont val="Tahoma"/>
            <family val="2"/>
          </rPr>
          <t>hourly volume of total traffic "Approaching" from the north leg and "exiting" the north leg; this movement would be a U turn</t>
        </r>
      </text>
    </comment>
    <comment ref="M11" authorId="0">
      <text>
        <r>
          <rPr>
            <b/>
            <sz val="9"/>
            <color indexed="81"/>
            <rFont val="Tahoma"/>
            <family val="2"/>
          </rPr>
          <t>hourly volume of total traffic "Approaching" from the north leg and "exiting" the north leg; this movement would be a U turn</t>
        </r>
      </text>
    </comment>
    <comment ref="M23" authorId="0">
      <text>
        <r>
          <rPr>
            <b/>
            <sz val="9"/>
            <color indexed="81"/>
            <rFont val="Tahoma"/>
            <family val="2"/>
          </rPr>
          <t>hourly volume of total traffic "Approaching" from the north leg and "exiting" the north leg; this movement would be a U turn</t>
        </r>
      </text>
    </comment>
    <comment ref="M29" authorId="0">
      <text>
        <r>
          <rPr>
            <b/>
            <sz val="9"/>
            <color indexed="81"/>
            <rFont val="Tahoma"/>
            <family val="2"/>
          </rPr>
          <t>hourly volume of total traffic "Approaching" from the north leg and "exiting" the north leg; this movement would be a U turn</t>
        </r>
      </text>
    </comment>
    <comment ref="M35" authorId="0">
      <text>
        <r>
          <rPr>
            <b/>
            <sz val="9"/>
            <color indexed="81"/>
            <rFont val="Tahoma"/>
            <family val="2"/>
          </rPr>
          <t>hourly volume of total traffic "Approaching" from the north leg and "exiting" the north leg; this movement would be a U turn</t>
        </r>
      </text>
    </comment>
  </commentList>
</comments>
</file>

<file path=xl/comments5.xml><?xml version="1.0" encoding="utf-8"?>
<comments xmlns="http://schemas.openxmlformats.org/spreadsheetml/2006/main">
  <authors>
    <author>MEEK Joseph L</author>
  </authors>
  <commentList>
    <comment ref="X3" authorId="0">
      <text>
        <r>
          <rPr>
            <b/>
            <sz val="9"/>
            <color indexed="81"/>
            <rFont val="Tahoma"/>
            <family val="2"/>
          </rPr>
          <t>enter "yes" or "no"
shortest street/sidewalk system, not as the crow flies</t>
        </r>
      </text>
    </comment>
    <comment ref="W7" authorId="0">
      <text>
        <r>
          <rPr>
            <b/>
            <sz val="9"/>
            <color indexed="81"/>
            <rFont val="Tahoma"/>
            <family val="2"/>
          </rPr>
          <t>number of pedestrians crossing the north leg</t>
        </r>
      </text>
    </comment>
    <comment ref="C11" authorId="0">
      <text>
        <r>
          <rPr>
            <b/>
            <sz val="9"/>
            <color indexed="81"/>
            <rFont val="Tahoma"/>
            <family val="2"/>
          </rPr>
          <t>hourly volume of total traffic "Approaching" from the north leg and "exiting" the north leg; this movement would be a U turn</t>
        </r>
      </text>
    </comment>
    <comment ref="M11" authorId="0">
      <text>
        <r>
          <rPr>
            <b/>
            <sz val="9"/>
            <color indexed="81"/>
            <rFont val="Tahoma"/>
            <family val="2"/>
          </rPr>
          <t>hourly volume of total traffic "Approaching" from the north leg and "exiting" the north leg; this movement would be a U turn</t>
        </r>
      </text>
    </comment>
    <comment ref="M23" authorId="0">
      <text>
        <r>
          <rPr>
            <b/>
            <sz val="9"/>
            <color indexed="81"/>
            <rFont val="Tahoma"/>
            <family val="2"/>
          </rPr>
          <t>hourly volume of total traffic "Approaching" from the north leg and "exiting" the north leg; this movement would be a U turn</t>
        </r>
      </text>
    </comment>
    <comment ref="M29" authorId="0">
      <text>
        <r>
          <rPr>
            <b/>
            <sz val="9"/>
            <color indexed="81"/>
            <rFont val="Tahoma"/>
            <family val="2"/>
          </rPr>
          <t>hourly volume of total traffic "Approaching" from the north leg and "exiting" the north leg; this movement would be a U turn</t>
        </r>
      </text>
    </comment>
    <comment ref="M35" authorId="0">
      <text>
        <r>
          <rPr>
            <b/>
            <sz val="9"/>
            <color indexed="81"/>
            <rFont val="Tahoma"/>
            <family val="2"/>
          </rPr>
          <t>hourly volume of total traffic "Approaching" from the north leg and "exiting" the north leg; this movement would be a U turn</t>
        </r>
      </text>
    </comment>
  </commentList>
</comments>
</file>

<file path=xl/comments6.xml><?xml version="1.0" encoding="utf-8"?>
<comments xmlns="http://schemas.openxmlformats.org/spreadsheetml/2006/main">
  <authors>
    <author>MEEK Joseph L</author>
  </authors>
  <commentList>
    <comment ref="X3" authorId="0">
      <text>
        <r>
          <rPr>
            <b/>
            <sz val="9"/>
            <color indexed="81"/>
            <rFont val="Tahoma"/>
            <family val="2"/>
          </rPr>
          <t>enter "yes" or "no"
shortest street/sidewalk system, not as the crow flies</t>
        </r>
      </text>
    </comment>
    <comment ref="W7" authorId="0">
      <text>
        <r>
          <rPr>
            <b/>
            <sz val="9"/>
            <color indexed="81"/>
            <rFont val="Tahoma"/>
            <family val="2"/>
          </rPr>
          <t>number of pedestrians crossing the north leg</t>
        </r>
      </text>
    </comment>
    <comment ref="M11" authorId="0">
      <text>
        <r>
          <rPr>
            <b/>
            <sz val="9"/>
            <color indexed="81"/>
            <rFont val="Tahoma"/>
            <family val="2"/>
          </rPr>
          <t>hourly volume of total traffic "Approaching" from the north leg and "exiting" the north leg; this movement would be a U turn</t>
        </r>
      </text>
    </comment>
    <comment ref="C14" authorId="0">
      <text>
        <r>
          <rPr>
            <b/>
            <sz val="9"/>
            <color indexed="81"/>
            <rFont val="Tahoma"/>
            <family val="2"/>
          </rPr>
          <t>hourly volume of total traffic "Approaching" from the north leg and "exiting" the north leg; this movement would be a U turn</t>
        </r>
      </text>
    </comment>
    <comment ref="M23" authorId="0">
      <text>
        <r>
          <rPr>
            <b/>
            <sz val="9"/>
            <color indexed="81"/>
            <rFont val="Tahoma"/>
            <family val="2"/>
          </rPr>
          <t>hourly volume of total traffic "Approaching" from the north leg and "exiting" the north leg; this movement would be a U turn</t>
        </r>
      </text>
    </comment>
    <comment ref="M29" authorId="0">
      <text>
        <r>
          <rPr>
            <b/>
            <sz val="9"/>
            <color indexed="81"/>
            <rFont val="Tahoma"/>
            <family val="2"/>
          </rPr>
          <t>hourly volume of total traffic "Approaching" from the north leg and "exiting" the north leg; this movement would be a U turn</t>
        </r>
      </text>
    </comment>
    <comment ref="M35" authorId="0">
      <text>
        <r>
          <rPr>
            <b/>
            <sz val="9"/>
            <color indexed="81"/>
            <rFont val="Tahoma"/>
            <family val="2"/>
          </rPr>
          <t>hourly volume of total traffic "Approaching" from the north leg and "exiting" the north leg; this movement would be a U turn</t>
        </r>
      </text>
    </comment>
  </commentList>
</comments>
</file>

<file path=xl/sharedStrings.xml><?xml version="1.0" encoding="utf-8"?>
<sst xmlns="http://schemas.openxmlformats.org/spreadsheetml/2006/main" count="1405" uniqueCount="281">
  <si>
    <t>Analyst:</t>
  </si>
  <si>
    <t>Date:</t>
  </si>
  <si>
    <t>Year:</t>
  </si>
  <si>
    <t>N</t>
  </si>
  <si>
    <t>E</t>
  </si>
  <si>
    <t>S</t>
  </si>
  <si>
    <t>Leg v/c ratio</t>
  </si>
  <si>
    <t>LOS</t>
  </si>
  <si>
    <t>approach.</t>
  </si>
  <si>
    <t>PHF</t>
  </si>
  <si>
    <t>Bypass Lane Merge Point Analysis</t>
  </si>
  <si>
    <t>General Information</t>
  </si>
  <si>
    <t>Approaches</t>
  </si>
  <si>
    <t>Exits</t>
  </si>
  <si>
    <r>
      <t>E</t>
    </r>
    <r>
      <rPr>
        <vertAlign val="subscript"/>
        <sz val="10"/>
        <rFont val="Arial"/>
        <family val="2"/>
      </rPr>
      <t>m</t>
    </r>
  </si>
  <si>
    <t>bicycle</t>
  </si>
  <si>
    <r>
      <t>E</t>
    </r>
    <r>
      <rPr>
        <vertAlign val="subscript"/>
        <sz val="10"/>
        <rFont val="Arial"/>
        <family val="2"/>
      </rPr>
      <t>b</t>
    </r>
  </si>
  <si>
    <r>
      <t>E</t>
    </r>
    <r>
      <rPr>
        <vertAlign val="subscript"/>
        <sz val="10"/>
        <rFont val="Arial"/>
        <family val="2"/>
      </rPr>
      <t>h</t>
    </r>
  </si>
  <si>
    <t>Project:</t>
  </si>
  <si>
    <t>Agency:</t>
  </si>
  <si>
    <t>Passenger Car Equivalents</t>
  </si>
  <si>
    <t>medium</t>
  </si>
  <si>
    <t>heavy</t>
  </si>
  <si>
    <t>Proportion of Medium</t>
  </si>
  <si>
    <t>Proportion of Heavy</t>
  </si>
  <si>
    <t>Proportion of Bicycle</t>
  </si>
  <si>
    <r>
      <t>P</t>
    </r>
    <r>
      <rPr>
        <vertAlign val="subscript"/>
        <sz val="10"/>
        <rFont val="Arial"/>
        <family val="2"/>
      </rPr>
      <t>b</t>
    </r>
  </si>
  <si>
    <r>
      <t>P</t>
    </r>
    <r>
      <rPr>
        <vertAlign val="subscript"/>
        <sz val="10"/>
        <rFont val="Arial"/>
        <family val="2"/>
      </rPr>
      <t>m</t>
    </r>
  </si>
  <si>
    <r>
      <t>P</t>
    </r>
    <r>
      <rPr>
        <vertAlign val="subscript"/>
        <sz val="10"/>
        <rFont val="Arial"/>
        <family val="2"/>
      </rPr>
      <t>h</t>
    </r>
  </si>
  <si>
    <t>Portion of an hour:</t>
  </si>
  <si>
    <t>Flow Rate</t>
  </si>
  <si>
    <r>
      <t>v</t>
    </r>
    <r>
      <rPr>
        <vertAlign val="subscript"/>
        <sz val="10"/>
        <rFont val="Arial"/>
        <family val="2"/>
      </rPr>
      <t>i</t>
    </r>
  </si>
  <si>
    <r>
      <t>f</t>
    </r>
    <r>
      <rPr>
        <vertAlign val="subscript"/>
        <sz val="10"/>
        <rFont val="Arial"/>
        <family val="2"/>
      </rPr>
      <t>hv</t>
    </r>
  </si>
  <si>
    <r>
      <t>v</t>
    </r>
    <r>
      <rPr>
        <vertAlign val="subscript"/>
        <sz val="10"/>
        <rFont val="Arial"/>
        <family val="2"/>
      </rPr>
      <t>c</t>
    </r>
  </si>
  <si>
    <t>n/a</t>
  </si>
  <si>
    <r>
      <t>d</t>
    </r>
    <r>
      <rPr>
        <vertAlign val="subscript"/>
        <sz val="10"/>
        <rFont val="Arial"/>
        <family val="2"/>
      </rPr>
      <t>int</t>
    </r>
  </si>
  <si>
    <r>
      <t>x</t>
    </r>
    <r>
      <rPr>
        <vertAlign val="subscript"/>
        <sz val="10"/>
        <rFont val="Arial"/>
        <family val="2"/>
      </rPr>
      <t>i</t>
    </r>
  </si>
  <si>
    <r>
      <t>c</t>
    </r>
    <r>
      <rPr>
        <vertAlign val="subscript"/>
        <sz val="10"/>
        <rFont val="Arial"/>
        <family val="2"/>
      </rPr>
      <t>i</t>
    </r>
  </si>
  <si>
    <r>
      <t>d</t>
    </r>
    <r>
      <rPr>
        <vertAlign val="subscript"/>
        <sz val="10"/>
        <rFont val="Arial"/>
        <family val="2"/>
      </rPr>
      <t>i</t>
    </r>
  </si>
  <si>
    <t>3 or 4 legs</t>
  </si>
  <si>
    <t>Intersection LOS</t>
  </si>
  <si>
    <t>Hour Volumes</t>
  </si>
  <si>
    <t>Roundabout Input</t>
  </si>
  <si>
    <t>Output</t>
  </si>
  <si>
    <t>Rec</t>
  </si>
  <si>
    <t># of Heavy Trucks</t>
  </si>
  <si>
    <t># of Bicycles</t>
  </si>
  <si>
    <t>Peak Hour Factor</t>
  </si>
  <si>
    <t>legs?</t>
  </si>
  <si>
    <t>Peak hr</t>
  </si>
  <si>
    <t>PM</t>
  </si>
  <si>
    <r>
      <t>f</t>
    </r>
    <r>
      <rPr>
        <vertAlign val="subscript"/>
        <sz val="10"/>
        <rFont val="Arial"/>
        <family val="2"/>
      </rPr>
      <t>ped</t>
    </r>
  </si>
  <si>
    <t>Control delay (sec/veh)</t>
  </si>
  <si>
    <t xml:space="preserve">The heavy right turn volume enters from the </t>
  </si>
  <si>
    <t xml:space="preserve">The heavy right turn volume then exits on the </t>
  </si>
  <si>
    <t>W</t>
  </si>
  <si>
    <t>Adjusted Flow Rate</t>
  </si>
  <si>
    <t>vph</t>
  </si>
  <si>
    <r>
      <t>#</t>
    </r>
    <r>
      <rPr>
        <b/>
        <sz val="8"/>
        <rFont val="Arial"/>
        <family val="2"/>
      </rPr>
      <t xml:space="preserve"> </t>
    </r>
    <r>
      <rPr>
        <b/>
        <sz val="10"/>
        <rFont val="Arial"/>
        <family val="2"/>
      </rPr>
      <t>of</t>
    </r>
    <r>
      <rPr>
        <b/>
        <sz val="8"/>
        <rFont val="Arial"/>
        <family val="2"/>
      </rPr>
      <t xml:space="preserve"> </t>
    </r>
    <r>
      <rPr>
        <b/>
        <sz val="10"/>
        <rFont val="Arial"/>
        <family val="2"/>
      </rPr>
      <t>Medium</t>
    </r>
    <r>
      <rPr>
        <b/>
        <sz val="8"/>
        <rFont val="Arial"/>
        <family val="2"/>
      </rPr>
      <t xml:space="preserve"> </t>
    </r>
    <r>
      <rPr>
        <b/>
        <sz val="10"/>
        <rFont val="Arial"/>
        <family val="2"/>
      </rPr>
      <t>Trucks</t>
    </r>
  </si>
  <si>
    <t>Int cntrl delay (sec/veh)</t>
  </si>
  <si>
    <t>pc/h</t>
  </si>
  <si>
    <t>c</t>
  </si>
  <si>
    <t>v</t>
  </si>
  <si>
    <t>veh/h</t>
  </si>
  <si>
    <t>Entry Flow Rates</t>
  </si>
  <si>
    <t>Capacity</t>
  </si>
  <si>
    <t>Entry capacity (veh/h)</t>
  </si>
  <si>
    <t>Entry Flow Rate (pc/h)</t>
  </si>
  <si>
    <t>v/c</t>
  </si>
  <si>
    <t>Volume to Capacity ratio</t>
  </si>
  <si>
    <t>Delay</t>
  </si>
  <si>
    <t>s/veh</t>
  </si>
  <si>
    <t>Entry flow (veh/h)</t>
  </si>
  <si>
    <t>General &amp; Roundabout Information</t>
  </si>
  <si>
    <t>This spreadsheet computes:</t>
  </si>
  <si>
    <t>- Leg v/c ratio</t>
  </si>
  <si>
    <t>- Intersection LOS</t>
  </si>
  <si>
    <t>Bypass Lanes</t>
  </si>
  <si>
    <t>- Approach LOS</t>
  </si>
  <si>
    <t>- Bypass v/c ratio</t>
  </si>
  <si>
    <t>- Bypass capacity (veh/h)</t>
  </si>
  <si>
    <t>- Bypass Flow Rates (veh/h)</t>
  </si>
  <si>
    <t>- Bypass Control Delay (sec/veh)</t>
  </si>
  <si>
    <t>- Bypass LOS</t>
  </si>
  <si>
    <t>Vehicle Factor</t>
  </si>
  <si>
    <t>leg.</t>
  </si>
  <si>
    <t>West</t>
  </si>
  <si>
    <t>leg bypass volume removed</t>
  </si>
  <si>
    <t>Entry on the Single Lane Roundabout Calculator:</t>
  </si>
  <si>
    <t>South</t>
  </si>
  <si>
    <t>North</t>
  </si>
  <si>
    <t>East</t>
  </si>
  <si>
    <t>North leg bypass</t>
  </si>
  <si>
    <t>South leg bypass</t>
  </si>
  <si>
    <t>East leg bypass</t>
  </si>
  <si>
    <t>West leg bypass</t>
  </si>
  <si>
    <t>Dismiss:</t>
  </si>
  <si>
    <t>Entry on the Single Lane Roundabout Calculator with no volume from 1st Bypass:</t>
  </si>
  <si>
    <t>2nd Bypass Lane Merge Point Analysis</t>
  </si>
  <si>
    <t>The first bypass you entered:</t>
  </si>
  <si>
    <t>TWO</t>
  </si>
  <si>
    <t>BYPASSES</t>
  </si>
  <si>
    <t>Pedestrian impedance</t>
  </si>
  <si>
    <t>Type 1 Yielding Bypass lane</t>
  </si>
  <si>
    <t>Type 2 Nonyielding Bypass lane</t>
  </si>
  <si>
    <t>Items to keep in mind if constrained to a Type 1 nonyielding bypass lane:</t>
  </si>
  <si>
    <t>- Ped impedance</t>
  </si>
  <si>
    <t xml:space="preserve">A heavy right turn volume approaches at the </t>
  </si>
  <si>
    <t>Considerations for a Type 2 nonyielding bypass lane:</t>
  </si>
  <si>
    <t>- A median refuge should ensure a pedestrian only crosses one lane at a time</t>
  </si>
  <si>
    <t>- Bypass travel path geometrically slows traffic</t>
  </si>
  <si>
    <t>- Is there a heavy left turn volume down this leg to create a demand to quickly merge?</t>
  </si>
  <si>
    <t>- All traffic volume is now in one lane, consider what gaps exist for pedestrian</t>
  </si>
  <si>
    <t>- Safety of heavy right movement merging into all movements exiting roundabout</t>
  </si>
  <si>
    <t>- Angle that driver has to look over the shoulder to merge, then forward to yield to pedestrians</t>
  </si>
  <si>
    <t>The studied data set did not include large percentages of:  pedestrians, trucks, or bicycles.</t>
  </si>
  <si>
    <t>Order of Use</t>
  </si>
  <si>
    <t>Notes</t>
  </si>
  <si>
    <t>Singlelane</t>
  </si>
  <si>
    <t>Bypasslane</t>
  </si>
  <si>
    <t>Instructions/clarifications</t>
  </si>
  <si>
    <t>2ndBypasslane</t>
  </si>
  <si>
    <t>An engineer is responsible for decisions and judgement, this is meant to be a starting point.</t>
  </si>
  <si>
    <t>than yielding bypass values shown below) and the analysis is complete for this bypass lane.</t>
  </si>
  <si>
    <t>Medium trucks</t>
  </si>
  <si>
    <t>Bicycles</t>
  </si>
  <si>
    <t>Heavy trucks</t>
  </si>
  <si>
    <t>All vehicles</t>
  </si>
  <si>
    <t>Pedestrian crossings</t>
  </si>
  <si>
    <t>Medium Trucks</t>
  </si>
  <si>
    <t>Heavy Trucks</t>
  </si>
  <si>
    <t>All Vehicles</t>
  </si>
  <si>
    <t>Pedestrian Crossings</t>
  </si>
  <si>
    <t>Input</t>
  </si>
  <si>
    <t>Conflict Flow (pc/h)</t>
  </si>
  <si>
    <t>Weighted Entry Vehicle Factors</t>
  </si>
  <si>
    <t>Weighted Conflict Vehicle Factors</t>
  </si>
  <si>
    <t>Conflict flow (veh/h)</t>
  </si>
  <si>
    <r>
      <t>f</t>
    </r>
    <r>
      <rPr>
        <vertAlign val="subscript"/>
        <sz val="8"/>
        <rFont val="Arial"/>
        <family val="2"/>
      </rPr>
      <t>hv</t>
    </r>
  </si>
  <si>
    <r>
      <t>P</t>
    </r>
    <r>
      <rPr>
        <vertAlign val="subscript"/>
        <sz val="8"/>
        <rFont val="Arial"/>
        <family val="2"/>
      </rPr>
      <t>b</t>
    </r>
  </si>
  <si>
    <r>
      <t>P</t>
    </r>
    <r>
      <rPr>
        <vertAlign val="subscript"/>
        <sz val="8"/>
        <rFont val="Arial"/>
        <family val="2"/>
      </rPr>
      <t>m</t>
    </r>
  </si>
  <si>
    <r>
      <t>P</t>
    </r>
    <r>
      <rPr>
        <vertAlign val="subscript"/>
        <sz val="8"/>
        <rFont val="Arial"/>
        <family val="2"/>
      </rPr>
      <t>h</t>
    </r>
  </si>
  <si>
    <t>Exits w/o right vol pch</t>
  </si>
  <si>
    <t>3 or 4</t>
  </si>
  <si>
    <t xml:space="preserve">Analyze a second bypass lane with the next tab, 2ndBypasslane.  The second printed page (same tab) is the </t>
  </si>
  <si>
    <t>If there is room for a new lane, then bypass LOS is A and capacity is expected to be high (higher</t>
  </si>
  <si>
    <t>Weighted Conflict Factors</t>
  </si>
  <si>
    <r>
      <t>Q</t>
    </r>
    <r>
      <rPr>
        <vertAlign val="subscript"/>
        <sz val="9"/>
        <rFont val="Arial"/>
        <family val="2"/>
      </rPr>
      <t>m</t>
    </r>
  </si>
  <si>
    <r>
      <t>Int cntrl delay</t>
    </r>
    <r>
      <rPr>
        <sz val="9"/>
        <rFont val="Arial"/>
        <family val="2"/>
      </rPr>
      <t xml:space="preserve"> (sec/veh)</t>
    </r>
  </si>
  <si>
    <r>
      <t>Control</t>
    </r>
    <r>
      <rPr>
        <sz val="8"/>
        <rFont val="Arial"/>
        <family val="2"/>
      </rPr>
      <t xml:space="preserve"> </t>
    </r>
    <r>
      <rPr>
        <sz val="10"/>
        <rFont val="Arial"/>
        <family val="2"/>
      </rPr>
      <t>delay</t>
    </r>
    <r>
      <rPr>
        <sz val="8"/>
        <rFont val="Arial"/>
        <family val="2"/>
      </rPr>
      <t xml:space="preserve"> </t>
    </r>
    <r>
      <rPr>
        <sz val="9"/>
        <rFont val="Arial"/>
        <family val="2"/>
      </rPr>
      <t>(sec/veh)</t>
    </r>
  </si>
  <si>
    <r>
      <t>Weighted</t>
    </r>
    <r>
      <rPr>
        <sz val="4"/>
        <rFont val="Arial"/>
        <family val="2"/>
      </rPr>
      <t xml:space="preserve"> </t>
    </r>
    <r>
      <rPr>
        <sz val="8"/>
        <rFont val="Arial"/>
        <family val="2"/>
      </rPr>
      <t>Entry</t>
    </r>
    <r>
      <rPr>
        <sz val="4"/>
        <rFont val="Arial"/>
        <family val="2"/>
      </rPr>
      <t xml:space="preserve"> </t>
    </r>
    <r>
      <rPr>
        <sz val="8"/>
        <rFont val="Arial"/>
        <family val="2"/>
      </rPr>
      <t>Veh</t>
    </r>
    <r>
      <rPr>
        <sz val="4"/>
        <rFont val="Arial"/>
        <family val="2"/>
      </rPr>
      <t xml:space="preserve"> </t>
    </r>
    <r>
      <rPr>
        <sz val="8"/>
        <rFont val="Arial"/>
        <family val="2"/>
      </rPr>
      <t>Factor</t>
    </r>
  </si>
  <si>
    <t>The roundabout analysis with the</t>
  </si>
  <si>
    <t>leg bypass and previous bypass</t>
  </si>
  <si>
    <t>automobile analysis methodology and may not be valid if there is an HCM update.</t>
  </si>
  <si>
    <t>4 legs entered without 4 selected movements greater than zero</t>
  </si>
  <si>
    <t>Analyst name</t>
  </si>
  <si>
    <t>Agency</t>
  </si>
  <si>
    <t>Date</t>
  </si>
  <si>
    <t>Project</t>
  </si>
  <si>
    <t>Year</t>
  </si>
  <si>
    <t>Passenger Car Equivalents (ODOT recommended values to the right in grey):</t>
  </si>
  <si>
    <t>medium trucks</t>
  </si>
  <si>
    <t>heavy trucks</t>
  </si>
  <si>
    <t>number of pedestrian crossings of each approach in the studied hour</t>
  </si>
  <si>
    <t>Cells not shaded are likely input cells.</t>
  </si>
  <si>
    <t>number of legs, use pull down</t>
  </si>
  <si>
    <t>A number of legs greater than four or smaller than 3</t>
  </si>
  <si>
    <t>Study portion of an hour is over 1.0</t>
  </si>
  <si>
    <t xml:space="preserve">Most of this calculator is based on the published 2010 Highway Capacity Manual roundabout </t>
  </si>
  <si>
    <t>Use tabs in the order they appear</t>
  </si>
  <si>
    <t>Bypass lane analysis (if needed) &amp; roundabout anaylsis with bypass</t>
  </si>
  <si>
    <r>
      <t xml:space="preserve">2ndBypass lane analysis (if needed) &amp; roundabout anaylsis with </t>
    </r>
    <r>
      <rPr>
        <b/>
        <sz val="10"/>
        <rFont val="Arial"/>
        <family val="2"/>
      </rPr>
      <t>2</t>
    </r>
    <r>
      <rPr>
        <sz val="10"/>
        <rFont val="Arial"/>
        <family val="2"/>
      </rPr>
      <t xml:space="preserve"> bypasses</t>
    </r>
  </si>
  <si>
    <r>
      <t>HCM 95</t>
    </r>
    <r>
      <rPr>
        <vertAlign val="superscript"/>
        <sz val="10"/>
        <rFont val="Arial"/>
        <family val="2"/>
      </rPr>
      <t>th</t>
    </r>
    <r>
      <rPr>
        <sz val="10"/>
        <rFont val="Arial"/>
        <family val="2"/>
      </rPr>
      <t>%</t>
    </r>
    <r>
      <rPr>
        <sz val="9"/>
        <rFont val="Arial"/>
        <family val="2"/>
      </rPr>
      <t xml:space="preserve"> </t>
    </r>
    <r>
      <rPr>
        <sz val="10"/>
        <rFont val="Arial"/>
        <family val="2"/>
      </rPr>
      <t>Queue</t>
    </r>
    <r>
      <rPr>
        <sz val="9"/>
        <rFont val="Arial"/>
        <family val="2"/>
      </rPr>
      <t xml:space="preserve"> (veh)</t>
    </r>
  </si>
  <si>
    <r>
      <t>HCM</t>
    </r>
    <r>
      <rPr>
        <sz val="9"/>
        <rFont val="Arial"/>
        <family val="2"/>
      </rPr>
      <t xml:space="preserve"> 95</t>
    </r>
    <r>
      <rPr>
        <vertAlign val="superscript"/>
        <sz val="9"/>
        <rFont val="Arial"/>
        <family val="2"/>
      </rPr>
      <t>th</t>
    </r>
    <r>
      <rPr>
        <sz val="9"/>
        <rFont val="Arial"/>
        <family val="2"/>
      </rPr>
      <t>% Queue (veh)</t>
    </r>
  </si>
  <si>
    <t>ONE</t>
  </si>
  <si>
    <t>BYPASS</t>
  </si>
  <si>
    <t>portion of an hour studied (0.25 is recommended)</t>
  </si>
  <si>
    <t>Single Lane Roundabouts</t>
  </si>
  <si>
    <t>These calculations are mostly 2010 HCM based, but results may differ if inputs vary from HCM depending</t>
  </si>
  <si>
    <t>on user input.  For instance, ODOT recommends PCEs of 1 for bicycles, 1.5 for medium trucks, and 2 for</t>
  </si>
  <si>
    <t>General information input, user checks inputs, roundabout analysis output</t>
  </si>
  <si>
    <t>On Singlelane tab look for red cells</t>
  </si>
  <si>
    <t>A bicycle, medium, or heavy truck volume larger than hourly total</t>
  </si>
  <si>
    <t>1st Bypass Entry Flow Rate</t>
  </si>
  <si>
    <t>2nd Bypass Entry Flow Rate</t>
  </si>
  <si>
    <t>bypass delay</t>
  </si>
  <si>
    <t>Bypass Delay</t>
  </si>
  <si>
    <t>East Leg:</t>
  </si>
  <si>
    <t>South Leg:</t>
  </si>
  <si>
    <t>Changes here</t>
  </si>
  <si>
    <t>do not go to</t>
  </si>
  <si>
    <t xml:space="preserve"> Input tab.</t>
  </si>
  <si>
    <t>East leg:</t>
  </si>
  <si>
    <t>South leg:</t>
  </si>
  <si>
    <t>Input:</t>
  </si>
  <si>
    <t>In an effort to help the user to avoid input errors, a cell may turn red if:</t>
  </si>
  <si>
    <t>Street names</t>
  </si>
  <si>
    <t>A Policy on Geometric Design of Highways and Streets, Figure 9-70 Basic Geometric Elements of a Roundabout</t>
  </si>
  <si>
    <t>Only two selections are necessary (cell E13 and yield selection button).</t>
  </si>
  <si>
    <t>Bend</t>
  </si>
  <si>
    <t>A intercept</t>
  </si>
  <si>
    <t>B coefficient</t>
  </si>
  <si>
    <t>(+) Input</t>
  </si>
  <si>
    <t>Entry Capacity</t>
  </si>
  <si>
    <t>Bypass Capacity</t>
  </si>
  <si>
    <t>crossings per leg</t>
  </si>
  <si>
    <t>Pedestrian</t>
  </si>
  <si>
    <t>#</t>
  </si>
  <si>
    <t>Crossings per leg</t>
  </si>
  <si>
    <t xml:space="preserve">Fill in the input sheet, recommendations may be in grey to the right.  Passenger Car Equivalent (PCE):  ODOT </t>
  </si>
  <si>
    <t>recommends bicycles =1, medium trucks =1.5, heavy trucks =2.  WB67, buses, and other vehicles of such</t>
  </si>
  <si>
    <t>length should be considered heavy trucks.  If hour is to be PHF adjusted, then input 0.25 for portion of an hour.</t>
  </si>
  <si>
    <t>Volumes, PCEs, and Headways</t>
  </si>
  <si>
    <t>HCM Queue</t>
  </si>
  <si>
    <t xml:space="preserve">veh </t>
  </si>
  <si>
    <t>North approach to the West</t>
  </si>
  <si>
    <t>3rd Bypass Lane Merge Point Analysis</t>
  </si>
  <si>
    <t>The second bypass you entered:</t>
  </si>
  <si>
    <t>Entry on the Single Lane Roundabout Calculator with no volume from 1st or second Bypass:</t>
  </si>
  <si>
    <t xml:space="preserve">  THREE</t>
  </si>
  <si>
    <t>20yrs &gt; build</t>
  </si>
  <si>
    <t>3rd bypass entry flow rate</t>
  </si>
  <si>
    <t>The third bypass you entered:</t>
  </si>
  <si>
    <t>FOUR</t>
  </si>
  <si>
    <t>4th Bypass Lane Merge Point Analysis</t>
  </si>
  <si>
    <t>4th bypass entry flow rate</t>
  </si>
  <si>
    <t>Safety City</t>
  </si>
  <si>
    <t xml:space="preserve">         PHF</t>
  </si>
  <si>
    <t>Geometric and volume input, Make changes in Input tab.</t>
  </si>
  <si>
    <t>then use those tabs much like the 2ndBypass tab.</t>
  </si>
  <si>
    <t xml:space="preserve">roundabout analysis with both bypasses taken into account.  If a third or fourth bypass lane would be of benefit, </t>
  </si>
  <si>
    <t>3rd and 4th Bypasslanes</t>
  </si>
  <si>
    <r>
      <t xml:space="preserve">Bypass lane analysis (if needed) &amp; roundabout anaylsis with </t>
    </r>
    <r>
      <rPr>
        <b/>
        <sz val="10"/>
        <rFont val="Arial"/>
        <family val="2"/>
      </rPr>
      <t>3 or 4</t>
    </r>
    <r>
      <rPr>
        <sz val="10"/>
        <rFont val="Arial"/>
        <family val="2"/>
      </rPr>
      <t xml:space="preserve"> bypasses</t>
    </r>
  </si>
  <si>
    <t>hourly movement volumes</t>
  </si>
  <si>
    <t>is to the right.  Please print and electronically save this information for your records.</t>
  </si>
  <si>
    <t>volume removed is to the right.  Please print and electronically save this information.</t>
  </si>
  <si>
    <t>leg bypass and previous bypasses</t>
  </si>
  <si>
    <t>volumes removed is to the right.  Please print and electronically save this information.</t>
  </si>
  <si>
    <t>Hourly volumes</t>
  </si>
  <si>
    <r>
      <rPr>
        <b/>
        <i/>
        <sz val="10"/>
        <rFont val="Arial"/>
        <family val="2"/>
      </rPr>
      <t>Disclaimer:</t>
    </r>
    <r>
      <rPr>
        <sz val="10"/>
        <rFont val="Arial"/>
        <family val="2"/>
      </rPr>
      <t xml:space="preserve">  </t>
    </r>
  </si>
  <si>
    <t>Start of peak hour</t>
  </si>
  <si>
    <t>(PHF)</t>
  </si>
  <si>
    <t xml:space="preserve">Pedestrian Crossings </t>
  </si>
  <si>
    <t>- Intersection delay</t>
  </si>
  <si>
    <t>- Approach Delay</t>
  </si>
  <si>
    <t>- Entry capacity</t>
  </si>
  <si>
    <t>- Conflict flow</t>
  </si>
  <si>
    <t>If considering a bypass lane, input the leg the bypass approach would be from on the Bypasslane tab and if it</t>
  </si>
  <si>
    <t>is a yielding or nonyielding bypass; bypass calculations will be shaded over if a nonyielding bypass is chosen.</t>
  </si>
  <si>
    <t>second printed page (same tab) shows roundabout analysis with the bypass taken into account.</t>
  </si>
  <si>
    <t>See tab for considerations of bypass types.  If a V/C output is over 1.0, then that cell is highlighted yellow.  The</t>
  </si>
  <si>
    <t>heavy trucks.  HCM does not have these PCE inputs at this time.</t>
  </si>
  <si>
    <t>PHF, by definition of the HCM equation, is limited to 0.25 – 1.00 by calculation.</t>
  </si>
  <si>
    <t>TPAU is following the spirit of HCM equation 18-1 by not letting PHFs exceed 1.0 at an intersection level where movement PHF is appropriate.</t>
  </si>
  <si>
    <t>hour count</t>
  </si>
  <si>
    <t>divided by</t>
  </si>
  <si>
    <t>peak 15 min count</t>
  </si>
  <si>
    <t>X</t>
  </si>
  <si>
    <t>Type 1</t>
  </si>
  <si>
    <t>(yielding)</t>
  </si>
  <si>
    <t>Type 2</t>
  </si>
  <si>
    <t>(Nonyielding)</t>
  </si>
  <si>
    <t>00</t>
  </si>
  <si>
    <t>Pat Stoplight PE</t>
  </si>
  <si>
    <t>Project Name</t>
  </si>
  <si>
    <t>Version No.</t>
  </si>
  <si>
    <t>Author</t>
  </si>
  <si>
    <t>Change(s) Made</t>
  </si>
  <si>
    <t>Joe Meek</t>
  </si>
  <si>
    <t>Published HCM 2010 compatible version</t>
  </si>
  <si>
    <t>For all vehicles, enter hourly movement volumes on the Input tab, as well as Peak Hour Factors (PHF).</t>
  </si>
  <si>
    <t>Input separate hourly volumes of medium and heavy trucks.  Vehicle length or number of axles could determine</t>
  </si>
  <si>
    <t>classification.  With these and bicycle inputs, the PCEs are automatically applied.  This can change due to</t>
  </si>
  <si>
    <t>future land use or facility type changes.  For such a case, PCE or PHF values can be manually overridden.</t>
  </si>
  <si>
    <t>Oregon Dept of Transportation, Transportation Planning Analysis Unit</t>
  </si>
  <si>
    <t>Headways are entered at the lower right corner of the Input tab.  The recommended headways for Bend, OR</t>
  </si>
  <si>
    <t>and the rest of Oregon are shown in grey to the right of the input location.</t>
  </si>
  <si>
    <t>0.25 or 1</t>
  </si>
  <si>
    <t>This does not print:</t>
  </si>
  <si>
    <t>Roundabout Information:</t>
  </si>
  <si>
    <t>If there are questions or issues with the Single Lane Roundabout Calculator, please contact: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</si>
</sst>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00"/>
    <numFmt numFmtId="166" formatCode="h:mm;@"/>
    <numFmt numFmtId="167" formatCode="[$-409]h:mm"/>
    <numFmt numFmtId="168" formatCode="0.0000"/>
  </numFmts>
  <fonts count="43" x14ac:knownFonts="1">
    <font>
      <sz val="10"/>
      <name val="Arial"/>
    </font>
    <font>
      <sz val="11"/>
      <color theme="1"/>
      <name val="Calibri"/>
      <family val="2"/>
      <scheme val="minor"/>
    </font>
    <font>
      <sz val="8"/>
      <name val="Arial"/>
      <family val="2"/>
    </font>
    <font>
      <b/>
      <sz val="10"/>
      <name val="Arial"/>
      <family val="2"/>
    </font>
    <font>
      <vertAlign val="subscript"/>
      <sz val="10"/>
      <name val="Arial"/>
      <family val="2"/>
    </font>
    <font>
      <sz val="10"/>
      <name val="Arial"/>
      <family val="2"/>
    </font>
    <font>
      <sz val="11"/>
      <name val="Calibri"/>
      <family val="2"/>
    </font>
    <font>
      <b/>
      <sz val="9"/>
      <name val="Arial"/>
      <family val="2"/>
    </font>
    <font>
      <sz val="9"/>
      <color indexed="81"/>
      <name val="Tahoma"/>
      <family val="2"/>
    </font>
    <font>
      <sz val="9"/>
      <name val="Arial"/>
      <family val="2"/>
    </font>
    <font>
      <b/>
      <sz val="9"/>
      <color indexed="81"/>
      <name val="Tahoma"/>
      <family val="2"/>
    </font>
    <font>
      <sz val="10"/>
      <color rgb="FFFF0000"/>
      <name val="Arial"/>
      <family val="2"/>
    </font>
    <font>
      <b/>
      <sz val="8"/>
      <name val="Arial"/>
      <family val="2"/>
    </font>
    <font>
      <vertAlign val="subscript"/>
      <sz val="9"/>
      <name val="Arial"/>
      <family val="2"/>
    </font>
    <font>
      <b/>
      <i/>
      <sz val="10"/>
      <name val="Arial"/>
      <family val="2"/>
    </font>
    <font>
      <sz val="9"/>
      <color rgb="FFFF0000"/>
      <name val="Arial"/>
      <family val="2"/>
    </font>
    <font>
      <sz val="11"/>
      <color theme="1"/>
      <name val="Calibri"/>
      <family val="2"/>
      <scheme val="minor"/>
    </font>
    <font>
      <b/>
      <sz val="10"/>
      <color rgb="FFFF0000"/>
      <name val="Arial"/>
      <family val="2"/>
    </font>
    <font>
      <vertAlign val="subscript"/>
      <sz val="8"/>
      <name val="Arial"/>
      <family val="2"/>
    </font>
    <font>
      <sz val="4"/>
      <name val="Arial"/>
      <family val="2"/>
    </font>
    <font>
      <vertAlign val="superscript"/>
      <sz val="10"/>
      <name val="Arial"/>
      <family val="2"/>
    </font>
    <font>
      <vertAlign val="superscript"/>
      <sz val="9"/>
      <name val="Arial"/>
      <family val="2"/>
    </font>
    <font>
      <sz val="10"/>
      <color theme="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0" tint="-0.34998626667073579"/>
      <name val="Arial"/>
      <family val="2"/>
    </font>
    <font>
      <sz val="12"/>
      <name val="Times New Roman"/>
      <family val="1"/>
    </font>
    <font>
      <b/>
      <sz val="11"/>
      <color theme="1"/>
      <name val="Calibri"/>
      <family val="2"/>
      <scheme val="minor"/>
    </font>
  </fonts>
  <fills count="33">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FFFF00"/>
        <bgColor indexed="64"/>
      </patternFill>
    </fill>
    <fill>
      <patternFill patternType="solid">
        <fgColor theme="1" tint="0.3499862666707357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9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bottom style="double">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double">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right/>
      <top style="thin">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top style="thin">
        <color indexed="64"/>
      </top>
      <bottom/>
      <diagonal/>
    </border>
  </borders>
  <cellStyleXfs count="45">
    <xf numFmtId="0" fontId="0" fillId="0" borderId="0"/>
    <xf numFmtId="0" fontId="5" fillId="0" borderId="0"/>
    <xf numFmtId="0" fontId="16" fillId="0" borderId="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8" borderId="0" applyNumberFormat="0" applyBorder="0" applyAlignment="0" applyProtection="0"/>
    <xf numFmtId="0" fontId="25" fillId="12" borderId="0" applyNumberFormat="0" applyBorder="0" applyAlignment="0" applyProtection="0"/>
    <xf numFmtId="0" fontId="26" fillId="29" borderId="80" applyNumberFormat="0" applyAlignment="0" applyProtection="0"/>
    <xf numFmtId="0" fontId="27" fillId="30" borderId="81" applyNumberFormat="0" applyAlignment="0" applyProtection="0"/>
    <xf numFmtId="0" fontId="28" fillId="0" borderId="0" applyNumberFormat="0" applyFill="0" applyBorder="0" applyAlignment="0" applyProtection="0"/>
    <xf numFmtId="0" fontId="29" fillId="13" borderId="0" applyNumberFormat="0" applyBorder="0" applyAlignment="0" applyProtection="0"/>
    <xf numFmtId="0" fontId="30" fillId="0" borderId="82" applyNumberFormat="0" applyFill="0" applyAlignment="0" applyProtection="0"/>
    <xf numFmtId="0" fontId="31" fillId="0" borderId="83" applyNumberFormat="0" applyFill="0" applyAlignment="0" applyProtection="0"/>
    <xf numFmtId="0" fontId="32" fillId="0" borderId="84" applyNumberFormat="0" applyFill="0" applyAlignment="0" applyProtection="0"/>
    <xf numFmtId="0" fontId="32" fillId="0" borderId="0" applyNumberFormat="0" applyFill="0" applyBorder="0" applyAlignment="0" applyProtection="0"/>
    <xf numFmtId="0" fontId="33" fillId="16" borderId="80" applyNumberFormat="0" applyAlignment="0" applyProtection="0"/>
    <xf numFmtId="0" fontId="34" fillId="0" borderId="85" applyNumberFormat="0" applyFill="0" applyAlignment="0" applyProtection="0"/>
    <xf numFmtId="0" fontId="35" fillId="31" borderId="0" applyNumberFormat="0" applyBorder="0" applyAlignment="0" applyProtection="0"/>
    <xf numFmtId="0" fontId="23" fillId="32" borderId="86" applyNumberFormat="0" applyFont="0" applyAlignment="0" applyProtection="0"/>
    <xf numFmtId="0" fontId="36" fillId="29" borderId="87" applyNumberFormat="0" applyAlignment="0" applyProtection="0"/>
    <xf numFmtId="0" fontId="37" fillId="0" borderId="0" applyNumberFormat="0" applyFill="0" applyBorder="0" applyAlignment="0" applyProtection="0"/>
    <xf numFmtId="0" fontId="38" fillId="0" borderId="88" applyNumberFormat="0" applyFill="0" applyAlignment="0" applyProtection="0"/>
    <xf numFmtId="0" fontId="39" fillId="0" borderId="0" applyNumberFormat="0" applyFill="0" applyBorder="0" applyAlignment="0" applyProtection="0"/>
    <xf numFmtId="0" fontId="1" fillId="0" borderId="0"/>
  </cellStyleXfs>
  <cellXfs count="666">
    <xf numFmtId="0" fontId="0" fillId="0" borderId="0" xfId="0"/>
    <xf numFmtId="0" fontId="3" fillId="0" borderId="0" xfId="0" applyFont="1"/>
    <xf numFmtId="0" fontId="0" fillId="0" borderId="0" xfId="0" applyAlignment="1">
      <alignment horizontal="center"/>
    </xf>
    <xf numFmtId="164" fontId="0" fillId="0" borderId="0" xfId="0" applyNumberFormat="1" applyAlignment="1">
      <alignment horizontal="center"/>
    </xf>
    <xf numFmtId="0" fontId="0" fillId="0" borderId="0" xfId="0" applyAlignment="1">
      <alignment horizontal="left"/>
    </xf>
    <xf numFmtId="0" fontId="5" fillId="0" borderId="0" xfId="0" applyFont="1"/>
    <xf numFmtId="0" fontId="0" fillId="2" borderId="6" xfId="0" applyFill="1" applyBorder="1"/>
    <xf numFmtId="0" fontId="0" fillId="2" borderId="7" xfId="0" applyFill="1" applyBorder="1"/>
    <xf numFmtId="0" fontId="0" fillId="0" borderId="0" xfId="0" applyBorder="1"/>
    <xf numFmtId="0" fontId="0" fillId="0" borderId="0" xfId="0" applyBorder="1" applyAlignment="1">
      <alignment horizontal="center"/>
    </xf>
    <xf numFmtId="1" fontId="0" fillId="0" borderId="0" xfId="0" applyNumberFormat="1" applyFill="1" applyBorder="1" applyAlignment="1">
      <alignment horizontal="center"/>
    </xf>
    <xf numFmtId="0" fontId="0" fillId="0" borderId="0" xfId="0" applyFill="1" applyBorder="1"/>
    <xf numFmtId="0" fontId="0" fillId="0" borderId="0" xfId="0" applyFill="1" applyBorder="1" applyAlignment="1">
      <alignment horizontal="center"/>
    </xf>
    <xf numFmtId="0" fontId="3" fillId="0" borderId="0" xfId="0" applyFont="1" applyFill="1" applyBorder="1"/>
    <xf numFmtId="0" fontId="3" fillId="0" borderId="0" xfId="0" applyFont="1" applyFill="1" applyBorder="1" applyAlignment="1">
      <alignment horizontal="left"/>
    </xf>
    <xf numFmtId="0" fontId="3" fillId="0" borderId="0" xfId="0" applyFont="1" applyFill="1" applyBorder="1" applyAlignment="1">
      <alignment horizontal="center"/>
    </xf>
    <xf numFmtId="0" fontId="0" fillId="0" borderId="0" xfId="0" applyFill="1" applyBorder="1" applyAlignment="1">
      <alignment horizontal="left"/>
    </xf>
    <xf numFmtId="164" fontId="0" fillId="0" borderId="0" xfId="0" applyNumberFormat="1" applyFill="1" applyBorder="1" applyAlignment="1" applyProtection="1">
      <alignment horizontal="center"/>
      <protection locked="0"/>
    </xf>
    <xf numFmtId="165" fontId="0" fillId="0" borderId="0" xfId="0" applyNumberFormat="1" applyFill="1" applyBorder="1" applyAlignment="1">
      <alignment horizontal="center"/>
    </xf>
    <xf numFmtId="0" fontId="0" fillId="0" borderId="0" xfId="0" applyFill="1" applyBorder="1" applyAlignment="1" applyProtection="1">
      <alignment horizontal="left"/>
      <protection locked="0"/>
    </xf>
    <xf numFmtId="2" fontId="0" fillId="0" borderId="0" xfId="0" applyNumberFormat="1" applyFill="1" applyBorder="1" applyAlignment="1">
      <alignment horizontal="center"/>
    </xf>
    <xf numFmtId="164" fontId="0" fillId="0" borderId="0" xfId="0" applyNumberFormat="1" applyFill="1" applyBorder="1" applyAlignment="1">
      <alignment horizontal="center"/>
    </xf>
    <xf numFmtId="0" fontId="0" fillId="0" borderId="0" xfId="0" applyFill="1" applyBorder="1" applyAlignment="1">
      <alignment horizontal="right"/>
    </xf>
    <xf numFmtId="0" fontId="0" fillId="0" borderId="0" xfId="0" applyFill="1" applyBorder="1" applyAlignment="1" applyProtection="1">
      <alignment horizontal="center"/>
      <protection locked="0"/>
    </xf>
    <xf numFmtId="1" fontId="0" fillId="0" borderId="0" xfId="0" applyNumberFormat="1" applyFill="1" applyBorder="1" applyAlignment="1" applyProtection="1">
      <alignment horizontal="center"/>
      <protection locked="0"/>
    </xf>
    <xf numFmtId="0" fontId="3" fillId="2" borderId="22" xfId="0" applyFont="1" applyFill="1" applyBorder="1"/>
    <xf numFmtId="0" fontId="3" fillId="2" borderId="4" xfId="0" applyFont="1" applyFill="1" applyBorder="1"/>
    <xf numFmtId="0" fontId="0" fillId="2" borderId="5" xfId="0" applyFill="1" applyBorder="1"/>
    <xf numFmtId="0" fontId="0" fillId="2" borderId="26" xfId="0" applyFill="1" applyBorder="1"/>
    <xf numFmtId="0" fontId="0" fillId="0" borderId="0" xfId="0" applyBorder="1" applyAlignment="1" applyProtection="1">
      <alignment horizontal="center"/>
      <protection locked="0"/>
    </xf>
    <xf numFmtId="0" fontId="0" fillId="0" borderId="0" xfId="0" applyFill="1" applyBorder="1" applyAlignment="1">
      <alignment horizontal="center" vertical="center" textRotation="90"/>
    </xf>
    <xf numFmtId="0" fontId="3" fillId="2" borderId="8" xfId="0" applyFont="1" applyFill="1" applyBorder="1"/>
    <xf numFmtId="0" fontId="0" fillId="0" borderId="0" xfId="0" applyBorder="1" applyProtection="1">
      <protection locked="0"/>
    </xf>
    <xf numFmtId="1" fontId="6" fillId="3" borderId="0" xfId="0" quotePrefix="1" applyNumberFormat="1" applyFont="1" applyFill="1"/>
    <xf numFmtId="0" fontId="0" fillId="0" borderId="28" xfId="0" applyBorder="1"/>
    <xf numFmtId="0" fontId="0" fillId="0" borderId="0" xfId="0" applyBorder="1" applyAlignment="1">
      <alignment horizontal="left"/>
    </xf>
    <xf numFmtId="0" fontId="7" fillId="2" borderId="5" xfId="0" applyFont="1" applyFill="1" applyBorder="1"/>
    <xf numFmtId="0" fontId="0" fillId="2" borderId="29" xfId="0" applyFill="1" applyBorder="1"/>
    <xf numFmtId="0" fontId="3" fillId="2" borderId="6" xfId="0" applyFont="1" applyFill="1" applyBorder="1"/>
    <xf numFmtId="0" fontId="0" fillId="0" borderId="18" xfId="0" applyBorder="1" applyProtection="1">
      <protection locked="0"/>
    </xf>
    <xf numFmtId="0" fontId="0" fillId="2" borderId="36" xfId="0" applyFill="1" applyBorder="1"/>
    <xf numFmtId="0" fontId="0" fillId="2" borderId="13" xfId="0" applyFill="1" applyBorder="1" applyAlignment="1">
      <alignment horizontal="center"/>
    </xf>
    <xf numFmtId="0" fontId="0" fillId="2" borderId="15" xfId="0" applyFill="1" applyBorder="1" applyAlignment="1">
      <alignment horizontal="center"/>
    </xf>
    <xf numFmtId="0" fontId="0" fillId="2" borderId="25" xfId="0" applyFill="1" applyBorder="1" applyAlignment="1">
      <alignment horizontal="center"/>
    </xf>
    <xf numFmtId="0" fontId="5" fillId="0" borderId="0" xfId="0" applyFont="1" applyFill="1" applyBorder="1" applyAlignment="1">
      <alignment horizontal="right"/>
    </xf>
    <xf numFmtId="0" fontId="0" fillId="0" borderId="0" xfId="0" applyFill="1" applyAlignment="1">
      <alignment horizontal="center"/>
    </xf>
    <xf numFmtId="0" fontId="5" fillId="0" borderId="15" xfId="0" applyFont="1" applyBorder="1" applyAlignment="1" applyProtection="1">
      <alignment horizontal="center"/>
      <protection locked="0"/>
    </xf>
    <xf numFmtId="0" fontId="9" fillId="0" borderId="1" xfId="0" applyFont="1" applyBorder="1" applyProtection="1">
      <protection locked="0"/>
    </xf>
    <xf numFmtId="14" fontId="9" fillId="0" borderId="1" xfId="0" applyNumberFormat="1" applyFont="1" applyBorder="1" applyAlignment="1" applyProtection="1">
      <alignment horizontal="left"/>
      <protection locked="0"/>
    </xf>
    <xf numFmtId="166" fontId="3" fillId="2" borderId="4" xfId="0" applyNumberFormat="1" applyFont="1" applyFill="1" applyBorder="1"/>
    <xf numFmtId="0" fontId="5" fillId="0" borderId="0" xfId="0" applyFont="1" applyBorder="1"/>
    <xf numFmtId="49" fontId="0" fillId="0" borderId="0" xfId="0" applyNumberFormat="1" applyBorder="1"/>
    <xf numFmtId="49" fontId="5" fillId="0" borderId="0" xfId="0" applyNumberFormat="1" applyFont="1" applyBorder="1"/>
    <xf numFmtId="0" fontId="0" fillId="4" borderId="10" xfId="0" applyFill="1" applyBorder="1" applyAlignment="1">
      <alignment horizontal="left"/>
    </xf>
    <xf numFmtId="14" fontId="0" fillId="4" borderId="27" xfId="0" applyNumberFormat="1" applyFill="1" applyBorder="1" applyAlignment="1" applyProtection="1">
      <alignment horizontal="left"/>
      <protection locked="0"/>
    </xf>
    <xf numFmtId="0" fontId="0" fillId="4" borderId="27" xfId="0" applyFill="1" applyBorder="1" applyProtection="1">
      <protection locked="0"/>
    </xf>
    <xf numFmtId="0" fontId="0" fillId="4" borderId="17" xfId="0" applyFill="1" applyBorder="1" applyProtection="1">
      <protection locked="0"/>
    </xf>
    <xf numFmtId="0" fontId="0" fillId="4" borderId="0" xfId="0" applyFill="1" applyBorder="1" applyProtection="1">
      <protection locked="0"/>
    </xf>
    <xf numFmtId="0" fontId="0" fillId="4" borderId="0" xfId="0" applyFill="1" applyBorder="1"/>
    <xf numFmtId="0" fontId="5" fillId="4" borderId="17" xfId="0" applyFont="1" applyFill="1" applyBorder="1" applyAlignment="1">
      <alignment horizontal="left"/>
    </xf>
    <xf numFmtId="0" fontId="0" fillId="4" borderId="19" xfId="0" applyFill="1" applyBorder="1" applyProtection="1">
      <protection locked="0"/>
    </xf>
    <xf numFmtId="0" fontId="0" fillId="4" borderId="14" xfId="0" applyFill="1" applyBorder="1" applyAlignment="1">
      <alignment horizontal="center"/>
    </xf>
    <xf numFmtId="0" fontId="0" fillId="4" borderId="24" xfId="0" applyFill="1" applyBorder="1" applyAlignment="1">
      <alignment horizontal="center"/>
    </xf>
    <xf numFmtId="0" fontId="0" fillId="6" borderId="2" xfId="0" applyFill="1" applyBorder="1" applyAlignment="1">
      <alignment horizontal="center"/>
    </xf>
    <xf numFmtId="0" fontId="0" fillId="0" borderId="0" xfId="0"/>
    <xf numFmtId="0" fontId="3" fillId="0" borderId="0" xfId="0" applyFont="1"/>
    <xf numFmtId="0" fontId="5" fillId="0" borderId="0" xfId="0" applyFont="1"/>
    <xf numFmtId="0" fontId="3" fillId="2" borderId="4" xfId="0" applyFont="1" applyFill="1" applyBorder="1" applyAlignment="1">
      <alignment horizontal="center"/>
    </xf>
    <xf numFmtId="0" fontId="0" fillId="0" borderId="0" xfId="0" applyBorder="1"/>
    <xf numFmtId="0" fontId="3" fillId="2" borderId="11" xfId="0" applyFont="1" applyFill="1" applyBorder="1"/>
    <xf numFmtId="0" fontId="3" fillId="2" borderId="12" xfId="0" applyFont="1" applyFill="1" applyBorder="1" applyAlignment="1">
      <alignment horizontal="center"/>
    </xf>
    <xf numFmtId="0" fontId="3" fillId="2" borderId="9" xfId="0" applyFont="1" applyFill="1" applyBorder="1"/>
    <xf numFmtId="1" fontId="0" fillId="0" borderId="0" xfId="0" applyNumberFormat="1" applyFill="1" applyBorder="1" applyAlignment="1">
      <alignment horizontal="center"/>
    </xf>
    <xf numFmtId="0" fontId="0" fillId="0" borderId="0" xfId="0" applyFill="1" applyBorder="1"/>
    <xf numFmtId="0" fontId="0" fillId="0" borderId="0" xfId="0" applyFill="1" applyBorder="1" applyAlignment="1">
      <alignment horizontal="center"/>
    </xf>
    <xf numFmtId="0" fontId="3" fillId="0" borderId="0" xfId="0" applyFont="1" applyFill="1" applyBorder="1"/>
    <xf numFmtId="0" fontId="3" fillId="0" borderId="0" xfId="0" applyFont="1" applyFill="1" applyBorder="1" applyAlignment="1">
      <alignment horizontal="center"/>
    </xf>
    <xf numFmtId="2" fontId="0" fillId="0" borderId="0" xfId="0" applyNumberFormat="1" applyFill="1" applyBorder="1" applyAlignment="1">
      <alignment horizontal="center"/>
    </xf>
    <xf numFmtId="164" fontId="0" fillId="0" borderId="0" xfId="0" applyNumberFormat="1" applyFill="1" applyBorder="1" applyAlignment="1">
      <alignment horizontal="center"/>
    </xf>
    <xf numFmtId="0" fontId="0" fillId="0" borderId="0" xfId="0" applyFill="1" applyBorder="1" applyAlignment="1" applyProtection="1">
      <alignment horizontal="center"/>
      <protection locked="0"/>
    </xf>
    <xf numFmtId="0" fontId="3" fillId="2" borderId="22" xfId="0" applyFont="1" applyFill="1" applyBorder="1"/>
    <xf numFmtId="0" fontId="3" fillId="2" borderId="4" xfId="0" applyFont="1" applyFill="1" applyBorder="1"/>
    <xf numFmtId="0" fontId="0" fillId="0" borderId="0" xfId="0" applyBorder="1" applyAlignment="1" applyProtection="1">
      <alignment horizontal="center"/>
      <protection locked="0"/>
    </xf>
    <xf numFmtId="0" fontId="3" fillId="2" borderId="8" xfId="0" applyFont="1" applyFill="1" applyBorder="1"/>
    <xf numFmtId="0" fontId="3" fillId="2" borderId="8" xfId="0" applyFont="1" applyFill="1" applyBorder="1" applyAlignment="1">
      <alignment horizontal="left"/>
    </xf>
    <xf numFmtId="0" fontId="0" fillId="2" borderId="2" xfId="0" applyFill="1" applyBorder="1" applyAlignment="1">
      <alignment horizontal="center"/>
    </xf>
    <xf numFmtId="0" fontId="0" fillId="2" borderId="36" xfId="0" applyFill="1" applyBorder="1"/>
    <xf numFmtId="0" fontId="0" fillId="2" borderId="15" xfId="0" applyFill="1" applyBorder="1" applyAlignment="1">
      <alignment horizontal="center"/>
    </xf>
    <xf numFmtId="0" fontId="0" fillId="2" borderId="25" xfId="0" applyFill="1" applyBorder="1" applyAlignment="1">
      <alignment horizontal="center"/>
    </xf>
    <xf numFmtId="0" fontId="0" fillId="4" borderId="0" xfId="0" applyFill="1" applyBorder="1"/>
    <xf numFmtId="0" fontId="0" fillId="4" borderId="19" xfId="0" applyFill="1" applyBorder="1"/>
    <xf numFmtId="0" fontId="0" fillId="4" borderId="8" xfId="0" applyFill="1" applyBorder="1"/>
    <xf numFmtId="0" fontId="0" fillId="4" borderId="17" xfId="0" applyFill="1" applyBorder="1"/>
    <xf numFmtId="0" fontId="0" fillId="4" borderId="35" xfId="0" applyFill="1" applyBorder="1"/>
    <xf numFmtId="0" fontId="5" fillId="4" borderId="0" xfId="0" applyFont="1" applyFill="1"/>
    <xf numFmtId="0" fontId="0" fillId="4" borderId="0" xfId="0" applyFill="1"/>
    <xf numFmtId="0" fontId="5" fillId="4" borderId="10" xfId="0" applyFont="1" applyFill="1" applyBorder="1"/>
    <xf numFmtId="1" fontId="5" fillId="2" borderId="2" xfId="0" applyNumberFormat="1" applyFont="1" applyFill="1" applyBorder="1" applyAlignment="1">
      <alignment horizontal="center"/>
    </xf>
    <xf numFmtId="0" fontId="3" fillId="0" borderId="0" xfId="0" applyFont="1" applyAlignment="1">
      <alignment vertical="top"/>
    </xf>
    <xf numFmtId="0" fontId="0" fillId="4" borderId="50" xfId="0" applyFill="1" applyBorder="1" applyAlignment="1">
      <alignment horizontal="left"/>
    </xf>
    <xf numFmtId="0" fontId="0" fillId="4" borderId="51" xfId="0" applyFill="1" applyBorder="1" applyAlignment="1">
      <alignment horizontal="left"/>
    </xf>
    <xf numFmtId="0" fontId="0" fillId="4" borderId="52" xfId="0" applyFill="1" applyBorder="1" applyAlignment="1">
      <alignment horizontal="left"/>
    </xf>
    <xf numFmtId="0" fontId="0" fillId="4" borderId="3" xfId="0" applyFill="1" applyBorder="1" applyAlignment="1" applyProtection="1">
      <alignment horizontal="center"/>
      <protection locked="0"/>
    </xf>
    <xf numFmtId="0" fontId="3" fillId="7" borderId="8" xfId="0" applyFont="1" applyFill="1" applyBorder="1"/>
    <xf numFmtId="0" fontId="3" fillId="7" borderId="8" xfId="0" applyFont="1" applyFill="1" applyBorder="1" applyAlignment="1">
      <alignment horizontal="left"/>
    </xf>
    <xf numFmtId="0" fontId="3" fillId="7" borderId="9" xfId="0" applyFont="1" applyFill="1" applyBorder="1"/>
    <xf numFmtId="0" fontId="3" fillId="7" borderId="4" xfId="0" applyFont="1" applyFill="1" applyBorder="1" applyAlignment="1">
      <alignment horizontal="center"/>
    </xf>
    <xf numFmtId="0" fontId="3" fillId="7" borderId="12" xfId="0" applyFont="1" applyFill="1" applyBorder="1" applyAlignment="1">
      <alignment horizontal="center"/>
    </xf>
    <xf numFmtId="0" fontId="3" fillId="7" borderId="20" xfId="0" applyFont="1" applyFill="1" applyBorder="1"/>
    <xf numFmtId="0" fontId="3" fillId="7" borderId="21" xfId="0" applyFont="1" applyFill="1" applyBorder="1" applyAlignment="1">
      <alignment horizontal="center"/>
    </xf>
    <xf numFmtId="0" fontId="7" fillId="2" borderId="22" xfId="0" applyFont="1" applyFill="1" applyBorder="1"/>
    <xf numFmtId="0" fontId="3" fillId="2" borderId="41" xfId="0" applyFont="1" applyFill="1" applyBorder="1"/>
    <xf numFmtId="0" fontId="5" fillId="4" borderId="47" xfId="0" applyFont="1" applyFill="1" applyBorder="1" applyAlignment="1">
      <alignment horizontal="center"/>
    </xf>
    <xf numFmtId="0" fontId="5" fillId="4" borderId="58" xfId="0" applyFont="1" applyFill="1" applyBorder="1" applyAlignment="1">
      <alignment horizontal="center"/>
    </xf>
    <xf numFmtId="0" fontId="0" fillId="5" borderId="11" xfId="0" applyFill="1" applyBorder="1" applyAlignment="1">
      <alignment horizontal="center"/>
    </xf>
    <xf numFmtId="0" fontId="5" fillId="4" borderId="0" xfId="0" applyFont="1" applyFill="1" applyBorder="1" applyAlignment="1">
      <alignment horizontal="center"/>
    </xf>
    <xf numFmtId="0" fontId="5" fillId="4" borderId="19" xfId="0" applyFont="1" applyFill="1" applyBorder="1" applyAlignment="1">
      <alignment horizontal="center"/>
    </xf>
    <xf numFmtId="0" fontId="3" fillId="5" borderId="22" xfId="0" applyFont="1" applyFill="1" applyBorder="1"/>
    <xf numFmtId="0" fontId="0" fillId="5" borderId="8" xfId="0" applyFill="1" applyBorder="1"/>
    <xf numFmtId="0" fontId="0" fillId="5" borderId="4" xfId="0" applyFill="1" applyBorder="1"/>
    <xf numFmtId="0" fontId="3" fillId="5" borderId="41" xfId="0" applyFont="1" applyFill="1" applyBorder="1"/>
    <xf numFmtId="0" fontId="3" fillId="5" borderId="40" xfId="0" applyFont="1" applyFill="1" applyBorder="1"/>
    <xf numFmtId="0" fontId="3" fillId="2" borderId="40" xfId="0" applyFont="1" applyFill="1" applyBorder="1"/>
    <xf numFmtId="0" fontId="5" fillId="0" borderId="0" xfId="0" quotePrefix="1" applyFont="1"/>
    <xf numFmtId="0" fontId="5" fillId="0" borderId="4" xfId="0" applyFont="1" applyBorder="1"/>
    <xf numFmtId="0" fontId="0" fillId="0" borderId="4" xfId="0" applyBorder="1"/>
    <xf numFmtId="1" fontId="0" fillId="0" borderId="4" xfId="0" applyNumberFormat="1" applyFill="1" applyBorder="1" applyAlignment="1">
      <alignment horizontal="center"/>
    </xf>
    <xf numFmtId="0" fontId="0" fillId="4" borderId="59" xfId="0" applyFill="1" applyBorder="1"/>
    <xf numFmtId="0" fontId="0" fillId="4" borderId="9" xfId="0" applyFill="1" applyBorder="1"/>
    <xf numFmtId="0" fontId="0" fillId="4" borderId="18" xfId="0" applyFill="1" applyBorder="1"/>
    <xf numFmtId="0" fontId="5" fillId="4" borderId="22" xfId="0" applyFont="1" applyFill="1" applyBorder="1"/>
    <xf numFmtId="2" fontId="0" fillId="6" borderId="2" xfId="0" applyNumberFormat="1" applyFill="1" applyBorder="1" applyAlignment="1">
      <alignment horizontal="center"/>
    </xf>
    <xf numFmtId="1" fontId="5" fillId="0" borderId="0" xfId="0" applyNumberFormat="1" applyFont="1" applyFill="1" applyBorder="1" applyAlignment="1">
      <alignment horizontal="left"/>
    </xf>
    <xf numFmtId="1" fontId="11" fillId="0" borderId="0" xfId="0" applyNumberFormat="1" applyFont="1" applyFill="1" applyBorder="1" applyAlignment="1">
      <alignment horizontal="center"/>
    </xf>
    <xf numFmtId="0" fontId="11" fillId="0" borderId="0" xfId="0" applyFont="1" applyAlignment="1">
      <alignment horizontal="center"/>
    </xf>
    <xf numFmtId="0" fontId="0" fillId="0" borderId="0" xfId="0" applyFill="1"/>
    <xf numFmtId="0" fontId="0" fillId="0" borderId="64" xfId="0" applyBorder="1"/>
    <xf numFmtId="0" fontId="0" fillId="7" borderId="29" xfId="0" applyFill="1" applyBorder="1"/>
    <xf numFmtId="0" fontId="0" fillId="6" borderId="2" xfId="0" applyFill="1" applyBorder="1" applyAlignment="1">
      <alignment horizontal="center" vertical="center"/>
    </xf>
    <xf numFmtId="0" fontId="0" fillId="5" borderId="11" xfId="0" applyFill="1" applyBorder="1" applyAlignment="1">
      <alignment horizontal="center" vertical="center"/>
    </xf>
    <xf numFmtId="0" fontId="5" fillId="0" borderId="0" xfId="0" applyFont="1" applyFill="1" applyBorder="1"/>
    <xf numFmtId="0" fontId="11" fillId="7" borderId="6" xfId="0" applyFont="1" applyFill="1" applyBorder="1" applyAlignment="1">
      <alignment horizontal="center"/>
    </xf>
    <xf numFmtId="0" fontId="11" fillId="7" borderId="68" xfId="0" applyFont="1" applyFill="1" applyBorder="1" applyAlignment="1">
      <alignment horizontal="center"/>
    </xf>
    <xf numFmtId="0" fontId="0" fillId="0" borderId="0" xfId="0" applyProtection="1">
      <protection locked="0"/>
    </xf>
    <xf numFmtId="0" fontId="16" fillId="0" borderId="0" xfId="2"/>
    <xf numFmtId="0" fontId="17" fillId="0" borderId="0" xfId="0" applyFont="1"/>
    <xf numFmtId="0" fontId="17" fillId="0" borderId="0" xfId="0" applyFont="1" applyBorder="1"/>
    <xf numFmtId="0" fontId="17" fillId="0" borderId="0" xfId="0" applyFont="1" applyFill="1" applyBorder="1" applyAlignment="1">
      <alignment horizontal="center"/>
    </xf>
    <xf numFmtId="2" fontId="0" fillId="8" borderId="3" xfId="0" applyNumberFormat="1" applyFill="1" applyBorder="1" applyAlignment="1" applyProtection="1">
      <alignment horizontal="center"/>
      <protection locked="0"/>
    </xf>
    <xf numFmtId="0" fontId="0" fillId="8" borderId="3" xfId="0" applyFill="1" applyBorder="1" applyAlignment="1" applyProtection="1">
      <alignment horizontal="center"/>
      <protection locked="0"/>
    </xf>
    <xf numFmtId="0" fontId="0" fillId="8" borderId="13" xfId="0" applyFill="1" applyBorder="1" applyAlignment="1" applyProtection="1">
      <alignment horizontal="center"/>
      <protection locked="0"/>
    </xf>
    <xf numFmtId="0" fontId="0" fillId="8" borderId="30" xfId="0" applyFill="1" applyBorder="1" applyAlignment="1" applyProtection="1">
      <alignment horizontal="center"/>
      <protection locked="0"/>
    </xf>
    <xf numFmtId="0" fontId="0" fillId="8" borderId="31" xfId="0" applyFill="1" applyBorder="1" applyAlignment="1" applyProtection="1">
      <alignment horizontal="center"/>
      <protection locked="0"/>
    </xf>
    <xf numFmtId="165" fontId="0" fillId="8" borderId="2" xfId="0" applyNumberFormat="1" applyFill="1" applyBorder="1" applyAlignment="1">
      <alignment horizontal="center"/>
    </xf>
    <xf numFmtId="165" fontId="0" fillId="8" borderId="3" xfId="0" applyNumberFormat="1" applyFill="1" applyBorder="1" applyAlignment="1" applyProtection="1">
      <alignment horizontal="center"/>
      <protection locked="0"/>
    </xf>
    <xf numFmtId="165" fontId="0" fillId="8" borderId="13" xfId="0" applyNumberFormat="1" applyFill="1" applyBorder="1" applyAlignment="1" applyProtection="1">
      <alignment horizontal="center"/>
      <protection locked="0"/>
    </xf>
    <xf numFmtId="165" fontId="0" fillId="8" borderId="30" xfId="0" applyNumberFormat="1" applyFill="1" applyBorder="1" applyAlignment="1" applyProtection="1">
      <alignment horizontal="center"/>
      <protection locked="0"/>
    </xf>
    <xf numFmtId="165" fontId="0" fillId="8" borderId="31" xfId="0" applyNumberFormat="1" applyFill="1" applyBorder="1" applyAlignment="1" applyProtection="1">
      <alignment horizontal="center"/>
      <protection locked="0"/>
    </xf>
    <xf numFmtId="1" fontId="5" fillId="8" borderId="3" xfId="0" applyNumberFormat="1" applyFont="1" applyFill="1" applyBorder="1" applyAlignment="1" applyProtection="1">
      <alignment horizontal="center"/>
      <protection locked="0"/>
    </xf>
    <xf numFmtId="1" fontId="5" fillId="8" borderId="13" xfId="0" applyNumberFormat="1" applyFont="1" applyFill="1" applyBorder="1" applyAlignment="1" applyProtection="1">
      <alignment horizontal="center"/>
      <protection locked="0"/>
    </xf>
    <xf numFmtId="1" fontId="5" fillId="8" borderId="30" xfId="0" applyNumberFormat="1" applyFont="1" applyFill="1" applyBorder="1" applyAlignment="1" applyProtection="1">
      <alignment horizontal="center"/>
      <protection locked="0"/>
    </xf>
    <xf numFmtId="1" fontId="5" fillId="8" borderId="31" xfId="0" applyNumberFormat="1" applyFont="1" applyFill="1" applyBorder="1" applyAlignment="1" applyProtection="1">
      <alignment horizontal="center"/>
      <protection locked="0"/>
    </xf>
    <xf numFmtId="0" fontId="0" fillId="5" borderId="2" xfId="0" applyFill="1" applyBorder="1" applyAlignment="1">
      <alignment horizontal="center" vertical="center"/>
    </xf>
    <xf numFmtId="0" fontId="0" fillId="6" borderId="3" xfId="0" applyFill="1" applyBorder="1" applyAlignment="1">
      <alignment horizontal="center"/>
    </xf>
    <xf numFmtId="0" fontId="5" fillId="6" borderId="2" xfId="0" applyFont="1" applyFill="1" applyBorder="1" applyAlignment="1">
      <alignment horizontal="center"/>
    </xf>
    <xf numFmtId="0" fontId="5" fillId="6" borderId="2" xfId="0" applyFont="1" applyFill="1" applyBorder="1" applyAlignment="1">
      <alignment horizontal="center" vertical="center"/>
    </xf>
    <xf numFmtId="0" fontId="0" fillId="6" borderId="16" xfId="0" applyFill="1" applyBorder="1" applyAlignment="1" applyProtection="1">
      <alignment horizontal="center"/>
      <protection locked="0"/>
    </xf>
    <xf numFmtId="0" fontId="9" fillId="6" borderId="34" xfId="0" applyFont="1" applyFill="1" applyBorder="1" applyAlignment="1">
      <alignment horizontal="center" vertical="center"/>
    </xf>
    <xf numFmtId="0" fontId="0" fillId="6" borderId="33" xfId="0" applyFill="1" applyBorder="1" applyAlignment="1" applyProtection="1">
      <alignment horizontal="center"/>
      <protection locked="0"/>
    </xf>
    <xf numFmtId="0" fontId="0" fillId="5" borderId="15" xfId="0" applyFill="1" applyBorder="1" applyAlignment="1">
      <alignment horizontal="center" vertical="center"/>
    </xf>
    <xf numFmtId="1" fontId="5" fillId="5" borderId="2" xfId="0" applyNumberFormat="1" applyFont="1" applyFill="1" applyBorder="1" applyAlignment="1">
      <alignment horizontal="center" vertical="center"/>
    </xf>
    <xf numFmtId="1" fontId="5" fillId="5" borderId="15" xfId="0" applyNumberFormat="1" applyFont="1" applyFill="1" applyBorder="1" applyAlignment="1">
      <alignment horizontal="center" vertical="center"/>
    </xf>
    <xf numFmtId="164" fontId="0" fillId="5" borderId="2" xfId="0" applyNumberFormat="1" applyFill="1" applyBorder="1" applyAlignment="1">
      <alignment horizontal="center" vertical="center"/>
    </xf>
    <xf numFmtId="164" fontId="0" fillId="5" borderId="15" xfId="0" applyNumberFormat="1" applyFill="1" applyBorder="1" applyAlignment="1">
      <alignment horizontal="center" vertical="center"/>
    </xf>
    <xf numFmtId="0" fontId="0" fillId="5" borderId="16" xfId="0" applyFill="1" applyBorder="1" applyAlignment="1">
      <alignment horizontal="center" vertical="center"/>
    </xf>
    <xf numFmtId="0" fontId="0" fillId="5" borderId="25" xfId="0" applyFill="1" applyBorder="1" applyAlignment="1">
      <alignment horizontal="center" vertical="center"/>
    </xf>
    <xf numFmtId="0" fontId="0" fillId="5" borderId="37" xfId="0" applyFill="1" applyBorder="1" applyAlignment="1" applyProtection="1">
      <alignment horizontal="center" vertical="center"/>
      <protection locked="0"/>
    </xf>
    <xf numFmtId="0" fontId="0" fillId="7" borderId="3" xfId="0" applyFill="1" applyBorder="1" applyAlignment="1" applyProtection="1">
      <alignment horizontal="center"/>
      <protection locked="0"/>
    </xf>
    <xf numFmtId="0" fontId="3" fillId="6" borderId="20" xfId="0" applyFont="1" applyFill="1" applyBorder="1"/>
    <xf numFmtId="0" fontId="3" fillId="6" borderId="8" xfId="0" applyFont="1" applyFill="1" applyBorder="1" applyAlignment="1">
      <alignment horizontal="left"/>
    </xf>
    <xf numFmtId="0" fontId="3" fillId="6" borderId="8" xfId="0" applyFont="1" applyFill="1" applyBorder="1"/>
    <xf numFmtId="0" fontId="3" fillId="6" borderId="9" xfId="0" applyFont="1" applyFill="1" applyBorder="1"/>
    <xf numFmtId="0" fontId="3" fillId="6" borderId="21" xfId="0" applyFont="1" applyFill="1" applyBorder="1" applyAlignment="1">
      <alignment horizontal="center"/>
    </xf>
    <xf numFmtId="0" fontId="3" fillId="6" borderId="4" xfId="0" applyFont="1" applyFill="1" applyBorder="1" applyAlignment="1">
      <alignment horizontal="center"/>
    </xf>
    <xf numFmtId="0" fontId="3" fillId="6" borderId="12" xfId="0" applyFont="1" applyFill="1" applyBorder="1" applyAlignment="1">
      <alignment horizontal="center"/>
    </xf>
    <xf numFmtId="0" fontId="0" fillId="0" borderId="0" xfId="0" applyBorder="1" applyAlignment="1"/>
    <xf numFmtId="0" fontId="5" fillId="0" borderId="0" xfId="0" applyFont="1" applyAlignment="1">
      <alignment horizontal="right"/>
    </xf>
    <xf numFmtId="0" fontId="0" fillId="4" borderId="0" xfId="0" applyFill="1" applyBorder="1" applyAlignment="1">
      <alignment horizontal="center"/>
    </xf>
    <xf numFmtId="0" fontId="5" fillId="4" borderId="0" xfId="0" applyFont="1" applyFill="1" applyAlignment="1">
      <alignment horizontal="right"/>
    </xf>
    <xf numFmtId="0" fontId="5" fillId="0" borderId="0" xfId="0" applyFont="1" applyAlignment="1">
      <alignment horizontal="center"/>
    </xf>
    <xf numFmtId="0" fontId="0" fillId="0" borderId="0" xfId="0" applyAlignment="1">
      <alignment horizontal="right"/>
    </xf>
    <xf numFmtId="0" fontId="0" fillId="0" borderId="0" xfId="0" applyAlignment="1">
      <alignment horizontal="left" vertical="center"/>
    </xf>
    <xf numFmtId="0" fontId="5" fillId="0" borderId="0" xfId="0" applyFont="1" applyFill="1" applyBorder="1" applyAlignment="1">
      <alignment horizontal="center" vertical="top" textRotation="90"/>
    </xf>
    <xf numFmtId="0" fontId="5" fillId="0" borderId="0" xfId="0" applyFont="1" applyBorder="1" applyAlignment="1">
      <alignment horizontal="center" vertical="top" textRotation="90"/>
    </xf>
    <xf numFmtId="0" fontId="5" fillId="0" borderId="0" xfId="0" applyFont="1" applyBorder="1" applyAlignment="1">
      <alignment horizontal="right" vertical="center" textRotation="90"/>
    </xf>
    <xf numFmtId="0" fontId="5" fillId="0" borderId="0" xfId="0" applyFont="1" applyBorder="1" applyAlignment="1">
      <alignment textRotation="90"/>
    </xf>
    <xf numFmtId="0" fontId="5" fillId="0" borderId="0" xfId="0" applyFont="1" applyAlignment="1">
      <alignment horizontal="left"/>
    </xf>
    <xf numFmtId="0" fontId="0" fillId="0" borderId="0" xfId="0" applyBorder="1" applyAlignment="1">
      <alignment horizontal="center" vertical="center"/>
    </xf>
    <xf numFmtId="0" fontId="0" fillId="0" borderId="0" xfId="0" applyBorder="1" applyAlignment="1">
      <alignment horizontal="center" vertical="center" textRotation="90"/>
    </xf>
    <xf numFmtId="0" fontId="0" fillId="0" borderId="0" xfId="0" applyBorder="1" applyAlignment="1"/>
    <xf numFmtId="0" fontId="0" fillId="6" borderId="0" xfId="0" applyFill="1" applyBorder="1" applyAlignment="1">
      <alignment horizontal="right"/>
    </xf>
    <xf numFmtId="1" fontId="0" fillId="6" borderId="3" xfId="0" applyNumberFormat="1" applyFill="1" applyBorder="1" applyAlignment="1">
      <alignment horizontal="center" vertical="center"/>
    </xf>
    <xf numFmtId="1" fontId="0" fillId="6" borderId="13" xfId="0" applyNumberFormat="1" applyFill="1" applyBorder="1" applyAlignment="1">
      <alignment horizontal="center" vertical="center"/>
    </xf>
    <xf numFmtId="0" fontId="5" fillId="0" borderId="0" xfId="0" applyFont="1" applyBorder="1" applyAlignment="1">
      <alignment horizontal="center" vertical="center" textRotation="90"/>
    </xf>
    <xf numFmtId="0" fontId="5" fillId="0" borderId="0" xfId="0" applyFont="1" applyFill="1" applyBorder="1" applyAlignment="1">
      <alignment horizontal="center" vertical="center" textRotation="90"/>
    </xf>
    <xf numFmtId="0" fontId="0" fillId="0" borderId="0" xfId="0" applyBorder="1" applyAlignment="1">
      <alignment vertical="center"/>
    </xf>
    <xf numFmtId="0" fontId="3" fillId="7" borderId="21" xfId="0" applyFont="1" applyFill="1" applyBorder="1" applyAlignment="1">
      <alignment horizontal="center" vertical="center"/>
    </xf>
    <xf numFmtId="0" fontId="3" fillId="7" borderId="4" xfId="0" applyFont="1" applyFill="1" applyBorder="1" applyAlignment="1">
      <alignment horizontal="center" vertical="center"/>
    </xf>
    <xf numFmtId="0" fontId="3" fillId="7" borderId="1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2" xfId="0" applyFont="1" applyFill="1" applyBorder="1" applyAlignment="1">
      <alignment horizontal="center" vertical="center"/>
    </xf>
    <xf numFmtId="0" fontId="2" fillId="5" borderId="11" xfId="0" applyFont="1" applyFill="1" applyBorder="1" applyAlignment="1">
      <alignment horizontal="center"/>
    </xf>
    <xf numFmtId="0" fontId="2" fillId="5" borderId="11" xfId="0" applyFont="1" applyFill="1" applyBorder="1" applyAlignment="1">
      <alignment horizontal="center" vertical="center"/>
    </xf>
    <xf numFmtId="0" fontId="0" fillId="0" borderId="0" xfId="0" applyAlignment="1">
      <alignment horizontal="center"/>
    </xf>
    <xf numFmtId="0" fontId="5" fillId="4" borderId="0" xfId="0" applyFont="1" applyFill="1" applyBorder="1" applyAlignment="1">
      <alignment horizontal="center"/>
    </xf>
    <xf numFmtId="14" fontId="9" fillId="0" borderId="1" xfId="0" applyNumberFormat="1" applyFont="1" applyBorder="1" applyAlignment="1" applyProtection="1">
      <alignment horizontal="left" vertical="center"/>
      <protection locked="0"/>
    </xf>
    <xf numFmtId="0" fontId="0" fillId="2" borderId="13" xfId="0" applyFill="1" applyBorder="1" applyAlignment="1">
      <alignment horizontal="center" vertical="center"/>
    </xf>
    <xf numFmtId="0" fontId="0" fillId="2" borderId="15" xfId="0" applyFill="1" applyBorder="1" applyAlignment="1">
      <alignment horizontal="center" vertical="center"/>
    </xf>
    <xf numFmtId="0" fontId="0" fillId="2" borderId="25" xfId="0" applyFill="1" applyBorder="1" applyAlignment="1">
      <alignment horizontal="center" vertical="center"/>
    </xf>
    <xf numFmtId="0" fontId="0" fillId="0" borderId="15" xfId="0" applyBorder="1" applyAlignment="1" applyProtection="1">
      <alignment horizontal="center" vertical="center"/>
      <protection locked="0"/>
    </xf>
    <xf numFmtId="0" fontId="0" fillId="9" borderId="46" xfId="0" applyFill="1" applyBorder="1" applyAlignment="1" applyProtection="1">
      <alignment horizontal="center"/>
      <protection locked="0"/>
    </xf>
    <xf numFmtId="0" fontId="5" fillId="10" borderId="5" xfId="0" applyFont="1" applyFill="1" applyBorder="1"/>
    <xf numFmtId="0" fontId="0" fillId="10" borderId="29" xfId="0" applyFill="1" applyBorder="1"/>
    <xf numFmtId="0" fontId="5" fillId="10" borderId="10" xfId="0" applyFont="1" applyFill="1" applyBorder="1" applyAlignment="1">
      <alignment horizontal="center"/>
    </xf>
    <xf numFmtId="0" fontId="5" fillId="10" borderId="17" xfId="0" applyFont="1" applyFill="1" applyBorder="1" applyAlignment="1">
      <alignment horizontal="center"/>
    </xf>
    <xf numFmtId="1" fontId="0" fillId="10" borderId="25" xfId="0" applyNumberFormat="1" applyFill="1" applyBorder="1"/>
    <xf numFmtId="0" fontId="9" fillId="10" borderId="10" xfId="0" applyFont="1" applyFill="1" applyBorder="1" applyAlignment="1">
      <alignment horizontal="left" vertical="center"/>
    </xf>
    <xf numFmtId="0" fontId="0" fillId="10" borderId="0" xfId="0" applyFill="1" applyBorder="1" applyAlignment="1">
      <alignment horizontal="right"/>
    </xf>
    <xf numFmtId="0" fontId="0" fillId="10" borderId="37" xfId="0" applyFill="1" applyBorder="1" applyAlignment="1" applyProtection="1">
      <alignment horizontal="center"/>
      <protection locked="0"/>
    </xf>
    <xf numFmtId="0" fontId="0" fillId="10" borderId="38" xfId="0" applyFill="1" applyBorder="1" applyAlignment="1" applyProtection="1">
      <alignment horizontal="center"/>
      <protection locked="0"/>
    </xf>
    <xf numFmtId="0" fontId="0" fillId="10" borderId="39" xfId="0" applyFill="1" applyBorder="1" applyAlignment="1" applyProtection="1">
      <alignment horizontal="center"/>
      <protection locked="0"/>
    </xf>
    <xf numFmtId="0" fontId="5" fillId="8" borderId="47" xfId="0" applyFont="1" applyFill="1" applyBorder="1" applyAlignment="1">
      <alignment horizontal="center"/>
    </xf>
    <xf numFmtId="0" fontId="5" fillId="8" borderId="58" xfId="0" applyFont="1" applyFill="1" applyBorder="1" applyAlignment="1">
      <alignment horizontal="center"/>
    </xf>
    <xf numFmtId="0" fontId="0" fillId="9" borderId="3" xfId="0" applyFill="1" applyBorder="1" applyAlignment="1" applyProtection="1">
      <alignment horizontal="center"/>
      <protection locked="0"/>
    </xf>
    <xf numFmtId="0" fontId="0" fillId="9" borderId="2" xfId="0" applyFill="1" applyBorder="1" applyAlignment="1" applyProtection="1">
      <alignment horizontal="center"/>
      <protection locked="0"/>
    </xf>
    <xf numFmtId="0" fontId="0" fillId="9" borderId="15" xfId="0" applyFill="1" applyBorder="1" applyAlignment="1" applyProtection="1">
      <alignment horizontal="center"/>
      <protection locked="0"/>
    </xf>
    <xf numFmtId="1" fontId="5" fillId="8" borderId="3" xfId="0" applyNumberFormat="1" applyFont="1" applyFill="1" applyBorder="1" applyAlignment="1" applyProtection="1">
      <alignment horizontal="center" vertical="center"/>
      <protection locked="0"/>
    </xf>
    <xf numFmtId="1" fontId="5" fillId="8" borderId="13" xfId="0" applyNumberFormat="1" applyFont="1" applyFill="1" applyBorder="1" applyAlignment="1" applyProtection="1">
      <alignment horizontal="center" vertical="center"/>
      <protection locked="0"/>
    </xf>
    <xf numFmtId="1" fontId="5" fillId="8" borderId="30" xfId="0" applyNumberFormat="1" applyFont="1" applyFill="1" applyBorder="1" applyAlignment="1" applyProtection="1">
      <alignment horizontal="center" vertical="center"/>
      <protection locked="0"/>
    </xf>
    <xf numFmtId="1" fontId="5" fillId="8" borderId="31" xfId="0" applyNumberFormat="1" applyFont="1" applyFill="1" applyBorder="1" applyAlignment="1" applyProtection="1">
      <alignment horizontal="center" vertical="center"/>
      <protection locked="0"/>
    </xf>
    <xf numFmtId="0" fontId="0" fillId="2" borderId="26" xfId="0" applyFill="1" applyBorder="1" applyAlignment="1">
      <alignment vertical="center"/>
    </xf>
    <xf numFmtId="0" fontId="0" fillId="0" borderId="71" xfId="0" applyBorder="1"/>
    <xf numFmtId="0" fontId="0" fillId="0" borderId="72" xfId="0" applyBorder="1"/>
    <xf numFmtId="0" fontId="0" fillId="0" borderId="19" xfId="0" applyBorder="1" applyProtection="1">
      <protection locked="0"/>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16" xfId="0" applyFill="1" applyBorder="1" applyAlignment="1">
      <alignment horizontal="center" vertical="center"/>
    </xf>
    <xf numFmtId="2" fontId="0" fillId="5" borderId="61" xfId="0" applyNumberFormat="1" applyFill="1" applyBorder="1" applyAlignment="1">
      <alignment horizontal="center" vertical="center"/>
    </xf>
    <xf numFmtId="0" fontId="0" fillId="6" borderId="60" xfId="0" applyFill="1" applyBorder="1" applyAlignment="1">
      <alignment horizontal="center" vertical="center"/>
    </xf>
    <xf numFmtId="2" fontId="0" fillId="5" borderId="60" xfId="0" applyNumberFormat="1" applyFill="1" applyBorder="1" applyAlignment="1">
      <alignment horizontal="center" vertical="center"/>
    </xf>
    <xf numFmtId="0" fontId="0" fillId="8" borderId="19" xfId="0" applyFill="1" applyBorder="1"/>
    <xf numFmtId="0" fontId="0" fillId="8" borderId="18" xfId="0" applyFill="1" applyBorder="1"/>
    <xf numFmtId="0" fontId="9" fillId="0" borderId="0" xfId="0" applyFont="1" applyBorder="1" applyProtection="1">
      <protection locked="0"/>
    </xf>
    <xf numFmtId="0" fontId="5" fillId="4" borderId="34" xfId="0" applyFont="1" applyFill="1" applyBorder="1" applyAlignment="1">
      <alignment horizontal="left" vertical="center"/>
    </xf>
    <xf numFmtId="0" fontId="0" fillId="4" borderId="42" xfId="0" applyFill="1" applyBorder="1" applyAlignment="1">
      <alignment horizontal="center"/>
    </xf>
    <xf numFmtId="0" fontId="0" fillId="4" borderId="46" xfId="0" applyFill="1" applyBorder="1" applyAlignment="1">
      <alignment horizontal="center"/>
    </xf>
    <xf numFmtId="14" fontId="0" fillId="4" borderId="0" xfId="0" applyNumberFormat="1" applyFill="1" applyBorder="1" applyAlignment="1" applyProtection="1">
      <alignment horizontal="left"/>
      <protection locked="0"/>
    </xf>
    <xf numFmtId="0" fontId="0" fillId="4" borderId="72" xfId="0" applyFill="1" applyBorder="1" applyProtection="1">
      <protection locked="0"/>
    </xf>
    <xf numFmtId="0" fontId="7" fillId="2" borderId="6" xfId="0" applyFont="1" applyFill="1" applyBorder="1"/>
    <xf numFmtId="0" fontId="12" fillId="2" borderId="5" xfId="0" applyFont="1" applyFill="1" applyBorder="1"/>
    <xf numFmtId="0" fontId="0" fillId="0" borderId="63" xfId="0" applyBorder="1" applyAlignment="1" applyProtection="1">
      <alignment horizontal="center"/>
      <protection locked="0"/>
    </xf>
    <xf numFmtId="2" fontId="0" fillId="0" borderId="23" xfId="0" applyNumberFormat="1" applyBorder="1" applyAlignment="1" applyProtection="1">
      <alignment horizontal="center"/>
      <protection locked="0"/>
    </xf>
    <xf numFmtId="1" fontId="0" fillId="0" borderId="0" xfId="0" applyNumberFormat="1" applyFill="1" applyAlignment="1">
      <alignment horizontal="center"/>
    </xf>
    <xf numFmtId="2" fontId="5" fillId="6" borderId="2" xfId="0" applyNumberFormat="1" applyFont="1" applyFill="1" applyBorder="1" applyAlignment="1">
      <alignment horizontal="center"/>
    </xf>
    <xf numFmtId="0" fontId="5" fillId="4" borderId="0" xfId="0" applyFont="1" applyFill="1" applyAlignment="1">
      <alignment horizontal="left"/>
    </xf>
    <xf numFmtId="0" fontId="9" fillId="0" borderId="0" xfId="0" applyFont="1"/>
    <xf numFmtId="0" fontId="0" fillId="10" borderId="74" xfId="0" applyFill="1" applyBorder="1" applyAlignment="1" applyProtection="1">
      <alignment horizontal="center" vertical="center"/>
      <protection locked="0"/>
    </xf>
    <xf numFmtId="0" fontId="0" fillId="10" borderId="75" xfId="0" applyFill="1" applyBorder="1" applyAlignment="1" applyProtection="1">
      <alignment horizontal="center" vertical="center"/>
      <protection locked="0"/>
    </xf>
    <xf numFmtId="0" fontId="0" fillId="10" borderId="76" xfId="0" applyFill="1" applyBorder="1" applyAlignment="1" applyProtection="1">
      <alignment horizontal="center" vertical="center"/>
      <protection locked="0"/>
    </xf>
    <xf numFmtId="0" fontId="9" fillId="10" borderId="22" xfId="0" applyFont="1" applyFill="1" applyBorder="1" applyAlignment="1">
      <alignment horizontal="left" vertical="center"/>
    </xf>
    <xf numFmtId="0" fontId="0" fillId="10" borderId="8" xfId="0" applyFill="1" applyBorder="1" applyAlignment="1">
      <alignment horizontal="right"/>
    </xf>
    <xf numFmtId="0" fontId="5" fillId="8" borderId="17" xfId="0" applyFont="1" applyFill="1" applyBorder="1" applyAlignment="1">
      <alignment horizontal="center"/>
    </xf>
    <xf numFmtId="1" fontId="11" fillId="8" borderId="19" xfId="0" applyNumberFormat="1" applyFont="1" applyFill="1" applyBorder="1"/>
    <xf numFmtId="0" fontId="9" fillId="6" borderId="34" xfId="0" applyFont="1" applyFill="1" applyBorder="1" applyAlignment="1">
      <alignment horizontal="left" vertical="center"/>
    </xf>
    <xf numFmtId="0" fontId="0" fillId="6" borderId="35" xfId="0" applyFill="1" applyBorder="1" applyAlignment="1">
      <alignment horizontal="right"/>
    </xf>
    <xf numFmtId="1" fontId="11" fillId="7" borderId="35" xfId="0" applyNumberFormat="1" applyFont="1" applyFill="1" applyBorder="1" applyAlignment="1"/>
    <xf numFmtId="0" fontId="2" fillId="8" borderId="34" xfId="0" applyFont="1" applyFill="1" applyBorder="1" applyAlignment="1">
      <alignment horizontal="left" vertical="center"/>
    </xf>
    <xf numFmtId="1" fontId="11" fillId="8" borderId="35" xfId="0" applyNumberFormat="1" applyFont="1" applyFill="1" applyBorder="1"/>
    <xf numFmtId="165" fontId="9" fillId="8" borderId="38" xfId="0" applyNumberFormat="1" applyFont="1" applyFill="1" applyBorder="1" applyAlignment="1">
      <alignment horizontal="center" vertical="center"/>
    </xf>
    <xf numFmtId="165" fontId="5" fillId="8" borderId="38" xfId="0" applyNumberFormat="1" applyFont="1" applyFill="1" applyBorder="1" applyAlignment="1">
      <alignment horizontal="center" vertical="center"/>
    </xf>
    <xf numFmtId="165" fontId="0" fillId="8" borderId="39" xfId="0" applyNumberFormat="1" applyFill="1" applyBorder="1" applyAlignment="1">
      <alignment horizontal="center" vertical="center"/>
    </xf>
    <xf numFmtId="0" fontId="5" fillId="4" borderId="22" xfId="0" applyFont="1" applyFill="1" applyBorder="1" applyAlignment="1">
      <alignment horizontal="left" vertical="center"/>
    </xf>
    <xf numFmtId="0" fontId="5" fillId="4" borderId="10" xfId="0" applyFont="1" applyFill="1" applyBorder="1" applyAlignment="1">
      <alignment vertical="center"/>
    </xf>
    <xf numFmtId="0" fontId="2" fillId="7" borderId="34" xfId="0" applyFont="1" applyFill="1" applyBorder="1" applyAlignment="1">
      <alignment horizontal="left" vertical="center"/>
    </xf>
    <xf numFmtId="164" fontId="0" fillId="0" borderId="0" xfId="0" applyNumberFormat="1"/>
    <xf numFmtId="0" fontId="0" fillId="4" borderId="10" xfId="0" applyFill="1" applyBorder="1" applyAlignment="1">
      <alignment horizontal="left"/>
    </xf>
    <xf numFmtId="0" fontId="5" fillId="7" borderId="6" xfId="0" applyFont="1" applyFill="1" applyBorder="1" applyAlignment="1">
      <alignment horizontal="left" vertical="center"/>
    </xf>
    <xf numFmtId="165" fontId="9" fillId="8" borderId="77" xfId="0" applyNumberFormat="1" applyFont="1" applyFill="1" applyBorder="1" applyAlignment="1">
      <alignment horizontal="center"/>
    </xf>
    <xf numFmtId="0" fontId="5" fillId="7" borderId="5" xfId="0" applyFont="1" applyFill="1" applyBorder="1" applyAlignment="1">
      <alignment horizontal="left"/>
    </xf>
    <xf numFmtId="0" fontId="0" fillId="5" borderId="78" xfId="0" applyFill="1" applyBorder="1" applyAlignment="1" applyProtection="1">
      <alignment horizontal="center" vertical="center"/>
      <protection locked="0"/>
    </xf>
    <xf numFmtId="0" fontId="0" fillId="0" borderId="0" xfId="0" applyAlignment="1">
      <alignment horizontal="center"/>
    </xf>
    <xf numFmtId="0" fontId="0" fillId="0" borderId="17" xfId="0" applyBorder="1"/>
    <xf numFmtId="0" fontId="0" fillId="0" borderId="18" xfId="0" applyBorder="1"/>
    <xf numFmtId="0" fontId="5" fillId="5" borderId="11" xfId="0" applyFont="1" applyFill="1" applyBorder="1" applyAlignment="1">
      <alignment horizontal="center" vertical="center"/>
    </xf>
    <xf numFmtId="0" fontId="0" fillId="6" borderId="57" xfId="0" applyFill="1" applyBorder="1" applyAlignment="1" applyProtection="1">
      <alignment horizontal="center" vertical="center"/>
      <protection locked="0"/>
    </xf>
    <xf numFmtId="0" fontId="0" fillId="6" borderId="73" xfId="0" applyFill="1" applyBorder="1" applyAlignment="1" applyProtection="1">
      <alignment horizontal="center" vertical="center"/>
      <protection locked="0"/>
    </xf>
    <xf numFmtId="0" fontId="0" fillId="6" borderId="47" xfId="0" applyFill="1" applyBorder="1" applyAlignment="1" applyProtection="1">
      <alignment horizontal="center" vertical="center"/>
      <protection locked="0"/>
    </xf>
    <xf numFmtId="0" fontId="0" fillId="6" borderId="28" xfId="0" applyFill="1" applyBorder="1" applyAlignment="1" applyProtection="1">
      <alignment horizontal="center" vertical="center"/>
      <protection locked="0"/>
    </xf>
    <xf numFmtId="0" fontId="0" fillId="6" borderId="72" xfId="0" applyFill="1" applyBorder="1" applyAlignment="1" applyProtection="1">
      <alignment horizontal="center" vertical="center"/>
      <protection locked="0"/>
    </xf>
    <xf numFmtId="0" fontId="0" fillId="6" borderId="2" xfId="0" applyFill="1" applyBorder="1" applyAlignment="1" applyProtection="1">
      <alignment horizontal="center" vertical="center"/>
      <protection locked="0"/>
    </xf>
    <xf numFmtId="1" fontId="0" fillId="6" borderId="42" xfId="0" applyNumberFormat="1" applyFill="1" applyBorder="1" applyAlignment="1" applyProtection="1">
      <alignment horizontal="center" vertical="center"/>
      <protection locked="0"/>
    </xf>
    <xf numFmtId="0" fontId="0" fillId="6" borderId="62" xfId="0" applyFill="1" applyBorder="1" applyAlignment="1" applyProtection="1">
      <alignment horizontal="center" vertical="center"/>
      <protection locked="0"/>
    </xf>
    <xf numFmtId="0" fontId="0" fillId="6" borderId="42" xfId="0"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6" borderId="15" xfId="0" applyFill="1" applyBorder="1" applyAlignment="1" applyProtection="1">
      <alignment horizontal="center" vertical="center"/>
      <protection locked="0"/>
    </xf>
    <xf numFmtId="0" fontId="0" fillId="6" borderId="46" xfId="0" applyFill="1" applyBorder="1" applyAlignment="1" applyProtection="1">
      <alignment horizontal="center" vertical="center"/>
      <protection locked="0"/>
    </xf>
    <xf numFmtId="0" fontId="0" fillId="6" borderId="18" xfId="0" applyFill="1" applyBorder="1" applyAlignment="1" applyProtection="1">
      <alignment horizontal="center" vertical="center"/>
      <protection locked="0"/>
    </xf>
    <xf numFmtId="1" fontId="0" fillId="6" borderId="75" xfId="0" applyNumberFormat="1" applyFill="1" applyBorder="1" applyAlignment="1">
      <alignment horizontal="center" vertical="center"/>
    </xf>
    <xf numFmtId="1" fontId="0" fillId="6" borderId="76" xfId="0" applyNumberFormat="1" applyFill="1" applyBorder="1" applyAlignment="1">
      <alignment horizontal="center" vertical="center"/>
    </xf>
    <xf numFmtId="165" fontId="9" fillId="7" borderId="77" xfId="0" applyNumberFormat="1" applyFont="1" applyFill="1" applyBorder="1" applyAlignment="1">
      <alignment horizontal="center" vertical="center"/>
    </xf>
    <xf numFmtId="165" fontId="9" fillId="7" borderId="79" xfId="0" applyNumberFormat="1" applyFont="1" applyFill="1" applyBorder="1" applyAlignment="1">
      <alignment horizontal="center" vertical="center"/>
    </xf>
    <xf numFmtId="0" fontId="5" fillId="5" borderId="2" xfId="0" applyFont="1" applyFill="1" applyBorder="1" applyAlignment="1">
      <alignment horizontal="center" vertical="center"/>
    </xf>
    <xf numFmtId="0" fontId="9" fillId="6" borderId="22" xfId="0" applyFont="1" applyFill="1" applyBorder="1" applyAlignment="1">
      <alignment horizontal="left" vertical="center"/>
    </xf>
    <xf numFmtId="0" fontId="0" fillId="6" borderId="8" xfId="0" applyFill="1" applyBorder="1" applyAlignment="1">
      <alignment horizontal="right"/>
    </xf>
    <xf numFmtId="0" fontId="5" fillId="4" borderId="34" xfId="0" applyFont="1" applyFill="1" applyBorder="1"/>
    <xf numFmtId="164" fontId="5" fillId="4" borderId="38" xfId="0" applyNumberFormat="1" applyFont="1" applyFill="1" applyBorder="1" applyAlignment="1">
      <alignment horizontal="center" vertical="center"/>
    </xf>
    <xf numFmtId="164" fontId="5" fillId="4" borderId="39" xfId="0" applyNumberFormat="1" applyFont="1" applyFill="1" applyBorder="1" applyAlignment="1">
      <alignment horizontal="center" vertical="center"/>
    </xf>
    <xf numFmtId="0" fontId="2" fillId="7" borderId="10" xfId="0" applyFont="1" applyFill="1" applyBorder="1" applyAlignment="1">
      <alignment horizontal="left" vertical="center"/>
    </xf>
    <xf numFmtId="0" fontId="5" fillId="7" borderId="22" xfId="0" applyFont="1" applyFill="1" applyBorder="1" applyAlignment="1">
      <alignment horizontal="left" vertical="center" wrapText="1"/>
    </xf>
    <xf numFmtId="0" fontId="5" fillId="8" borderId="33" xfId="0" applyFont="1" applyFill="1" applyBorder="1" applyAlignment="1">
      <alignment horizontal="left" vertical="center"/>
    </xf>
    <xf numFmtId="0" fontId="0" fillId="8" borderId="30" xfId="0" applyFill="1" applyBorder="1" applyAlignment="1">
      <alignment horizontal="center" vertical="center"/>
    </xf>
    <xf numFmtId="0" fontId="0" fillId="8" borderId="31" xfId="0" applyFill="1" applyBorder="1" applyAlignment="1">
      <alignment horizontal="center" vertical="center"/>
    </xf>
    <xf numFmtId="0" fontId="5" fillId="0" borderId="0" xfId="1" applyFont="1" applyFill="1" applyBorder="1"/>
    <xf numFmtId="0" fontId="5" fillId="0" borderId="0" xfId="1" applyFont="1" applyFill="1" applyBorder="1" applyAlignment="1">
      <alignment horizontal="left"/>
    </xf>
    <xf numFmtId="0" fontId="5" fillId="0" borderId="0" xfId="1" applyFont="1"/>
    <xf numFmtId="0" fontId="5" fillId="0" borderId="0" xfId="1" applyFont="1" applyAlignment="1">
      <alignment horizontal="left"/>
    </xf>
    <xf numFmtId="0" fontId="5" fillId="0" borderId="0" xfId="1"/>
    <xf numFmtId="0" fontId="5" fillId="0" borderId="0" xfId="1" applyFont="1"/>
    <xf numFmtId="0" fontId="5" fillId="4" borderId="51" xfId="0" applyFont="1" applyFill="1" applyBorder="1" applyAlignment="1">
      <alignment horizontal="left"/>
    </xf>
    <xf numFmtId="0" fontId="17" fillId="0" borderId="0" xfId="1" applyFont="1"/>
    <xf numFmtId="0" fontId="11" fillId="0" borderId="0" xfId="1" applyFont="1"/>
    <xf numFmtId="0" fontId="22" fillId="0" borderId="0" xfId="0" applyFont="1" applyFill="1" applyBorder="1" applyAlignment="1">
      <alignment horizontal="center"/>
    </xf>
    <xf numFmtId="0" fontId="5" fillId="0" borderId="0" xfId="1" applyFont="1" applyFill="1"/>
    <xf numFmtId="1" fontId="6" fillId="0" borderId="0" xfId="0" quotePrefix="1" applyNumberFormat="1" applyFont="1" applyFill="1"/>
    <xf numFmtId="0" fontId="0" fillId="0" borderId="0" xfId="0"/>
    <xf numFmtId="0" fontId="0" fillId="0" borderId="0" xfId="0"/>
    <xf numFmtId="0" fontId="22" fillId="0" borderId="0" xfId="0" applyFont="1"/>
    <xf numFmtId="0" fontId="0" fillId="0" borderId="0" xfId="0" applyAlignment="1">
      <alignment horizontal="center" vertical="center"/>
    </xf>
    <xf numFmtId="0" fontId="0" fillId="0" borderId="0" xfId="0" applyAlignment="1">
      <alignment horizontal="center" vertical="center" textRotation="90"/>
    </xf>
    <xf numFmtId="0" fontId="0" fillId="0" borderId="0" xfId="0" applyBorder="1" applyAlignment="1">
      <alignment horizontal="center" vertical="center"/>
    </xf>
    <xf numFmtId="0" fontId="0" fillId="0" borderId="0" xfId="0" applyBorder="1" applyAlignment="1">
      <alignment horizontal="center" vertical="center" textRotation="90"/>
    </xf>
    <xf numFmtId="0" fontId="5" fillId="4" borderId="10" xfId="0" applyFont="1" applyFill="1" applyBorder="1" applyAlignment="1">
      <alignment horizontal="left"/>
    </xf>
    <xf numFmtId="0" fontId="5" fillId="0" borderId="0" xfId="0" applyFont="1"/>
    <xf numFmtId="0" fontId="5" fillId="0" borderId="0" xfId="0" quotePrefix="1" applyFont="1"/>
    <xf numFmtId="0" fontId="0" fillId="0" borderId="19" xfId="0" applyBorder="1"/>
    <xf numFmtId="0" fontId="5" fillId="6" borderId="5" xfId="0" applyFont="1" applyFill="1" applyBorder="1"/>
    <xf numFmtId="0" fontId="0" fillId="6" borderId="6" xfId="0" applyFill="1" applyBorder="1"/>
    <xf numFmtId="0" fontId="9" fillId="0" borderId="0" xfId="0" applyFont="1" applyFill="1" applyBorder="1" applyAlignment="1" applyProtection="1">
      <alignment horizontal="center"/>
      <protection locked="0"/>
    </xf>
    <xf numFmtId="167" fontId="5" fillId="0" borderId="0" xfId="0" applyNumberFormat="1" applyFont="1"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4" borderId="34" xfId="0" applyFill="1" applyBorder="1"/>
    <xf numFmtId="0" fontId="5" fillId="0" borderId="38" xfId="0" applyNumberFormat="1" applyFont="1" applyBorder="1" applyAlignment="1" applyProtection="1">
      <alignment horizontal="center" vertical="center"/>
      <protection locked="0"/>
    </xf>
    <xf numFmtId="0" fontId="0" fillId="0" borderId="59" xfId="0" applyFill="1" applyBorder="1" applyAlignment="1" applyProtection="1">
      <alignment horizontal="center" vertical="center"/>
      <protection locked="0"/>
    </xf>
    <xf numFmtId="14" fontId="0" fillId="4" borderId="1" xfId="0" applyNumberFormat="1" applyFill="1" applyBorder="1" applyAlignment="1" applyProtection="1">
      <alignment horizontal="left"/>
      <protection locked="0"/>
    </xf>
    <xf numFmtId="0" fontId="0" fillId="4" borderId="1" xfId="0" applyFill="1" applyBorder="1" applyProtection="1">
      <protection locked="0"/>
    </xf>
    <xf numFmtId="0" fontId="0" fillId="0" borderId="0" xfId="0" applyNumberFormat="1" applyFill="1" applyBorder="1" applyAlignment="1" applyProtection="1">
      <alignment horizontal="center" vertical="center"/>
      <protection locked="0"/>
    </xf>
    <xf numFmtId="0" fontId="9" fillId="0" borderId="19" xfId="0" applyFont="1" applyBorder="1" applyProtection="1">
      <protection locked="0"/>
    </xf>
    <xf numFmtId="0" fontId="0" fillId="4" borderId="37" xfId="0" applyFill="1" applyBorder="1"/>
    <xf numFmtId="0" fontId="5" fillId="0" borderId="38" xfId="0" applyNumberFormat="1" applyFont="1" applyBorder="1" applyAlignment="1" applyProtection="1">
      <alignment horizontal="center"/>
      <protection locked="0"/>
    </xf>
    <xf numFmtId="0" fontId="0" fillId="0" borderId="39" xfId="0" applyFill="1" applyBorder="1" applyAlignment="1" applyProtection="1">
      <alignment horizontal="center"/>
      <protection locked="0"/>
    </xf>
    <xf numFmtId="0" fontId="0" fillId="0" borderId="90" xfId="0" applyBorder="1"/>
    <xf numFmtId="0" fontId="0" fillId="0" borderId="44" xfId="0" applyBorder="1"/>
    <xf numFmtId="0" fontId="0" fillId="0" borderId="0" xfId="0" applyFont="1" applyAlignment="1">
      <alignment horizontal="left" vertical="center"/>
    </xf>
    <xf numFmtId="0" fontId="9" fillId="6" borderId="5" xfId="0" applyFont="1" applyFill="1" applyBorder="1"/>
    <xf numFmtId="0" fontId="9" fillId="6" borderId="6" xfId="0" applyFont="1" applyFill="1" applyBorder="1"/>
    <xf numFmtId="0" fontId="0" fillId="0" borderId="78" xfId="0" applyBorder="1" applyAlignment="1">
      <alignment horizontal="center" vertical="center"/>
    </xf>
    <xf numFmtId="0" fontId="5" fillId="2" borderId="11" xfId="0" applyFont="1" applyFill="1" applyBorder="1" applyAlignment="1">
      <alignment horizontal="left"/>
    </xf>
    <xf numFmtId="0" fontId="0" fillId="0" borderId="0" xfId="0" applyNumberFormat="1" applyBorder="1" applyAlignment="1">
      <alignment horizontal="center" vertical="center"/>
    </xf>
    <xf numFmtId="0" fontId="0" fillId="0" borderId="0" xfId="0" applyAlignment="1">
      <alignment horizontal="center"/>
    </xf>
    <xf numFmtId="0" fontId="5" fillId="4" borderId="10" xfId="0" applyFont="1" applyFill="1" applyBorder="1" applyAlignment="1">
      <alignment horizontal="left"/>
    </xf>
    <xf numFmtId="167" fontId="5" fillId="0" borderId="0" xfId="0" applyNumberFormat="1" applyFont="1" applyFill="1" applyBorder="1" applyAlignment="1" applyProtection="1">
      <alignment horizontal="center" vertical="center"/>
      <protection locked="0"/>
    </xf>
    <xf numFmtId="0" fontId="0" fillId="0" borderId="0" xfId="0" applyFont="1"/>
    <xf numFmtId="0" fontId="16" fillId="0" borderId="0" xfId="2"/>
    <xf numFmtId="0" fontId="0" fillId="6" borderId="4" xfId="0" applyFill="1" applyBorder="1" applyAlignment="1"/>
    <xf numFmtId="0" fontId="0" fillId="8" borderId="15" xfId="0" applyFill="1" applyBorder="1" applyAlignment="1"/>
    <xf numFmtId="0" fontId="11" fillId="8" borderId="2" xfId="0" applyFont="1" applyFill="1" applyBorder="1" applyAlignment="1">
      <alignment horizontal="center"/>
    </xf>
    <xf numFmtId="165" fontId="15" fillId="8" borderId="2" xfId="0" applyNumberFormat="1" applyFont="1" applyFill="1" applyBorder="1" applyAlignment="1">
      <alignment horizontal="center"/>
    </xf>
    <xf numFmtId="1" fontId="0" fillId="10" borderId="15" xfId="0" applyNumberFormat="1" applyFill="1" applyBorder="1" applyAlignment="1"/>
    <xf numFmtId="165" fontId="15" fillId="8" borderId="42" xfId="0" applyNumberFormat="1" applyFont="1" applyFill="1" applyBorder="1" applyAlignment="1">
      <alignment horizontal="center"/>
    </xf>
    <xf numFmtId="0" fontId="5" fillId="4" borderId="10" xfId="0" applyFont="1" applyFill="1" applyBorder="1" applyAlignment="1">
      <alignment horizontal="left"/>
    </xf>
    <xf numFmtId="0" fontId="0" fillId="0" borderId="69" xfId="0" applyBorder="1" applyAlignment="1">
      <alignment horizontal="center"/>
    </xf>
    <xf numFmtId="1" fontId="11" fillId="7" borderId="0" xfId="0" applyNumberFormat="1" applyFont="1" applyFill="1" applyBorder="1" applyAlignment="1"/>
    <xf numFmtId="1" fontId="9" fillId="7" borderId="8" xfId="0" applyNumberFormat="1" applyFont="1" applyFill="1" applyBorder="1" applyAlignment="1">
      <alignment horizontal="center" vertical="center"/>
    </xf>
    <xf numFmtId="1" fontId="9" fillId="7" borderId="9" xfId="0" applyNumberFormat="1" applyFont="1" applyFill="1" applyBorder="1" applyAlignment="1">
      <alignment horizontal="center" vertical="center"/>
    </xf>
    <xf numFmtId="1" fontId="11" fillId="7" borderId="8" xfId="0" applyNumberFormat="1" applyFont="1" applyFill="1" applyBorder="1" applyAlignment="1"/>
    <xf numFmtId="164" fontId="5" fillId="7" borderId="48" xfId="0" applyNumberFormat="1" applyFont="1" applyFill="1" applyBorder="1" applyAlignment="1">
      <alignment horizontal="center" vertical="center"/>
    </xf>
    <xf numFmtId="164" fontId="5" fillId="7" borderId="49" xfId="0" applyNumberFormat="1" applyFont="1" applyFill="1" applyBorder="1" applyAlignment="1">
      <alignment horizontal="center" vertical="center"/>
    </xf>
    <xf numFmtId="165" fontId="0" fillId="8" borderId="15" xfId="0" applyNumberFormat="1" applyFill="1" applyBorder="1" applyAlignment="1">
      <alignment horizontal="center"/>
    </xf>
    <xf numFmtId="165" fontId="0" fillId="8" borderId="16" xfId="0" applyNumberFormat="1" applyFill="1" applyBorder="1" applyAlignment="1">
      <alignment horizontal="center"/>
    </xf>
    <xf numFmtId="165" fontId="0" fillId="8" borderId="25" xfId="0" applyNumberFormat="1" applyFill="1" applyBorder="1" applyAlignment="1">
      <alignment horizontal="center"/>
    </xf>
    <xf numFmtId="0" fontId="0" fillId="5" borderId="19" xfId="0" applyFill="1" applyBorder="1" applyAlignment="1">
      <alignment horizontal="right"/>
    </xf>
    <xf numFmtId="0" fontId="0" fillId="6" borderId="30"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0" fillId="0" borderId="0" xfId="0" applyAlignment="1">
      <alignment horizontal="center"/>
    </xf>
    <xf numFmtId="165" fontId="9" fillId="7" borderId="30" xfId="0" applyNumberFormat="1" applyFont="1" applyFill="1" applyBorder="1" applyAlignment="1">
      <alignment horizontal="center" vertical="center"/>
    </xf>
    <xf numFmtId="165" fontId="9" fillId="7" borderId="31" xfId="0" applyNumberFormat="1" applyFont="1" applyFill="1" applyBorder="1" applyAlignment="1">
      <alignment horizontal="center" vertical="center"/>
    </xf>
    <xf numFmtId="164" fontId="0" fillId="4" borderId="2" xfId="0" applyNumberFormat="1" applyFill="1" applyBorder="1" applyAlignment="1">
      <alignment horizontal="center" vertical="center"/>
    </xf>
    <xf numFmtId="164" fontId="0" fillId="4" borderId="15" xfId="0" applyNumberFormat="1" applyFill="1" applyBorder="1" applyAlignment="1">
      <alignment horizontal="center" vertical="center"/>
    </xf>
    <xf numFmtId="0" fontId="0" fillId="6" borderId="91" xfId="0" applyFill="1" applyBorder="1" applyAlignment="1" applyProtection="1">
      <alignment horizontal="center"/>
      <protection locked="0"/>
    </xf>
    <xf numFmtId="0" fontId="0" fillId="4" borderId="37" xfId="0" applyFill="1" applyBorder="1" applyAlignment="1">
      <alignment horizontal="left"/>
    </xf>
    <xf numFmtId="0" fontId="5" fillId="0" borderId="35" xfId="0" applyFont="1" applyBorder="1" applyProtection="1">
      <protection locked="0"/>
    </xf>
    <xf numFmtId="0" fontId="0" fillId="0" borderId="59" xfId="0" applyBorder="1" applyProtection="1">
      <protection locked="0"/>
    </xf>
    <xf numFmtId="0" fontId="0" fillId="0" borderId="35" xfId="0" applyNumberFormat="1" applyFill="1" applyBorder="1" applyAlignment="1">
      <alignment horizontal="center"/>
    </xf>
    <xf numFmtId="0" fontId="0" fillId="0" borderId="59" xfId="0" applyBorder="1"/>
    <xf numFmtId="0" fontId="5" fillId="5" borderId="92" xfId="0" applyFont="1" applyFill="1" applyBorder="1" applyAlignment="1">
      <alignment horizontal="left" vertical="center"/>
    </xf>
    <xf numFmtId="0" fontId="0" fillId="5" borderId="93" xfId="0" applyFill="1" applyBorder="1" applyAlignment="1">
      <alignment horizontal="right"/>
    </xf>
    <xf numFmtId="0" fontId="2" fillId="0" borderId="0" xfId="0" applyFont="1" applyFill="1" applyBorder="1" applyAlignment="1">
      <alignment horizontal="right"/>
    </xf>
    <xf numFmtId="0" fontId="11" fillId="0" borderId="0" xfId="1" applyFont="1" applyAlignment="1">
      <alignment horizontal="left"/>
    </xf>
    <xf numFmtId="165" fontId="9" fillId="8" borderId="46" xfId="0" applyNumberFormat="1" applyFont="1" applyFill="1" applyBorder="1" applyAlignment="1">
      <alignment horizontal="center" vertical="center"/>
    </xf>
    <xf numFmtId="165" fontId="9" fillId="8" borderId="16" xfId="0" applyNumberFormat="1" applyFont="1" applyFill="1" applyBorder="1" applyAlignment="1">
      <alignment horizontal="center" vertical="center"/>
    </xf>
    <xf numFmtId="165" fontId="5" fillId="8" borderId="16" xfId="0" applyNumberFormat="1" applyFont="1" applyFill="1" applyBorder="1" applyAlignment="1">
      <alignment horizontal="center" vertical="center"/>
    </xf>
    <xf numFmtId="165" fontId="0" fillId="8" borderId="25" xfId="0" applyNumberFormat="1" applyFill="1" applyBorder="1" applyAlignment="1">
      <alignment vertical="center"/>
    </xf>
    <xf numFmtId="0" fontId="9" fillId="6" borderId="10" xfId="0" applyFont="1" applyFill="1" applyBorder="1" applyAlignment="1">
      <alignment horizontal="left" vertical="center"/>
    </xf>
    <xf numFmtId="0" fontId="5" fillId="0" borderId="35" xfId="0" applyFont="1" applyBorder="1" applyAlignment="1" applyProtection="1">
      <alignment vertical="center"/>
      <protection locked="0"/>
    </xf>
    <xf numFmtId="0" fontId="0" fillId="0" borderId="35" xfId="0" applyBorder="1" applyProtection="1">
      <protection locked="0"/>
    </xf>
    <xf numFmtId="0" fontId="5" fillId="4" borderId="52" xfId="0" applyFont="1" applyFill="1" applyBorder="1" applyAlignment="1">
      <alignment horizontal="left"/>
    </xf>
    <xf numFmtId="0" fontId="0" fillId="0" borderId="66" xfId="0" applyBorder="1"/>
    <xf numFmtId="1" fontId="0" fillId="10" borderId="15" xfId="0" applyNumberFormat="1" applyFill="1" applyBorder="1" applyAlignment="1">
      <alignment vertical="center"/>
    </xf>
    <xf numFmtId="1" fontId="0" fillId="10" borderId="63" xfId="0" applyNumberFormat="1" applyFill="1" applyBorder="1" applyAlignment="1">
      <alignment vertical="center"/>
    </xf>
    <xf numFmtId="0" fontId="0" fillId="0" borderId="64" xfId="0" applyBorder="1" applyAlignment="1">
      <alignment horizontal="center"/>
    </xf>
    <xf numFmtId="0" fontId="0" fillId="4" borderId="35" xfId="0" applyFill="1" applyBorder="1" applyAlignment="1">
      <alignment vertical="center"/>
    </xf>
    <xf numFmtId="0" fontId="0" fillId="4" borderId="59" xfId="0" applyFill="1" applyBorder="1" applyAlignment="1">
      <alignment vertical="center"/>
    </xf>
    <xf numFmtId="0" fontId="0" fillId="4" borderId="17" xfId="0" applyFill="1" applyBorder="1" applyAlignment="1">
      <alignment vertical="center"/>
    </xf>
    <xf numFmtId="0" fontId="0" fillId="4" borderId="19" xfId="0" applyFill="1" applyBorder="1" applyAlignment="1">
      <alignment vertical="center"/>
    </xf>
    <xf numFmtId="0" fontId="0" fillId="4" borderId="18" xfId="0" applyFill="1" applyBorder="1" applyAlignment="1">
      <alignment vertical="center"/>
    </xf>
    <xf numFmtId="0" fontId="0" fillId="0" borderId="34" xfId="0" applyBorder="1" applyAlignment="1">
      <alignment horizontal="left" vertical="top"/>
    </xf>
    <xf numFmtId="0" fontId="0" fillId="0" borderId="35" xfId="0" applyBorder="1" applyAlignment="1">
      <alignment horizontal="center" vertical="top"/>
    </xf>
    <xf numFmtId="0" fontId="0" fillId="0" borderId="59" xfId="0" applyBorder="1" applyAlignment="1">
      <alignment horizontal="center" vertical="top"/>
    </xf>
    <xf numFmtId="0" fontId="0" fillId="5" borderId="58" xfId="0" applyFill="1" applyBorder="1" applyAlignment="1">
      <alignment horizontal="right"/>
    </xf>
    <xf numFmtId="0" fontId="0" fillId="6" borderId="58" xfId="0" applyFill="1" applyBorder="1" applyAlignment="1" applyProtection="1">
      <alignment horizontal="center" vertical="center"/>
      <protection locked="0"/>
    </xf>
    <xf numFmtId="0" fontId="0" fillId="0" borderId="94" xfId="0" applyBorder="1" applyAlignment="1">
      <alignment horizontal="center" vertical="top"/>
    </xf>
    <xf numFmtId="0" fontId="2" fillId="4" borderId="95" xfId="1" applyFont="1" applyFill="1" applyBorder="1" applyAlignment="1">
      <alignment horizontal="left" vertical="center"/>
    </xf>
    <xf numFmtId="1" fontId="11" fillId="7" borderId="40" xfId="0" applyNumberFormat="1" applyFont="1" applyFill="1" applyBorder="1" applyAlignment="1"/>
    <xf numFmtId="164" fontId="5" fillId="7" borderId="75" xfId="0" applyNumberFormat="1" applyFont="1" applyFill="1" applyBorder="1" applyAlignment="1">
      <alignment horizontal="center" vertical="center"/>
    </xf>
    <xf numFmtId="164" fontId="5" fillId="7" borderId="76" xfId="0" applyNumberFormat="1" applyFont="1" applyFill="1" applyBorder="1" applyAlignment="1">
      <alignment horizontal="center" vertical="center"/>
    </xf>
    <xf numFmtId="0" fontId="0" fillId="6" borderId="32" xfId="0" applyFill="1" applyBorder="1" applyAlignment="1">
      <alignment horizontal="center" vertical="center"/>
    </xf>
    <xf numFmtId="0" fontId="0" fillId="6" borderId="64" xfId="0" applyFill="1" applyBorder="1" applyAlignment="1" applyProtection="1">
      <alignment horizontal="center" vertical="center"/>
      <protection locked="0"/>
    </xf>
    <xf numFmtId="0" fontId="0" fillId="6" borderId="67" xfId="0" applyFill="1" applyBorder="1" applyAlignment="1" applyProtection="1">
      <alignment horizontal="center" vertical="center"/>
      <protection locked="0"/>
    </xf>
    <xf numFmtId="0" fontId="7" fillId="2" borderId="22" xfId="0" applyFont="1" applyFill="1" applyBorder="1" applyAlignment="1"/>
    <xf numFmtId="0" fontId="3" fillId="2" borderId="8" xfId="0" applyFont="1" applyFill="1" applyBorder="1" applyAlignment="1"/>
    <xf numFmtId="0" fontId="3" fillId="7" borderId="20" xfId="0" applyFont="1" applyFill="1" applyBorder="1" applyAlignment="1"/>
    <xf numFmtId="0" fontId="3" fillId="7" borderId="8" xfId="0" applyFont="1" applyFill="1" applyBorder="1" applyAlignment="1"/>
    <xf numFmtId="0" fontId="3" fillId="7" borderId="9" xfId="0" applyFont="1" applyFill="1" applyBorder="1" applyAlignment="1"/>
    <xf numFmtId="0" fontId="3" fillId="2" borderId="4" xfId="0" applyFont="1" applyFill="1" applyBorder="1" applyAlignment="1"/>
    <xf numFmtId="0" fontId="5" fillId="4" borderId="34" xfId="0" applyFont="1" applyFill="1" applyBorder="1" applyAlignment="1"/>
    <xf numFmtId="0" fontId="0" fillId="4" borderId="35" xfId="0" applyFill="1" applyBorder="1" applyAlignment="1"/>
    <xf numFmtId="1" fontId="11" fillId="8" borderId="35" xfId="0" applyNumberFormat="1" applyFont="1" applyFill="1" applyBorder="1" applyAlignment="1"/>
    <xf numFmtId="1" fontId="11" fillId="8" borderId="19" xfId="0" applyNumberFormat="1" applyFont="1" applyFill="1" applyBorder="1" applyAlignment="1"/>
    <xf numFmtId="1" fontId="0" fillId="8" borderId="30" xfId="0" applyNumberFormat="1" applyFill="1" applyBorder="1" applyAlignment="1">
      <alignment horizontal="center" vertical="center"/>
    </xf>
    <xf numFmtId="0" fontId="0" fillId="8" borderId="18" xfId="0" applyFill="1" applyBorder="1" applyAlignment="1">
      <alignment horizontal="center" vertical="center"/>
    </xf>
    <xf numFmtId="0" fontId="5" fillId="8" borderId="34" xfId="0" applyFont="1" applyFill="1" applyBorder="1"/>
    <xf numFmtId="0" fontId="0" fillId="8" borderId="59" xfId="0" applyFill="1" applyBorder="1"/>
    <xf numFmtId="0" fontId="0" fillId="6" borderId="96" xfId="0" applyFill="1" applyBorder="1" applyAlignment="1">
      <alignment horizontal="center" vertical="center"/>
    </xf>
    <xf numFmtId="0" fontId="2" fillId="4" borderId="37" xfId="1" applyFont="1" applyFill="1" applyBorder="1" applyAlignment="1">
      <alignment horizontal="left" vertical="center"/>
    </xf>
    <xf numFmtId="0" fontId="0" fillId="6" borderId="97" xfId="0" applyFill="1" applyBorder="1" applyAlignment="1" applyProtection="1">
      <alignment horizontal="center" vertical="center"/>
      <protection locked="0"/>
    </xf>
    <xf numFmtId="0" fontId="9" fillId="0" borderId="72" xfId="0" applyFont="1" applyBorder="1" applyAlignment="1" applyProtection="1">
      <alignment vertical="center"/>
      <protection locked="0"/>
    </xf>
    <xf numFmtId="0" fontId="9" fillId="0" borderId="66" xfId="0" applyNumberFormat="1" applyFont="1" applyBorder="1" applyAlignment="1" applyProtection="1">
      <protection locked="0"/>
    </xf>
    <xf numFmtId="0" fontId="0" fillId="0" borderId="69" xfId="0" applyBorder="1" applyAlignment="1">
      <alignment horizontal="left" vertical="center"/>
    </xf>
    <xf numFmtId="0" fontId="9" fillId="0" borderId="66" xfId="0" applyFont="1" applyBorder="1" applyAlignment="1" applyProtection="1">
      <protection locked="0"/>
    </xf>
    <xf numFmtId="0" fontId="9" fillId="4" borderId="51" xfId="1" applyFont="1" applyFill="1" applyBorder="1" applyAlignment="1">
      <alignment horizontal="left" vertical="center"/>
    </xf>
    <xf numFmtId="0" fontId="2" fillId="4" borderId="59" xfId="1" applyFont="1" applyFill="1" applyBorder="1" applyAlignment="1">
      <alignment horizontal="left" vertical="center"/>
    </xf>
    <xf numFmtId="0" fontId="0" fillId="0" borderId="67" xfId="0" applyBorder="1"/>
    <xf numFmtId="0" fontId="5" fillId="8" borderId="59" xfId="0" applyFont="1" applyFill="1" applyBorder="1"/>
    <xf numFmtId="0" fontId="5" fillId="8" borderId="18" xfId="0" applyFont="1" applyFill="1" applyBorder="1" applyAlignment="1">
      <alignment horizontal="center" vertical="center"/>
    </xf>
    <xf numFmtId="1" fontId="5" fillId="8" borderId="31" xfId="0" applyNumberFormat="1" applyFont="1" applyFill="1" applyBorder="1" applyAlignment="1">
      <alignment horizontal="center" vertical="center"/>
    </xf>
    <xf numFmtId="49" fontId="5" fillId="0" borderId="38" xfId="0" applyNumberFormat="1" applyFont="1" applyFill="1" applyBorder="1" applyAlignment="1">
      <alignment horizontal="center"/>
    </xf>
    <xf numFmtId="0" fontId="5" fillId="0" borderId="0" xfId="0" applyFont="1" applyFill="1" applyBorder="1" applyAlignment="1">
      <alignment horizontal="center" vertical="center"/>
    </xf>
    <xf numFmtId="2" fontId="0" fillId="0" borderId="0" xfId="0" applyNumberFormat="1" applyFill="1" applyBorder="1"/>
    <xf numFmtId="0" fontId="0" fillId="4" borderId="13" xfId="0" applyFill="1" applyBorder="1" applyAlignment="1" applyProtection="1">
      <alignment horizontal="center"/>
      <protection locked="0"/>
    </xf>
    <xf numFmtId="0" fontId="0" fillId="6" borderId="57" xfId="0" applyFill="1" applyBorder="1" applyAlignment="1" applyProtection="1">
      <alignment horizontal="center"/>
      <protection locked="0"/>
    </xf>
    <xf numFmtId="0" fontId="0" fillId="6" borderId="3" xfId="0" applyFill="1" applyBorder="1" applyAlignment="1" applyProtection="1">
      <alignment horizontal="center"/>
      <protection locked="0"/>
    </xf>
    <xf numFmtId="0" fontId="0" fillId="6" borderId="13" xfId="0" applyFill="1" applyBorder="1" applyAlignment="1" applyProtection="1">
      <alignment horizontal="center"/>
      <protection locked="0"/>
    </xf>
    <xf numFmtId="0" fontId="0" fillId="6" borderId="42" xfId="0" applyFill="1" applyBorder="1" applyAlignment="1" applyProtection="1">
      <alignment horizontal="center"/>
      <protection locked="0"/>
    </xf>
    <xf numFmtId="0" fontId="0" fillId="6" borderId="2" xfId="0" applyFill="1" applyBorder="1" applyAlignment="1" applyProtection="1">
      <alignment horizontal="center"/>
      <protection locked="0"/>
    </xf>
    <xf numFmtId="0" fontId="0" fillId="6" borderId="15" xfId="0" applyFill="1" applyBorder="1" applyAlignment="1" applyProtection="1">
      <alignment horizontal="center"/>
      <protection locked="0"/>
    </xf>
    <xf numFmtId="0" fontId="0" fillId="6" borderId="46" xfId="0" applyFill="1" applyBorder="1" applyAlignment="1" applyProtection="1">
      <alignment horizontal="center"/>
      <protection locked="0"/>
    </xf>
    <xf numFmtId="0" fontId="0" fillId="6" borderId="25" xfId="0" applyFill="1" applyBorder="1" applyAlignment="1" applyProtection="1">
      <alignment horizontal="center"/>
      <protection locked="0"/>
    </xf>
    <xf numFmtId="2" fontId="0" fillId="6" borderId="3" xfId="0" applyNumberFormat="1" applyFill="1" applyBorder="1" applyAlignment="1" applyProtection="1">
      <alignment horizontal="center" vertical="center"/>
      <protection locked="0"/>
    </xf>
    <xf numFmtId="2" fontId="0" fillId="4" borderId="15" xfId="0" applyNumberFormat="1" applyFill="1" applyBorder="1" applyAlignment="1" applyProtection="1">
      <alignment horizontal="center"/>
      <protection locked="0"/>
    </xf>
    <xf numFmtId="0" fontId="5" fillId="4" borderId="38" xfId="0" applyNumberFormat="1" applyFont="1" applyFill="1" applyBorder="1" applyAlignment="1" applyProtection="1">
      <alignment horizontal="center"/>
      <protection locked="0"/>
    </xf>
    <xf numFmtId="0" fontId="5" fillId="4" borderId="38" xfId="0" applyNumberFormat="1" applyFont="1" applyFill="1" applyBorder="1" applyAlignment="1">
      <alignment horizontal="center"/>
    </xf>
    <xf numFmtId="0" fontId="0" fillId="6" borderId="58" xfId="0" applyFill="1" applyBorder="1" applyAlignment="1" applyProtection="1">
      <alignment horizontal="center"/>
      <protection locked="0"/>
    </xf>
    <xf numFmtId="0" fontId="0" fillId="6" borderId="30" xfId="0" applyFill="1" applyBorder="1" applyAlignment="1" applyProtection="1">
      <alignment horizontal="center"/>
      <protection locked="0"/>
    </xf>
    <xf numFmtId="0" fontId="0" fillId="6" borderId="31" xfId="0" applyFill="1" applyBorder="1" applyAlignment="1" applyProtection="1">
      <alignment horizontal="center"/>
      <protection locked="0"/>
    </xf>
    <xf numFmtId="2" fontId="0" fillId="6" borderId="46" xfId="0" applyNumberFormat="1" applyFill="1" applyBorder="1" applyAlignment="1" applyProtection="1">
      <alignment horizontal="center" vertical="center"/>
      <protection locked="0"/>
    </xf>
    <xf numFmtId="2" fontId="0" fillId="6" borderId="57" xfId="0" applyNumberFormat="1" applyFill="1" applyBorder="1" applyAlignment="1" applyProtection="1">
      <alignment horizontal="center" vertical="center"/>
      <protection locked="0"/>
    </xf>
    <xf numFmtId="2" fontId="0" fillId="6" borderId="47" xfId="0" applyNumberFormat="1" applyFill="1" applyBorder="1" applyAlignment="1" applyProtection="1">
      <alignment horizontal="center" vertical="center"/>
      <protection locked="0"/>
    </xf>
    <xf numFmtId="2" fontId="0" fillId="6" borderId="73" xfId="0" applyNumberFormat="1" applyFill="1" applyBorder="1" applyAlignment="1" applyProtection="1">
      <alignment horizontal="center" vertical="center"/>
      <protection locked="0"/>
    </xf>
    <xf numFmtId="2" fontId="0" fillId="6" borderId="2" xfId="0" applyNumberFormat="1" applyFill="1" applyBorder="1" applyAlignment="1" applyProtection="1">
      <alignment horizontal="center" vertical="center"/>
      <protection locked="0"/>
    </xf>
    <xf numFmtId="2" fontId="0" fillId="6" borderId="28" xfId="0" applyNumberFormat="1" applyFill="1" applyBorder="1" applyAlignment="1" applyProtection="1">
      <alignment horizontal="center" vertical="center"/>
      <protection locked="0"/>
    </xf>
    <xf numFmtId="2" fontId="0" fillId="6" borderId="18" xfId="0" applyNumberFormat="1" applyFill="1" applyBorder="1" applyAlignment="1" applyProtection="1">
      <alignment horizontal="center" vertical="center"/>
      <protection locked="0"/>
    </xf>
    <xf numFmtId="2" fontId="0" fillId="6" borderId="15" xfId="0" applyNumberFormat="1" applyFill="1" applyBorder="1" applyAlignment="1" applyProtection="1">
      <alignment horizontal="center" vertical="center"/>
      <protection locked="0"/>
    </xf>
    <xf numFmtId="2" fontId="0" fillId="6" borderId="62" xfId="0" applyNumberFormat="1" applyFill="1" applyBorder="1" applyAlignment="1" applyProtection="1">
      <alignment horizontal="center" vertical="center"/>
      <protection locked="0"/>
    </xf>
    <xf numFmtId="2" fontId="0" fillId="6" borderId="1" xfId="0" applyNumberFormat="1" applyFill="1" applyBorder="1" applyAlignment="1" applyProtection="1">
      <alignment horizontal="center" vertical="center"/>
      <protection locked="0"/>
    </xf>
    <xf numFmtId="0" fontId="0" fillId="0" borderId="0" xfId="0"/>
    <xf numFmtId="0" fontId="0" fillId="0" borderId="0" xfId="0" applyAlignment="1">
      <alignment horizontal="center"/>
    </xf>
    <xf numFmtId="0" fontId="5" fillId="0" borderId="0" xfId="0" applyFont="1"/>
    <xf numFmtId="0" fontId="0" fillId="2" borderId="6" xfId="0" applyFill="1" applyBorder="1"/>
    <xf numFmtId="0" fontId="0" fillId="2" borderId="7" xfId="0" applyFill="1" applyBorder="1"/>
    <xf numFmtId="0" fontId="0" fillId="0" borderId="0" xfId="0" applyBorder="1"/>
    <xf numFmtId="0" fontId="3" fillId="2" borderId="22" xfId="0" applyFont="1" applyFill="1" applyBorder="1"/>
    <xf numFmtId="0" fontId="3" fillId="2" borderId="4" xfId="0" applyFont="1" applyFill="1" applyBorder="1"/>
    <xf numFmtId="0" fontId="0" fillId="2" borderId="5" xfId="0" applyFill="1" applyBorder="1"/>
    <xf numFmtId="0" fontId="3" fillId="2" borderId="8" xfId="0" applyFont="1" applyFill="1" applyBorder="1"/>
    <xf numFmtId="0" fontId="0" fillId="0" borderId="28" xfId="0" applyBorder="1"/>
    <xf numFmtId="0" fontId="7" fillId="2" borderId="5" xfId="0" applyFont="1" applyFill="1" applyBorder="1"/>
    <xf numFmtId="0" fontId="0" fillId="2" borderId="29" xfId="0" applyFill="1" applyBorder="1"/>
    <xf numFmtId="0" fontId="3" fillId="2" borderId="6" xfId="0" applyFont="1" applyFill="1" applyBorder="1"/>
    <xf numFmtId="0" fontId="0" fillId="2" borderId="36" xfId="0" applyFill="1" applyBorder="1"/>
    <xf numFmtId="0" fontId="5" fillId="0" borderId="0" xfId="0" applyFont="1" applyFill="1" applyBorder="1" applyAlignment="1">
      <alignment horizontal="right"/>
    </xf>
    <xf numFmtId="0" fontId="0" fillId="0" borderId="0" xfId="0" applyFill="1" applyAlignment="1">
      <alignment horizontal="center"/>
    </xf>
    <xf numFmtId="0" fontId="9" fillId="0" borderId="1" xfId="0" applyFont="1" applyBorder="1" applyProtection="1">
      <protection locked="0"/>
    </xf>
    <xf numFmtId="0" fontId="0" fillId="4" borderId="10" xfId="0" applyFill="1" applyBorder="1" applyAlignment="1">
      <alignment horizontal="left"/>
    </xf>
    <xf numFmtId="0" fontId="0" fillId="4" borderId="0" xfId="0" applyFill="1" applyBorder="1" applyProtection="1">
      <protection locked="0"/>
    </xf>
    <xf numFmtId="0" fontId="0" fillId="4" borderId="0" xfId="0" applyFill="1" applyBorder="1"/>
    <xf numFmtId="0" fontId="0" fillId="4" borderId="50" xfId="0" applyFill="1" applyBorder="1" applyAlignment="1">
      <alignment horizontal="left"/>
    </xf>
    <xf numFmtId="0" fontId="0" fillId="4" borderId="51" xfId="0" applyFill="1" applyBorder="1" applyAlignment="1">
      <alignment horizontal="left"/>
    </xf>
    <xf numFmtId="0" fontId="3" fillId="7" borderId="8" xfId="0" applyFont="1" applyFill="1" applyBorder="1"/>
    <xf numFmtId="0" fontId="3" fillId="7" borderId="8" xfId="0" applyFont="1" applyFill="1" applyBorder="1" applyAlignment="1">
      <alignment horizontal="left"/>
    </xf>
    <xf numFmtId="0" fontId="3" fillId="7" borderId="9" xfId="0" applyFont="1" applyFill="1" applyBorder="1"/>
    <xf numFmtId="0" fontId="3" fillId="7" borderId="4" xfId="0" applyFont="1" applyFill="1" applyBorder="1" applyAlignment="1">
      <alignment horizontal="center"/>
    </xf>
    <xf numFmtId="0" fontId="3" fillId="7" borderId="12" xfId="0" applyFont="1" applyFill="1" applyBorder="1" applyAlignment="1">
      <alignment horizontal="center"/>
    </xf>
    <xf numFmtId="0" fontId="3" fillId="7" borderId="20" xfId="0" applyFont="1" applyFill="1" applyBorder="1"/>
    <xf numFmtId="0" fontId="3" fillId="7" borderId="21" xfId="0" applyFont="1" applyFill="1" applyBorder="1" applyAlignment="1">
      <alignment horizontal="center"/>
    </xf>
    <xf numFmtId="0" fontId="5" fillId="4" borderId="47" xfId="0" applyFont="1" applyFill="1" applyBorder="1" applyAlignment="1">
      <alignment horizontal="center"/>
    </xf>
    <xf numFmtId="0" fontId="5" fillId="4" borderId="58" xfId="0" applyFont="1" applyFill="1" applyBorder="1" applyAlignment="1">
      <alignment horizontal="center"/>
    </xf>
    <xf numFmtId="0" fontId="0" fillId="0" borderId="64" xfId="0" applyBorder="1"/>
    <xf numFmtId="0" fontId="0" fillId="8" borderId="3" xfId="0" applyFill="1" applyBorder="1" applyAlignment="1" applyProtection="1">
      <alignment horizontal="center"/>
      <protection locked="0"/>
    </xf>
    <xf numFmtId="0" fontId="0" fillId="2" borderId="13" xfId="0" applyFill="1" applyBorder="1" applyAlignment="1">
      <alignment horizontal="center" vertical="center"/>
    </xf>
    <xf numFmtId="0" fontId="0" fillId="2" borderId="15" xfId="0" applyFill="1" applyBorder="1" applyAlignment="1">
      <alignment horizontal="center" vertical="center"/>
    </xf>
    <xf numFmtId="0" fontId="0" fillId="2" borderId="26" xfId="0" applyFill="1" applyBorder="1" applyAlignment="1">
      <alignment vertical="center"/>
    </xf>
    <xf numFmtId="0" fontId="0" fillId="0" borderId="71" xfId="0" applyBorder="1"/>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7" fillId="2" borderId="6" xfId="0" applyFont="1" applyFill="1" applyBorder="1"/>
    <xf numFmtId="165" fontId="9" fillId="8" borderId="77" xfId="0" applyNumberFormat="1" applyFont="1" applyFill="1" applyBorder="1" applyAlignment="1">
      <alignment horizontal="center"/>
    </xf>
    <xf numFmtId="0" fontId="5" fillId="5" borderId="11" xfId="0" applyFont="1" applyFill="1" applyBorder="1" applyAlignment="1">
      <alignment horizontal="center" vertical="center"/>
    </xf>
    <xf numFmtId="14" fontId="0" fillId="4" borderId="1" xfId="0" applyNumberFormat="1" applyFill="1" applyBorder="1" applyAlignment="1" applyProtection="1">
      <alignment horizontal="left"/>
      <protection locked="0"/>
    </xf>
    <xf numFmtId="0" fontId="0" fillId="4" borderId="1" xfId="0" applyFill="1" applyBorder="1" applyProtection="1">
      <protection locked="0"/>
    </xf>
    <xf numFmtId="0" fontId="5" fillId="2" borderId="11" xfId="0" applyFont="1" applyFill="1" applyBorder="1" applyAlignment="1">
      <alignment horizontal="left"/>
    </xf>
    <xf numFmtId="0" fontId="5" fillId="5" borderId="17" xfId="0" applyFont="1" applyFill="1" applyBorder="1" applyAlignment="1">
      <alignment horizontal="left" vertical="center"/>
    </xf>
    <xf numFmtId="0" fontId="0" fillId="5" borderId="19" xfId="0" applyFill="1" applyBorder="1" applyAlignment="1">
      <alignment horizontal="right"/>
    </xf>
    <xf numFmtId="0" fontId="0" fillId="6" borderId="30"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9" fillId="0" borderId="71" xfId="0" applyFont="1" applyBorder="1" applyAlignment="1" applyProtection="1">
      <alignment vertical="center"/>
      <protection locked="0"/>
    </xf>
    <xf numFmtId="0" fontId="5" fillId="0" borderId="0" xfId="0" applyFont="1" applyAlignment="1"/>
    <xf numFmtId="0" fontId="5" fillId="7" borderId="10" xfId="0" applyFont="1" applyFill="1" applyBorder="1" applyAlignment="1">
      <alignment horizontal="left" vertical="center"/>
    </xf>
    <xf numFmtId="0" fontId="0" fillId="4" borderId="15" xfId="0" applyFill="1" applyBorder="1" applyAlignment="1" applyProtection="1">
      <alignment horizontal="center" vertical="center"/>
      <protection locked="0"/>
    </xf>
    <xf numFmtId="0" fontId="5" fillId="4" borderId="38" xfId="0" applyNumberFormat="1" applyFont="1" applyFill="1" applyBorder="1" applyAlignment="1" applyProtection="1">
      <alignment horizontal="center" vertical="center"/>
      <protection locked="0"/>
    </xf>
    <xf numFmtId="0" fontId="0" fillId="7" borderId="13" xfId="0" applyFill="1" applyBorder="1" applyAlignment="1" applyProtection="1">
      <alignment horizontal="center"/>
      <protection locked="0"/>
    </xf>
    <xf numFmtId="0" fontId="0" fillId="9" borderId="13" xfId="0" applyFill="1" applyBorder="1" applyAlignment="1" applyProtection="1">
      <alignment horizontal="center"/>
      <protection locked="0"/>
    </xf>
    <xf numFmtId="0" fontId="0" fillId="9" borderId="30" xfId="0" applyFill="1" applyBorder="1" applyAlignment="1" applyProtection="1">
      <alignment horizontal="center"/>
      <protection locked="0"/>
    </xf>
    <xf numFmtId="0" fontId="0" fillId="7" borderId="30" xfId="0" applyFill="1" applyBorder="1" applyAlignment="1" applyProtection="1">
      <alignment horizontal="center"/>
      <protection locked="0"/>
    </xf>
    <xf numFmtId="0" fontId="0" fillId="7" borderId="31" xfId="0" applyFill="1" applyBorder="1" applyAlignment="1" applyProtection="1">
      <alignment horizontal="center"/>
      <protection locked="0"/>
    </xf>
    <xf numFmtId="0" fontId="5" fillId="4" borderId="15" xfId="0" applyFont="1" applyFill="1" applyBorder="1" applyAlignment="1" applyProtection="1">
      <alignment horizontal="center"/>
      <protection locked="0"/>
    </xf>
    <xf numFmtId="0" fontId="5" fillId="0" borderId="0" xfId="0" applyFont="1" applyFill="1" applyBorder="1" applyAlignment="1">
      <alignment horizontal="center"/>
    </xf>
    <xf numFmtId="0" fontId="41" fillId="0" borderId="0" xfId="0" applyFont="1" applyAlignment="1">
      <alignment vertical="center"/>
    </xf>
    <xf numFmtId="0" fontId="5" fillId="0" borderId="0" xfId="0" applyFont="1" applyFill="1" applyBorder="1" applyAlignment="1">
      <alignment vertical="center"/>
    </xf>
    <xf numFmtId="0" fontId="7" fillId="0" borderId="0" xfId="0" applyFont="1" applyFill="1" applyBorder="1" applyAlignment="1">
      <alignment horizontal="center" vertical="center"/>
    </xf>
    <xf numFmtId="0" fontId="40" fillId="0" borderId="0" xfId="0" applyFont="1" applyFill="1" applyBorder="1"/>
    <xf numFmtId="2" fontId="0" fillId="0" borderId="0" xfId="0" applyNumberFormat="1" applyFill="1" applyBorder="1" applyAlignment="1">
      <alignment vertical="center"/>
    </xf>
    <xf numFmtId="49" fontId="5" fillId="0" borderId="0" xfId="0" applyNumberFormat="1" applyFont="1" applyFill="1" applyBorder="1" applyAlignment="1">
      <alignment horizontal="center"/>
    </xf>
    <xf numFmtId="0" fontId="42" fillId="4" borderId="0" xfId="44" applyFont="1" applyFill="1" applyAlignment="1">
      <alignment horizontal="center"/>
    </xf>
    <xf numFmtId="0" fontId="42" fillId="0" borderId="0" xfId="44" applyFont="1" applyAlignment="1">
      <alignment horizontal="center"/>
    </xf>
    <xf numFmtId="0" fontId="1" fillId="0" borderId="0" xfId="44" applyAlignment="1">
      <alignment horizontal="center"/>
    </xf>
    <xf numFmtId="0" fontId="1" fillId="0" borderId="0" xfId="44"/>
    <xf numFmtId="17" fontId="0" fillId="0" borderId="0" xfId="0" applyNumberFormat="1" applyAlignment="1">
      <alignment horizontal="center"/>
    </xf>
    <xf numFmtId="0" fontId="3" fillId="0" borderId="0" xfId="1" applyFont="1"/>
    <xf numFmtId="0" fontId="14" fillId="0" borderId="0" xfId="1" applyFont="1"/>
    <xf numFmtId="0" fontId="5" fillId="0" borderId="0" xfId="1" quotePrefix="1" applyFont="1" applyFill="1" applyBorder="1"/>
    <xf numFmtId="0" fontId="5" fillId="0" borderId="0" xfId="1" quotePrefix="1" applyFont="1" applyFill="1" applyBorder="1" applyAlignment="1">
      <alignment horizontal="left"/>
    </xf>
    <xf numFmtId="0" fontId="5" fillId="0" borderId="0" xfId="1" applyFont="1" applyBorder="1"/>
    <xf numFmtId="0" fontId="5" fillId="0" borderId="0" xfId="1" quotePrefix="1" applyFont="1"/>
    <xf numFmtId="0" fontId="5" fillId="6" borderId="36" xfId="0" applyFont="1" applyFill="1" applyBorder="1" applyAlignment="1">
      <alignment horizontal="center" vertical="center"/>
    </xf>
    <xf numFmtId="0" fontId="0" fillId="0" borderId="7" xfId="0" applyBorder="1" applyAlignment="1"/>
    <xf numFmtId="0" fontId="5" fillId="6" borderId="36" xfId="0" applyFont="1" applyFill="1" applyBorder="1" applyAlignment="1"/>
    <xf numFmtId="0" fontId="0" fillId="0" borderId="43" xfId="0" applyBorder="1" applyAlignment="1">
      <alignment horizontal="center"/>
    </xf>
    <xf numFmtId="0" fontId="0" fillId="0" borderId="44" xfId="0" applyBorder="1" applyAlignment="1">
      <alignment horizontal="center"/>
    </xf>
    <xf numFmtId="168" fontId="0" fillId="0" borderId="45" xfId="0" applyNumberFormat="1" applyBorder="1" applyAlignment="1">
      <alignment horizontal="center"/>
    </xf>
    <xf numFmtId="168" fontId="0" fillId="0" borderId="46" xfId="0" applyNumberFormat="1" applyBorder="1" applyAlignment="1">
      <alignment horizontal="center"/>
    </xf>
    <xf numFmtId="0" fontId="5" fillId="0" borderId="69" xfId="0" applyFont="1" applyFill="1" applyBorder="1" applyAlignment="1">
      <alignment horizontal="center" vertical="center" textRotation="90"/>
    </xf>
    <xf numFmtId="0" fontId="0" fillId="0" borderId="0" xfId="0" applyAlignment="1">
      <alignment horizontal="center" vertical="center"/>
    </xf>
    <xf numFmtId="0" fontId="0" fillId="0" borderId="60" xfId="0" applyBorder="1" applyAlignment="1">
      <alignment horizontal="center" vertical="center"/>
    </xf>
    <xf numFmtId="0" fontId="0" fillId="0" borderId="3"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5" fillId="0" borderId="69" xfId="0" applyFont="1" applyBorder="1" applyAlignment="1">
      <alignment horizontal="center" vertical="center" textRotation="90"/>
    </xf>
    <xf numFmtId="0" fontId="0" fillId="0" borderId="0" xfId="0" applyAlignment="1">
      <alignment horizontal="center" vertical="center" textRotation="90"/>
    </xf>
    <xf numFmtId="0" fontId="0" fillId="0" borderId="0" xfId="0" applyAlignment="1">
      <alignment vertical="center"/>
    </xf>
    <xf numFmtId="0" fontId="5" fillId="0" borderId="0" xfId="1" applyFont="1" applyAlignment="1">
      <alignment horizontal="center" vertical="center" textRotation="90"/>
    </xf>
    <xf numFmtId="0" fontId="5" fillId="0" borderId="0" xfId="1" applyAlignment="1">
      <alignment horizontal="center" vertical="center"/>
    </xf>
    <xf numFmtId="0" fontId="5" fillId="0" borderId="0" xfId="1" applyBorder="1" applyAlignment="1">
      <alignment horizontal="center" vertical="center"/>
    </xf>
    <xf numFmtId="0" fontId="5" fillId="0" borderId="47" xfId="1" applyFont="1" applyBorder="1" applyAlignment="1">
      <alignment horizontal="right" vertical="center" textRotation="90"/>
    </xf>
    <xf numFmtId="0" fontId="5" fillId="0" borderId="47" xfId="1" applyBorder="1" applyAlignment="1">
      <alignment horizontal="right" vertical="center"/>
    </xf>
    <xf numFmtId="0" fontId="0" fillId="0" borderId="43" xfId="0" applyBorder="1" applyAlignment="1" applyProtection="1">
      <alignment horizontal="center"/>
      <protection locked="0"/>
    </xf>
    <xf numFmtId="0" fontId="0" fillId="0" borderId="44"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42" xfId="0" applyBorder="1" applyAlignment="1" applyProtection="1">
      <alignment horizontal="center"/>
      <protection locked="0"/>
    </xf>
    <xf numFmtId="2" fontId="0" fillId="0" borderId="98" xfId="0" applyNumberFormat="1" applyBorder="1" applyAlignment="1">
      <alignment horizontal="center" vertical="center"/>
    </xf>
    <xf numFmtId="0" fontId="0" fillId="0" borderId="63" xfId="0" applyBorder="1" applyAlignment="1">
      <alignment horizontal="center" vertical="center"/>
    </xf>
    <xf numFmtId="2" fontId="0" fillId="0" borderId="2" xfId="0" applyNumberFormat="1" applyBorder="1" applyAlignment="1">
      <alignment horizontal="center" vertical="center"/>
    </xf>
    <xf numFmtId="0" fontId="0" fillId="0" borderId="2" xfId="0" applyBorder="1" applyAlignment="1">
      <alignment horizontal="center" vertical="center"/>
    </xf>
    <xf numFmtId="0" fontId="5" fillId="4" borderId="43" xfId="0" applyFont="1" applyFill="1" applyBorder="1" applyAlignment="1">
      <alignment horizontal="center"/>
    </xf>
    <xf numFmtId="0" fontId="0" fillId="0" borderId="89" xfId="0" applyBorder="1" applyAlignment="1"/>
    <xf numFmtId="0" fontId="0" fillId="0" borderId="44" xfId="0" applyBorder="1" applyAlignment="1"/>
    <xf numFmtId="0" fontId="5" fillId="4" borderId="70" xfId="0" applyFont="1" applyFill="1" applyBorder="1" applyAlignment="1">
      <alignment horizontal="center"/>
    </xf>
    <xf numFmtId="0" fontId="0" fillId="4" borderId="18" xfId="0" applyFill="1" applyBorder="1" applyAlignment="1"/>
    <xf numFmtId="0" fontId="0" fillId="4" borderId="58" xfId="0" applyFill="1" applyBorder="1" applyAlignment="1"/>
    <xf numFmtId="0" fontId="5" fillId="0" borderId="8" xfId="0" applyFont="1" applyBorder="1" applyAlignment="1">
      <alignment horizontal="right" vertical="center" textRotation="90"/>
    </xf>
    <xf numFmtId="0" fontId="0" fillId="0" borderId="0" xfId="0" applyAlignment="1">
      <alignment horizontal="right" vertical="center"/>
    </xf>
    <xf numFmtId="0" fontId="0" fillId="6" borderId="36" xfId="0" applyFill="1" applyBorder="1" applyAlignment="1">
      <alignment horizontal="center" vertical="center"/>
    </xf>
    <xf numFmtId="0" fontId="0" fillId="0" borderId="29" xfId="0" applyBorder="1" applyAlignment="1"/>
    <xf numFmtId="0" fontId="5" fillId="2" borderId="3" xfId="0" applyFont="1" applyFill="1" applyBorder="1" applyAlignment="1">
      <alignment horizontal="center"/>
    </xf>
    <xf numFmtId="0" fontId="0" fillId="0" borderId="13" xfId="0" applyBorder="1" applyAlignment="1"/>
    <xf numFmtId="0" fontId="0" fillId="2" borderId="6" xfId="0" applyFill="1" applyBorder="1" applyAlignment="1">
      <alignment horizontal="center" vertical="center"/>
    </xf>
    <xf numFmtId="0" fontId="0" fillId="0" borderId="29" xfId="0" applyBorder="1" applyAlignment="1">
      <alignment horizontal="center" vertical="center"/>
    </xf>
    <xf numFmtId="0" fontId="5" fillId="2" borderId="2" xfId="0" applyFont="1" applyFill="1" applyBorder="1" applyAlignment="1">
      <alignment horizontal="center"/>
    </xf>
    <xf numFmtId="0" fontId="0" fillId="0" borderId="15" xfId="0" applyBorder="1" applyAlignment="1"/>
    <xf numFmtId="0" fontId="0" fillId="0" borderId="70" xfId="0" applyFill="1" applyBorder="1" applyAlignment="1" applyProtection="1">
      <alignment horizontal="center"/>
      <protection locked="0"/>
    </xf>
    <xf numFmtId="0" fontId="0" fillId="0" borderId="18" xfId="0" applyBorder="1" applyAlignment="1"/>
    <xf numFmtId="0" fontId="5" fillId="0" borderId="0" xfId="0" applyFont="1" applyAlignment="1">
      <alignment horizontal="center" textRotation="90"/>
    </xf>
    <xf numFmtId="0" fontId="0" fillId="0" borderId="0" xfId="0" applyAlignment="1"/>
    <xf numFmtId="0" fontId="0" fillId="0" borderId="45" xfId="0" applyBorder="1" applyAlignment="1" applyProtection="1">
      <alignment horizontal="center"/>
      <protection locked="0"/>
    </xf>
    <xf numFmtId="0" fontId="0" fillId="0" borderId="46" xfId="0" applyBorder="1" applyAlignment="1" applyProtection="1">
      <alignment horizontal="center"/>
      <protection locked="0"/>
    </xf>
    <xf numFmtId="0" fontId="5" fillId="0" borderId="1" xfId="1" applyFont="1" applyBorder="1" applyAlignment="1">
      <alignment horizontal="center"/>
    </xf>
    <xf numFmtId="0" fontId="5" fillId="0" borderId="1" xfId="1" applyBorder="1" applyAlignment="1">
      <alignment horizontal="center"/>
    </xf>
    <xf numFmtId="0" fontId="5" fillId="0" borderId="1" xfId="0" applyFont="1" applyBorder="1" applyAlignment="1">
      <alignment horizontal="center" textRotation="90"/>
    </xf>
    <xf numFmtId="0" fontId="5" fillId="0" borderId="0" xfId="0" applyFont="1" applyFill="1" applyBorder="1" applyAlignment="1">
      <alignment horizontal="center" textRotation="90"/>
    </xf>
    <xf numFmtId="0" fontId="0" fillId="0" borderId="1" xfId="0" applyBorder="1" applyAlignment="1"/>
    <xf numFmtId="0" fontId="0" fillId="5" borderId="65" xfId="0" applyFill="1"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4" borderId="43" xfId="0" applyFill="1" applyBorder="1" applyAlignment="1" applyProtection="1">
      <alignment horizontal="center"/>
      <protection locked="0"/>
    </xf>
    <xf numFmtId="0" fontId="0" fillId="4" borderId="44" xfId="0" applyFill="1" applyBorder="1" applyAlignment="1">
      <alignment horizontal="center"/>
    </xf>
    <xf numFmtId="0" fontId="0" fillId="4" borderId="23" xfId="0" applyFill="1" applyBorder="1" applyAlignment="1" applyProtection="1">
      <alignment horizontal="center"/>
      <protection locked="0"/>
    </xf>
    <xf numFmtId="0" fontId="0" fillId="4" borderId="42" xfId="0" applyFill="1" applyBorder="1" applyAlignment="1">
      <alignment horizontal="center"/>
    </xf>
    <xf numFmtId="0" fontId="0" fillId="4" borderId="45" xfId="0" applyFill="1" applyBorder="1" applyAlignment="1" applyProtection="1">
      <alignment horizontal="center"/>
      <protection locked="0"/>
    </xf>
    <xf numFmtId="0" fontId="0" fillId="4" borderId="46" xfId="0" applyFill="1" applyBorder="1" applyAlignment="1">
      <alignment horizontal="center"/>
    </xf>
    <xf numFmtId="0" fontId="0" fillId="0" borderId="35" xfId="0" applyBorder="1" applyAlignment="1">
      <alignment horizontal="center"/>
    </xf>
    <xf numFmtId="0" fontId="0" fillId="4" borderId="56" xfId="0" applyFill="1" applyBorder="1" applyAlignment="1">
      <alignment horizontal="right" vertical="center" textRotation="90"/>
    </xf>
    <xf numFmtId="0" fontId="0" fillId="0" borderId="10" xfId="0" applyBorder="1" applyAlignment="1">
      <alignment horizontal="right" vertical="center" textRotation="90"/>
    </xf>
    <xf numFmtId="0" fontId="0" fillId="0" borderId="17" xfId="0" applyBorder="1" applyAlignment="1">
      <alignment horizontal="right" vertical="center" textRotation="90"/>
    </xf>
    <xf numFmtId="2" fontId="0" fillId="5" borderId="53" xfId="0" applyNumberFormat="1" applyFill="1" applyBorder="1" applyAlignment="1">
      <alignment horizontal="center" vertical="center"/>
    </xf>
    <xf numFmtId="0" fontId="0" fillId="5" borderId="54" xfId="0" applyFill="1" applyBorder="1" applyAlignment="1">
      <alignment horizontal="center" vertical="center"/>
    </xf>
    <xf numFmtId="0" fontId="0" fillId="5" borderId="55" xfId="0" applyFill="1" applyBorder="1" applyAlignment="1">
      <alignment horizontal="center" vertical="center"/>
    </xf>
    <xf numFmtId="0" fontId="0" fillId="0" borderId="69" xfId="0" applyBorder="1" applyAlignment="1">
      <alignment horizontal="center"/>
    </xf>
    <xf numFmtId="0" fontId="0" fillId="0" borderId="62" xfId="0" applyBorder="1" applyAlignment="1">
      <alignment horizontal="center"/>
    </xf>
    <xf numFmtId="0" fontId="0" fillId="8" borderId="56" xfId="0" applyFill="1" applyBorder="1" applyAlignment="1">
      <alignment horizontal="right" vertical="center" textRotation="90"/>
    </xf>
    <xf numFmtId="0" fontId="0" fillId="4" borderId="43" xfId="0" applyFill="1" applyBorder="1" applyAlignment="1" applyProtection="1">
      <alignment horizontal="center" vertical="center"/>
      <protection locked="0"/>
    </xf>
    <xf numFmtId="0" fontId="0" fillId="0" borderId="44" xfId="0" applyBorder="1" applyAlignment="1">
      <alignment horizontal="center" vertical="center"/>
    </xf>
    <xf numFmtId="0" fontId="0" fillId="4" borderId="66" xfId="0" applyFill="1" applyBorder="1" applyAlignment="1" applyProtection="1">
      <alignment horizontal="center" vertical="center"/>
      <protection locked="0"/>
    </xf>
    <xf numFmtId="0" fontId="0" fillId="4" borderId="46" xfId="0" applyFill="1" applyBorder="1" applyAlignment="1">
      <alignment horizontal="center" vertical="center"/>
    </xf>
    <xf numFmtId="167" fontId="5" fillId="0" borderId="0" xfId="0" applyNumberFormat="1" applyFont="1" applyFill="1" applyBorder="1" applyAlignment="1" applyProtection="1">
      <alignment horizontal="center" vertical="center"/>
      <protection locked="0"/>
    </xf>
    <xf numFmtId="167" fontId="0" fillId="0" borderId="0" xfId="0" applyNumberFormat="1" applyFill="1" applyBorder="1" applyAlignment="1">
      <alignment horizontal="center" vertical="center"/>
    </xf>
    <xf numFmtId="0" fontId="0" fillId="4" borderId="10" xfId="0" applyFill="1" applyBorder="1" applyAlignment="1">
      <alignment horizontal="right" vertical="center" textRotation="90"/>
    </xf>
    <xf numFmtId="0" fontId="0" fillId="4" borderId="17" xfId="0" applyFill="1" applyBorder="1" applyAlignment="1">
      <alignment horizontal="right" vertical="center" textRotation="90"/>
    </xf>
    <xf numFmtId="0" fontId="0" fillId="4" borderId="23" xfId="0" applyFill="1" applyBorder="1" applyAlignment="1" applyProtection="1">
      <alignment horizontal="center" vertical="center"/>
      <protection locked="0"/>
    </xf>
    <xf numFmtId="0" fontId="0" fillId="0" borderId="42" xfId="0" applyBorder="1" applyAlignment="1">
      <alignment horizontal="center" vertical="center"/>
    </xf>
    <xf numFmtId="0" fontId="0" fillId="0" borderId="71" xfId="0" applyBorder="1" applyAlignment="1" applyProtection="1">
      <alignment horizontal="center" vertical="center"/>
      <protection locked="0"/>
    </xf>
    <xf numFmtId="2" fontId="0" fillId="5" borderId="54" xfId="0" applyNumberFormat="1" applyFill="1" applyBorder="1" applyAlignment="1">
      <alignment horizontal="center" vertical="center"/>
    </xf>
    <xf numFmtId="2" fontId="0" fillId="5" borderId="55" xfId="0" applyNumberFormat="1" applyFill="1" applyBorder="1" applyAlignment="1">
      <alignment horizontal="center" vertical="center"/>
    </xf>
    <xf numFmtId="0" fontId="0" fillId="4" borderId="71" xfId="0" applyFill="1" applyBorder="1" applyAlignment="1" applyProtection="1">
      <alignment horizontal="center" vertical="center"/>
      <protection locked="0"/>
    </xf>
    <xf numFmtId="0" fontId="0" fillId="4" borderId="44" xfId="0" applyFill="1" applyBorder="1" applyAlignment="1">
      <alignment horizontal="center" vertical="center"/>
    </xf>
    <xf numFmtId="0" fontId="0" fillId="0" borderId="94" xfId="0" applyBorder="1" applyAlignment="1">
      <alignment horizontal="center" vertical="top"/>
    </xf>
    <xf numFmtId="0" fontId="0" fillId="0" borderId="35" xfId="0" applyBorder="1" applyAlignment="1">
      <alignment horizontal="center" vertical="top"/>
    </xf>
    <xf numFmtId="0" fontId="0" fillId="0" borderId="59" xfId="0" applyBorder="1" applyAlignment="1">
      <alignment horizontal="center" vertical="top"/>
    </xf>
  </cellXfs>
  <cellStyles count="45">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2" xfId="27"/>
    <cellStyle name="Calculation 2" xfId="28"/>
    <cellStyle name="Check Cell 2" xfId="29"/>
    <cellStyle name="Explanatory Text 2" xfId="30"/>
    <cellStyle name="Good 2" xfId="31"/>
    <cellStyle name="Heading 1 2" xfId="32"/>
    <cellStyle name="Heading 2 2" xfId="33"/>
    <cellStyle name="Heading 3 2" xfId="34"/>
    <cellStyle name="Heading 4 2" xfId="35"/>
    <cellStyle name="Input 2" xfId="36"/>
    <cellStyle name="Linked Cell 2" xfId="37"/>
    <cellStyle name="Neutral 2" xfId="38"/>
    <cellStyle name="Normal" xfId="0" builtinId="0"/>
    <cellStyle name="Normal 2" xfId="1"/>
    <cellStyle name="Normal 3" xfId="2"/>
    <cellStyle name="Normal 4" xfId="44"/>
    <cellStyle name="Note 2" xfId="39"/>
    <cellStyle name="Output 2" xfId="40"/>
    <cellStyle name="Title 2" xfId="41"/>
    <cellStyle name="Total 2" xfId="42"/>
    <cellStyle name="Warning Text 2" xfId="43"/>
  </cellStyles>
  <dxfs count="94">
    <dxf>
      <fill>
        <patternFill>
          <bgColor rgb="FFFF0000"/>
        </patternFill>
      </fill>
    </dxf>
    <dxf>
      <font>
        <color theme="0"/>
      </font>
      <fill>
        <patternFill>
          <bgColor theme="0"/>
        </patternFill>
      </fill>
      <border>
        <left/>
        <right/>
        <top/>
        <bottom/>
        <vertical/>
        <horizontal/>
      </border>
    </dxf>
    <dxf>
      <font>
        <b val="0"/>
        <i val="0"/>
        <color theme="0"/>
      </font>
      <fill>
        <patternFill patternType="none">
          <bgColor auto="1"/>
        </patternFill>
      </fill>
      <border>
        <left/>
        <right/>
        <top/>
        <bottom/>
      </border>
    </dxf>
    <dxf>
      <font>
        <color theme="0"/>
      </font>
      <fill>
        <patternFill patternType="none">
          <bgColor auto="1"/>
        </patternFill>
      </fill>
      <border>
        <left/>
        <right/>
        <top/>
        <bottom/>
      </border>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indexed="10"/>
        </patternFill>
      </fill>
    </dxf>
    <dxf>
      <fill>
        <patternFill>
          <bgColor indexed="10"/>
        </patternFill>
      </fill>
    </dxf>
    <dxf>
      <font>
        <color rgb="FF9C0006"/>
      </font>
      <fill>
        <patternFill>
          <bgColor theme="5" tint="0.39994506668294322"/>
        </patternFill>
      </fill>
    </dxf>
    <dxf>
      <font>
        <color rgb="FFC00000"/>
      </font>
      <fill>
        <patternFill>
          <bgColor theme="5" tint="0.39994506668294322"/>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C00000"/>
      </font>
      <fill>
        <patternFill>
          <fgColor rgb="FFC00000"/>
          <bgColor theme="5" tint="0.39991454817346722"/>
        </patternFill>
      </fill>
    </dxf>
    <dxf>
      <fill>
        <patternFill>
          <bgColor indexed="43"/>
        </patternFill>
      </fill>
    </dxf>
    <dxf>
      <font>
        <condense val="0"/>
        <extend val="0"/>
        <color indexed="9"/>
      </font>
    </dxf>
    <dxf>
      <font>
        <condense val="0"/>
        <extend val="0"/>
        <color indexed="9"/>
      </font>
    </dxf>
    <dxf>
      <font>
        <color theme="0"/>
      </font>
      <fill>
        <patternFill>
          <bgColor theme="0"/>
        </patternFill>
      </fill>
      <border>
        <left/>
        <right/>
        <top/>
        <bottom/>
        <vertical/>
        <horizontal/>
      </border>
    </dxf>
    <dxf>
      <font>
        <b val="0"/>
        <i val="0"/>
        <color theme="0"/>
      </font>
      <fill>
        <patternFill patternType="none">
          <bgColor auto="1"/>
        </patternFill>
      </fill>
      <border>
        <left/>
        <right/>
        <top/>
        <bottom/>
      </border>
    </dxf>
    <dxf>
      <font>
        <color theme="0"/>
      </font>
      <fill>
        <patternFill patternType="none">
          <bgColor auto="1"/>
        </patternFill>
      </fill>
      <border>
        <left/>
        <right/>
        <top/>
        <bottom/>
      </border>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indexed="10"/>
        </patternFill>
      </fill>
    </dxf>
    <dxf>
      <fill>
        <patternFill>
          <bgColor indexed="10"/>
        </patternFill>
      </fill>
    </dxf>
    <dxf>
      <font>
        <color rgb="FF9C0006"/>
      </font>
      <fill>
        <patternFill>
          <bgColor rgb="FFFFC7CE"/>
        </patternFill>
      </fill>
    </dxf>
    <dxf>
      <font>
        <color theme="5" tint="-0.24994659260841701"/>
      </font>
      <fill>
        <patternFill>
          <bgColor theme="5" tint="0.59996337778862885"/>
        </patternFill>
      </fill>
    </dxf>
    <dxf>
      <fill>
        <patternFill>
          <bgColor indexed="43"/>
        </patternFill>
      </fill>
    </dxf>
    <dxf>
      <font>
        <condense val="0"/>
        <extend val="0"/>
        <color indexed="9"/>
      </font>
    </dxf>
    <dxf>
      <font>
        <condense val="0"/>
        <extend val="0"/>
        <color indexed="9"/>
      </font>
    </dxf>
    <dxf>
      <font>
        <color theme="0"/>
      </font>
      <fill>
        <patternFill>
          <bgColor theme="0"/>
        </patternFill>
      </fill>
      <border>
        <left/>
        <right/>
        <top/>
        <bottom/>
        <vertical/>
        <horizontal/>
      </border>
    </dxf>
    <dxf>
      <font>
        <b val="0"/>
        <i val="0"/>
        <color theme="0"/>
      </font>
      <fill>
        <patternFill patternType="none">
          <bgColor auto="1"/>
        </patternFill>
      </fill>
      <border>
        <left/>
        <right/>
        <top/>
        <bottom/>
      </border>
    </dxf>
    <dxf>
      <font>
        <color theme="0"/>
      </font>
      <fill>
        <patternFill patternType="none">
          <bgColor auto="1"/>
        </patternFill>
      </fill>
      <border>
        <left/>
        <right/>
        <top/>
        <bottom/>
      </border>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indexed="10"/>
        </patternFill>
      </fill>
    </dxf>
    <dxf>
      <fill>
        <patternFill>
          <bgColor indexed="10"/>
        </patternFill>
      </fill>
    </dxf>
    <dxf>
      <font>
        <color rgb="FF9C0006"/>
      </font>
      <fill>
        <patternFill>
          <bgColor rgb="FFFFC7CE"/>
        </patternFill>
      </fill>
    </dxf>
    <dxf>
      <fill>
        <patternFill>
          <bgColor indexed="43"/>
        </patternFill>
      </fill>
    </dxf>
    <dxf>
      <font>
        <condense val="0"/>
        <extend val="0"/>
        <color indexed="9"/>
      </font>
    </dxf>
    <dxf>
      <font>
        <condense val="0"/>
        <extend val="0"/>
        <color indexed="9"/>
      </font>
    </dxf>
    <dxf>
      <font>
        <b val="0"/>
        <i val="0"/>
        <color theme="0"/>
      </font>
      <fill>
        <patternFill patternType="none">
          <bgColor auto="1"/>
        </patternFill>
      </fill>
      <border>
        <left/>
        <right/>
        <top/>
        <bottom/>
      </border>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indexed="10"/>
        </patternFill>
      </fill>
    </dxf>
    <dxf>
      <fill>
        <patternFill>
          <bgColor indexed="43"/>
        </patternFill>
      </fill>
    </dxf>
    <dxf>
      <font>
        <condense val="0"/>
        <extend val="0"/>
        <color indexed="9"/>
      </font>
    </dxf>
    <dxf>
      <font>
        <condense val="0"/>
        <extend val="0"/>
        <color indexed="9"/>
      </font>
    </dxf>
    <dxf>
      <fill>
        <patternFill>
          <bgColor indexed="10"/>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indexed="10"/>
        </patternFill>
      </fill>
    </dxf>
    <dxf>
      <fill>
        <patternFill>
          <bgColor indexed="10"/>
        </patternFill>
      </fill>
    </dxf>
    <dxf>
      <fill>
        <patternFill>
          <bgColor indexed="10"/>
        </patternFill>
      </fill>
    </dxf>
    <dxf>
      <font>
        <condense val="0"/>
        <extend val="0"/>
        <color indexed="9"/>
      </font>
    </dxf>
    <dxf>
      <font>
        <condense val="0"/>
        <extend val="0"/>
        <color indexed="9"/>
      </font>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s>
  <tableStyles count="0" defaultTableStyle="TableStyleMedium2" defaultPivotStyle="PivotStyleLight16"/>
  <colors>
    <mruColors>
      <color rgb="FFFF0000"/>
      <color rgb="FFFFFF99"/>
      <color rgb="FFFFFF66"/>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Radio" firstButton="1" fmlaLink="$B$5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B$59"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checked="Checked" lockText="1" noThreeD="1"/>
</file>

<file path=xl/ctrlProps/ctrlProp19.xml><?xml version="1.0" encoding="utf-8"?>
<formControlPr xmlns="http://schemas.microsoft.com/office/spreadsheetml/2009/9/main" objectType="Radio" firstButton="1" fmlaLink="$B$61" lockText="1" noThreeD="1"/>
</file>

<file path=xl/ctrlProps/ctrlProp2.xml><?xml version="1.0" encoding="utf-8"?>
<formControlPr xmlns="http://schemas.microsoft.com/office/spreadsheetml/2009/9/main" objectType="Radio" checked="Checked"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firstButton="1" fmlaLink="$B$58"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image" Target="../media/image18.png"/><Relationship Id="rId3" Type="http://schemas.openxmlformats.org/officeDocument/2006/relationships/image" Target="../media/image8.png"/><Relationship Id="rId7" Type="http://schemas.openxmlformats.org/officeDocument/2006/relationships/image" Target="../media/image12.png"/><Relationship Id="rId12" Type="http://schemas.openxmlformats.org/officeDocument/2006/relationships/image" Target="../media/image17.png"/><Relationship Id="rId17" Type="http://schemas.openxmlformats.org/officeDocument/2006/relationships/image" Target="../media/image22.png"/><Relationship Id="rId2" Type="http://schemas.openxmlformats.org/officeDocument/2006/relationships/image" Target="../media/image7.png"/><Relationship Id="rId16" Type="http://schemas.openxmlformats.org/officeDocument/2006/relationships/image" Target="../media/image21.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5" Type="http://schemas.openxmlformats.org/officeDocument/2006/relationships/image" Target="../media/image2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 Id="rId1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emf"/><Relationship Id="rId1" Type="http://schemas.openxmlformats.org/officeDocument/2006/relationships/image" Target="../media/image2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emf"/></Relationships>
</file>

<file path=xl/drawings/_rels/drawing6.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30.emf"/></Relationships>
</file>

<file path=xl/drawings/_rels/drawing7.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9.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6.emf"/></Relationships>
</file>

<file path=xl/drawings/drawing1.xml><?xml version="1.0" encoding="utf-8"?>
<xdr:wsDr xmlns:xdr="http://schemas.openxmlformats.org/drawingml/2006/spreadsheetDrawing" xmlns:a="http://schemas.openxmlformats.org/drawingml/2006/main">
  <xdr:twoCellAnchor editAs="oneCell">
    <xdr:from>
      <xdr:col>2</xdr:col>
      <xdr:colOff>15240</xdr:colOff>
      <xdr:row>88</xdr:row>
      <xdr:rowOff>26670</xdr:rowOff>
    </xdr:from>
    <xdr:to>
      <xdr:col>4</xdr:col>
      <xdr:colOff>611738</xdr:colOff>
      <xdr:row>96</xdr:row>
      <xdr:rowOff>152605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7760" y="14679930"/>
          <a:ext cx="1663298" cy="1467055"/>
        </a:xfrm>
        <a:prstGeom prst="rect">
          <a:avLst/>
        </a:prstGeom>
      </xdr:spPr>
    </xdr:pic>
    <xdr:clientData/>
  </xdr:twoCellAnchor>
  <xdr:twoCellAnchor editAs="oneCell">
    <xdr:from>
      <xdr:col>2</xdr:col>
      <xdr:colOff>16650</xdr:colOff>
      <xdr:row>60</xdr:row>
      <xdr:rowOff>20460</xdr:rowOff>
    </xdr:from>
    <xdr:to>
      <xdr:col>4</xdr:col>
      <xdr:colOff>613148</xdr:colOff>
      <xdr:row>68</xdr:row>
      <xdr:rowOff>146395</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9170" y="9979800"/>
          <a:ext cx="1663298" cy="1467055"/>
        </a:xfrm>
        <a:prstGeom prst="rect">
          <a:avLst/>
        </a:prstGeom>
      </xdr:spPr>
    </xdr:pic>
    <xdr:clientData/>
  </xdr:twoCellAnchor>
  <xdr:twoCellAnchor editAs="oneCell">
    <xdr:from>
      <xdr:col>2</xdr:col>
      <xdr:colOff>15240</xdr:colOff>
      <xdr:row>74</xdr:row>
      <xdr:rowOff>18060</xdr:rowOff>
    </xdr:from>
    <xdr:to>
      <xdr:col>4</xdr:col>
      <xdr:colOff>611738</xdr:colOff>
      <xdr:row>82</xdr:row>
      <xdr:rowOff>143995</xdr:rowOff>
    </xdr:to>
    <xdr:pic>
      <xdr:nvPicPr>
        <xdr:cNvPr id="4"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27760" y="12324360"/>
          <a:ext cx="1663298" cy="1467055"/>
        </a:xfrm>
        <a:prstGeom prst="rect">
          <a:avLst/>
        </a:prstGeom>
      </xdr:spPr>
    </xdr:pic>
    <xdr:clientData/>
  </xdr:twoCellAnchor>
  <xdr:twoCellAnchor editAs="oneCell">
    <xdr:from>
      <xdr:col>2</xdr:col>
      <xdr:colOff>15240</xdr:colOff>
      <xdr:row>101</xdr:row>
      <xdr:rowOff>27090</xdr:rowOff>
    </xdr:from>
    <xdr:to>
      <xdr:col>4</xdr:col>
      <xdr:colOff>611738</xdr:colOff>
      <xdr:row>109</xdr:row>
      <xdr:rowOff>153025</xdr:rowOff>
    </xdr:to>
    <xdr:pic>
      <xdr:nvPicPr>
        <xdr:cNvPr id="5" name="Picture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27760" y="16859670"/>
          <a:ext cx="1663298" cy="1467055"/>
        </a:xfrm>
        <a:prstGeom prst="rect">
          <a:avLst/>
        </a:prstGeom>
      </xdr:spPr>
    </xdr:pic>
    <xdr:clientData/>
  </xdr:twoCellAnchor>
  <xdr:twoCellAnchor editAs="oneCell">
    <xdr:from>
      <xdr:col>13</xdr:col>
      <xdr:colOff>30480</xdr:colOff>
      <xdr:row>64</xdr:row>
      <xdr:rowOff>45720</xdr:rowOff>
    </xdr:from>
    <xdr:to>
      <xdr:col>26</xdr:col>
      <xdr:colOff>389341</xdr:colOff>
      <xdr:row>114</xdr:row>
      <xdr:rowOff>113508</xdr:rowOff>
    </xdr:to>
    <xdr:pic>
      <xdr:nvPicPr>
        <xdr:cNvPr id="6" name="Picture 5"/>
        <xdr:cNvPicPr>
          <a:picLocks noChangeAspect="1"/>
        </xdr:cNvPicPr>
      </xdr:nvPicPr>
      <xdr:blipFill>
        <a:blip xmlns:r="http://schemas.openxmlformats.org/officeDocument/2006/relationships" r:embed="rId5"/>
        <a:stretch>
          <a:fillRect/>
        </a:stretch>
      </xdr:blipFill>
      <xdr:spPr>
        <a:xfrm>
          <a:off x="6576060" y="10675620"/>
          <a:ext cx="8321761" cy="8449788"/>
        </a:xfrm>
        <a:prstGeom prst="rect">
          <a:avLst/>
        </a:prstGeom>
      </xdr:spPr>
    </xdr:pic>
    <xdr:clientData/>
  </xdr:twoCellAnchor>
  <xdr:oneCellAnchor>
    <xdr:from>
      <xdr:col>15</xdr:col>
      <xdr:colOff>403860</xdr:colOff>
      <xdr:row>27</xdr:row>
      <xdr:rowOff>106680</xdr:rowOff>
    </xdr:from>
    <xdr:ext cx="184731" cy="264560"/>
    <xdr:sp macro="" textlink="">
      <xdr:nvSpPr>
        <xdr:cNvPr id="7" name="TextBox 6"/>
        <xdr:cNvSpPr txBox="1"/>
      </xdr:nvSpPr>
      <xdr:spPr>
        <a:xfrm>
          <a:off x="820674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13</xdr:col>
      <xdr:colOff>45720</xdr:colOff>
      <xdr:row>29</xdr:row>
      <xdr:rowOff>22860</xdr:rowOff>
    </xdr:from>
    <xdr:ext cx="5425440" cy="1470146"/>
    <xdr:sp macro="" textlink="">
      <xdr:nvSpPr>
        <xdr:cNvPr id="8" name="TextBox 7"/>
        <xdr:cNvSpPr txBox="1"/>
      </xdr:nvSpPr>
      <xdr:spPr>
        <a:xfrm>
          <a:off x="6591300" y="4785360"/>
          <a:ext cx="5425440"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ysClr val="windowText" lastClr="000000"/>
              </a:solidFill>
              <a:effectLst/>
              <a:latin typeface="+mn-lt"/>
              <a:ea typeface="+mn-ea"/>
              <a:cs typeface="+mn-cs"/>
            </a:rPr>
            <a:t>This calculator is provided to you by the Oregon Department of Transportation (ODOT) "as is" without warranty of any kind.  ODOT makes no warranties, either express or implied, including, but not limited to the implied warranties of merchantability, fitness for a particular purpose, and noninfringement. The entire risk as to the quality and performance of this </a:t>
          </a:r>
          <a:r>
            <a:rPr lang="en-US" sz="1100">
              <a:solidFill>
                <a:schemeClr val="tx1"/>
              </a:solidFill>
              <a:effectLst/>
              <a:latin typeface="+mn-lt"/>
              <a:ea typeface="+mn-ea"/>
              <a:cs typeface="+mn-cs"/>
            </a:rPr>
            <a:t>calculator </a:t>
          </a:r>
          <a:r>
            <a:rPr lang="en-US" sz="1100">
              <a:solidFill>
                <a:sysClr val="windowText" lastClr="000000"/>
              </a:solidFill>
              <a:effectLst/>
              <a:latin typeface="+mn-lt"/>
              <a:ea typeface="+mn-ea"/>
              <a:cs typeface="+mn-cs"/>
            </a:rPr>
            <a:t>is with you.   You are advised to test use of the </a:t>
          </a:r>
          <a:r>
            <a:rPr lang="en-US" sz="1100">
              <a:solidFill>
                <a:schemeClr val="tx1"/>
              </a:solidFill>
              <a:effectLst/>
              <a:latin typeface="+mn-lt"/>
              <a:ea typeface="+mn-ea"/>
              <a:cs typeface="+mn-cs"/>
            </a:rPr>
            <a:t>calculator </a:t>
          </a:r>
          <a:r>
            <a:rPr lang="en-US" sz="1100">
              <a:solidFill>
                <a:sysClr val="windowText" lastClr="000000"/>
              </a:solidFill>
              <a:effectLst/>
              <a:latin typeface="+mn-lt"/>
              <a:ea typeface="+mn-ea"/>
              <a:cs typeface="+mn-cs"/>
            </a:rPr>
            <a:t> thoroughly before you rely on it.  The author and ODOT disclaim all liability for direct, indirect or consequential damages, arising out of your use of the </a:t>
          </a:r>
          <a:r>
            <a:rPr lang="en-US" sz="1100">
              <a:solidFill>
                <a:schemeClr val="tx1"/>
              </a:solidFill>
              <a:effectLst/>
              <a:latin typeface="+mn-lt"/>
              <a:ea typeface="+mn-ea"/>
              <a:cs typeface="+mn-cs"/>
            </a:rPr>
            <a:t>calculator </a:t>
          </a:r>
          <a:r>
            <a:rPr lang="en-US" sz="1100">
              <a:solidFill>
                <a:sysClr val="windowText" lastClr="000000"/>
              </a:solidFill>
              <a:effectLst/>
              <a:latin typeface="+mn-lt"/>
              <a:ea typeface="+mn-ea"/>
              <a:cs typeface="+mn-cs"/>
            </a:rPr>
            <a:t>.    </a:t>
          </a:r>
        </a:p>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7</xdr:col>
      <xdr:colOff>101600</xdr:colOff>
      <xdr:row>17</xdr:row>
      <xdr:rowOff>68580</xdr:rowOff>
    </xdr:from>
    <xdr:to>
      <xdr:col>8</xdr:col>
      <xdr:colOff>93980</xdr:colOff>
      <xdr:row>19</xdr:row>
      <xdr:rowOff>99060</xdr:rowOff>
    </xdr:to>
    <xdr:sp macro="" textlink="">
      <xdr:nvSpPr>
        <xdr:cNvPr id="25" name="U-Turn Arrow 24"/>
        <xdr:cNvSpPr/>
      </xdr:nvSpPr>
      <xdr:spPr>
        <a:xfrm flipV="1">
          <a:off x="2219960" y="2766060"/>
          <a:ext cx="289560" cy="365760"/>
        </a:xfrm>
        <a:prstGeom prst="uturnArrow">
          <a:avLst/>
        </a:prstGeom>
        <a:effectLst>
          <a:reflection stA="0" endPos="65000" dist="50800" dir="5400000" sy="-100000" algn="bl" rotWithShape="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5</xdr:col>
      <xdr:colOff>86360</xdr:colOff>
      <xdr:row>17</xdr:row>
      <xdr:rowOff>50800</xdr:rowOff>
    </xdr:from>
    <xdr:to>
      <xdr:col>5</xdr:col>
      <xdr:colOff>261620</xdr:colOff>
      <xdr:row>19</xdr:row>
      <xdr:rowOff>127000</xdr:rowOff>
    </xdr:to>
    <xdr:sp macro="" textlink="">
      <xdr:nvSpPr>
        <xdr:cNvPr id="26" name="Up Arrow 25"/>
        <xdr:cNvSpPr/>
      </xdr:nvSpPr>
      <xdr:spPr>
        <a:xfrm flipV="1">
          <a:off x="1572260" y="2748280"/>
          <a:ext cx="175260" cy="41148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17</xdr:col>
      <xdr:colOff>228600</xdr:colOff>
      <xdr:row>0</xdr:row>
      <xdr:rowOff>30480</xdr:rowOff>
    </xdr:from>
    <xdr:to>
      <xdr:col>21</xdr:col>
      <xdr:colOff>21421</xdr:colOff>
      <xdr:row>5</xdr:row>
      <xdr:rowOff>112861</xdr:rowOff>
    </xdr:to>
    <xdr:pic>
      <xdr:nvPicPr>
        <xdr:cNvPr id="4" name="Picture 3"/>
        <xdr:cNvPicPr>
          <a:picLocks noChangeAspect="1"/>
        </xdr:cNvPicPr>
      </xdr:nvPicPr>
      <xdr:blipFill>
        <a:blip xmlns:r="http://schemas.openxmlformats.org/officeDocument/2006/relationships" r:embed="rId1"/>
        <a:stretch>
          <a:fillRect/>
        </a:stretch>
      </xdr:blipFill>
      <xdr:spPr>
        <a:xfrm>
          <a:off x="5189220" y="30480"/>
          <a:ext cx="981541" cy="981541"/>
        </a:xfrm>
        <a:prstGeom prst="rect">
          <a:avLst/>
        </a:prstGeom>
      </xdr:spPr>
    </xdr:pic>
    <xdr:clientData/>
  </xdr:twoCellAnchor>
  <xdr:twoCellAnchor editAs="oneCell">
    <xdr:from>
      <xdr:col>14</xdr:col>
      <xdr:colOff>114300</xdr:colOff>
      <xdr:row>12</xdr:row>
      <xdr:rowOff>83820</xdr:rowOff>
    </xdr:from>
    <xdr:to>
      <xdr:col>15</xdr:col>
      <xdr:colOff>256070</xdr:colOff>
      <xdr:row>14</xdr:row>
      <xdr:rowOff>83849</xdr:rowOff>
    </xdr:to>
    <xdr:pic>
      <xdr:nvPicPr>
        <xdr:cNvPr id="5" name="Picture 4"/>
        <xdr:cNvPicPr>
          <a:picLocks noChangeAspect="1"/>
        </xdr:cNvPicPr>
      </xdr:nvPicPr>
      <xdr:blipFill>
        <a:blip xmlns:r="http://schemas.openxmlformats.org/officeDocument/2006/relationships" r:embed="rId2"/>
        <a:stretch>
          <a:fillRect/>
        </a:stretch>
      </xdr:blipFill>
      <xdr:spPr>
        <a:xfrm>
          <a:off x="4183380" y="2278380"/>
          <a:ext cx="438950" cy="335309"/>
        </a:xfrm>
        <a:prstGeom prst="rect">
          <a:avLst/>
        </a:prstGeom>
      </xdr:spPr>
    </xdr:pic>
    <xdr:clientData/>
  </xdr:twoCellAnchor>
  <xdr:twoCellAnchor editAs="oneCell">
    <xdr:from>
      <xdr:col>14</xdr:col>
      <xdr:colOff>106680</xdr:colOff>
      <xdr:row>15</xdr:row>
      <xdr:rowOff>45720</xdr:rowOff>
    </xdr:from>
    <xdr:to>
      <xdr:col>15</xdr:col>
      <xdr:colOff>248450</xdr:colOff>
      <xdr:row>16</xdr:row>
      <xdr:rowOff>121941</xdr:rowOff>
    </xdr:to>
    <xdr:pic>
      <xdr:nvPicPr>
        <xdr:cNvPr id="12" name="Picture 11"/>
        <xdr:cNvPicPr>
          <a:picLocks noChangeAspect="1"/>
        </xdr:cNvPicPr>
      </xdr:nvPicPr>
      <xdr:blipFill>
        <a:blip xmlns:r="http://schemas.openxmlformats.org/officeDocument/2006/relationships" r:embed="rId3"/>
        <a:stretch>
          <a:fillRect/>
        </a:stretch>
      </xdr:blipFill>
      <xdr:spPr>
        <a:xfrm>
          <a:off x="4175760" y="2743200"/>
          <a:ext cx="438950" cy="243861"/>
        </a:xfrm>
        <a:prstGeom prst="rect">
          <a:avLst/>
        </a:prstGeom>
      </xdr:spPr>
    </xdr:pic>
    <xdr:clientData/>
  </xdr:twoCellAnchor>
  <xdr:twoCellAnchor editAs="oneCell">
    <xdr:from>
      <xdr:col>14</xdr:col>
      <xdr:colOff>121920</xdr:colOff>
      <xdr:row>17</xdr:row>
      <xdr:rowOff>30480</xdr:rowOff>
    </xdr:from>
    <xdr:to>
      <xdr:col>15</xdr:col>
      <xdr:colOff>263690</xdr:colOff>
      <xdr:row>19</xdr:row>
      <xdr:rowOff>30509</xdr:rowOff>
    </xdr:to>
    <xdr:pic>
      <xdr:nvPicPr>
        <xdr:cNvPr id="16" name="Picture 15"/>
        <xdr:cNvPicPr>
          <a:picLocks noChangeAspect="1"/>
        </xdr:cNvPicPr>
      </xdr:nvPicPr>
      <xdr:blipFill>
        <a:blip xmlns:r="http://schemas.openxmlformats.org/officeDocument/2006/relationships" r:embed="rId4"/>
        <a:stretch>
          <a:fillRect/>
        </a:stretch>
      </xdr:blipFill>
      <xdr:spPr>
        <a:xfrm>
          <a:off x="4191000" y="3063240"/>
          <a:ext cx="438950" cy="335309"/>
        </a:xfrm>
        <a:prstGeom prst="rect">
          <a:avLst/>
        </a:prstGeom>
      </xdr:spPr>
    </xdr:pic>
    <xdr:clientData/>
  </xdr:twoCellAnchor>
  <xdr:twoCellAnchor editAs="oneCell">
    <xdr:from>
      <xdr:col>14</xdr:col>
      <xdr:colOff>182880</xdr:colOff>
      <xdr:row>19</xdr:row>
      <xdr:rowOff>30480</xdr:rowOff>
    </xdr:from>
    <xdr:to>
      <xdr:col>16</xdr:col>
      <xdr:colOff>15277</xdr:colOff>
      <xdr:row>21</xdr:row>
      <xdr:rowOff>54895</xdr:rowOff>
    </xdr:to>
    <xdr:pic>
      <xdr:nvPicPr>
        <xdr:cNvPr id="18" name="Picture 17"/>
        <xdr:cNvPicPr>
          <a:picLocks noChangeAspect="1"/>
        </xdr:cNvPicPr>
      </xdr:nvPicPr>
      <xdr:blipFill>
        <a:blip xmlns:r="http://schemas.openxmlformats.org/officeDocument/2006/relationships" r:embed="rId5"/>
        <a:stretch>
          <a:fillRect/>
        </a:stretch>
      </xdr:blipFill>
      <xdr:spPr>
        <a:xfrm>
          <a:off x="4251960" y="3398520"/>
          <a:ext cx="426757" cy="359695"/>
        </a:xfrm>
        <a:prstGeom prst="rect">
          <a:avLst/>
        </a:prstGeom>
      </xdr:spPr>
    </xdr:pic>
    <xdr:clientData/>
  </xdr:twoCellAnchor>
  <xdr:twoCellAnchor editAs="oneCell">
    <xdr:from>
      <xdr:col>6</xdr:col>
      <xdr:colOff>38100</xdr:colOff>
      <xdr:row>17</xdr:row>
      <xdr:rowOff>60960</xdr:rowOff>
    </xdr:from>
    <xdr:to>
      <xdr:col>7</xdr:col>
      <xdr:colOff>76229</xdr:colOff>
      <xdr:row>20</xdr:row>
      <xdr:rowOff>3087</xdr:rowOff>
    </xdr:to>
    <xdr:pic>
      <xdr:nvPicPr>
        <xdr:cNvPr id="27" name="Picture 26"/>
        <xdr:cNvPicPr>
          <a:picLocks noChangeAspect="1"/>
        </xdr:cNvPicPr>
      </xdr:nvPicPr>
      <xdr:blipFill>
        <a:blip xmlns:r="http://schemas.openxmlformats.org/officeDocument/2006/relationships" r:embed="rId6"/>
        <a:stretch>
          <a:fillRect/>
        </a:stretch>
      </xdr:blipFill>
      <xdr:spPr>
        <a:xfrm>
          <a:off x="1859280" y="2758440"/>
          <a:ext cx="335309" cy="445047"/>
        </a:xfrm>
        <a:prstGeom prst="rect">
          <a:avLst/>
        </a:prstGeom>
      </xdr:spPr>
    </xdr:pic>
    <xdr:clientData/>
  </xdr:twoCellAnchor>
  <xdr:twoCellAnchor editAs="oneCell">
    <xdr:from>
      <xdr:col>3</xdr:col>
      <xdr:colOff>220980</xdr:colOff>
      <xdr:row>17</xdr:row>
      <xdr:rowOff>53340</xdr:rowOff>
    </xdr:from>
    <xdr:to>
      <xdr:col>4</xdr:col>
      <xdr:colOff>259109</xdr:colOff>
      <xdr:row>19</xdr:row>
      <xdr:rowOff>163107</xdr:rowOff>
    </xdr:to>
    <xdr:pic>
      <xdr:nvPicPr>
        <xdr:cNvPr id="30" name="Picture 29"/>
        <xdr:cNvPicPr>
          <a:picLocks noChangeAspect="1"/>
        </xdr:cNvPicPr>
      </xdr:nvPicPr>
      <xdr:blipFill>
        <a:blip xmlns:r="http://schemas.openxmlformats.org/officeDocument/2006/relationships" r:embed="rId7"/>
        <a:stretch>
          <a:fillRect/>
        </a:stretch>
      </xdr:blipFill>
      <xdr:spPr>
        <a:xfrm>
          <a:off x="1112520" y="2750820"/>
          <a:ext cx="335309" cy="445047"/>
        </a:xfrm>
        <a:prstGeom prst="rect">
          <a:avLst/>
        </a:prstGeom>
      </xdr:spPr>
    </xdr:pic>
    <xdr:clientData/>
  </xdr:twoCellAnchor>
  <xdr:twoCellAnchor editAs="oneCell">
    <xdr:from>
      <xdr:col>17</xdr:col>
      <xdr:colOff>53340</xdr:colOff>
      <xdr:row>32</xdr:row>
      <xdr:rowOff>7620</xdr:rowOff>
    </xdr:from>
    <xdr:to>
      <xdr:col>18</xdr:col>
      <xdr:colOff>91469</xdr:colOff>
      <xdr:row>34</xdr:row>
      <xdr:rowOff>117387</xdr:rowOff>
    </xdr:to>
    <xdr:pic>
      <xdr:nvPicPr>
        <xdr:cNvPr id="31" name="Picture 30"/>
        <xdr:cNvPicPr>
          <a:picLocks noChangeAspect="1"/>
        </xdr:cNvPicPr>
      </xdr:nvPicPr>
      <xdr:blipFill>
        <a:blip xmlns:r="http://schemas.openxmlformats.org/officeDocument/2006/relationships" r:embed="rId8"/>
        <a:stretch>
          <a:fillRect/>
        </a:stretch>
      </xdr:blipFill>
      <xdr:spPr>
        <a:xfrm>
          <a:off x="4716780" y="6073140"/>
          <a:ext cx="335309" cy="445047"/>
        </a:xfrm>
        <a:prstGeom prst="rect">
          <a:avLst/>
        </a:prstGeom>
      </xdr:spPr>
    </xdr:pic>
    <xdr:clientData/>
  </xdr:twoCellAnchor>
  <xdr:twoCellAnchor editAs="oneCell">
    <xdr:from>
      <xdr:col>16</xdr:col>
      <xdr:colOff>30480</xdr:colOff>
      <xdr:row>32</xdr:row>
      <xdr:rowOff>7620</xdr:rowOff>
    </xdr:from>
    <xdr:to>
      <xdr:col>16</xdr:col>
      <xdr:colOff>262148</xdr:colOff>
      <xdr:row>34</xdr:row>
      <xdr:rowOff>111290</xdr:rowOff>
    </xdr:to>
    <xdr:pic>
      <xdr:nvPicPr>
        <xdr:cNvPr id="37" name="Picture 36"/>
        <xdr:cNvPicPr>
          <a:picLocks noChangeAspect="1"/>
        </xdr:cNvPicPr>
      </xdr:nvPicPr>
      <xdr:blipFill>
        <a:blip xmlns:r="http://schemas.openxmlformats.org/officeDocument/2006/relationships" r:embed="rId9"/>
        <a:stretch>
          <a:fillRect/>
        </a:stretch>
      </xdr:blipFill>
      <xdr:spPr>
        <a:xfrm>
          <a:off x="4396740" y="6073140"/>
          <a:ext cx="231668" cy="438950"/>
        </a:xfrm>
        <a:prstGeom prst="rect">
          <a:avLst/>
        </a:prstGeom>
      </xdr:spPr>
    </xdr:pic>
    <xdr:clientData/>
  </xdr:twoCellAnchor>
  <xdr:twoCellAnchor editAs="oneCell">
    <xdr:from>
      <xdr:col>14</xdr:col>
      <xdr:colOff>243840</xdr:colOff>
      <xdr:row>32</xdr:row>
      <xdr:rowOff>0</xdr:rowOff>
    </xdr:from>
    <xdr:to>
      <xdr:col>15</xdr:col>
      <xdr:colOff>281969</xdr:colOff>
      <xdr:row>34</xdr:row>
      <xdr:rowOff>109767</xdr:rowOff>
    </xdr:to>
    <xdr:pic>
      <xdr:nvPicPr>
        <xdr:cNvPr id="39" name="Picture 38"/>
        <xdr:cNvPicPr>
          <a:picLocks noChangeAspect="1"/>
        </xdr:cNvPicPr>
      </xdr:nvPicPr>
      <xdr:blipFill>
        <a:blip xmlns:r="http://schemas.openxmlformats.org/officeDocument/2006/relationships" r:embed="rId10"/>
        <a:stretch>
          <a:fillRect/>
        </a:stretch>
      </xdr:blipFill>
      <xdr:spPr>
        <a:xfrm>
          <a:off x="4015740" y="6065520"/>
          <a:ext cx="335309" cy="445047"/>
        </a:xfrm>
        <a:prstGeom prst="rect">
          <a:avLst/>
        </a:prstGeom>
      </xdr:spPr>
    </xdr:pic>
    <xdr:clientData/>
  </xdr:twoCellAnchor>
  <xdr:twoCellAnchor editAs="oneCell">
    <xdr:from>
      <xdr:col>13</xdr:col>
      <xdr:colOff>228600</xdr:colOff>
      <xdr:row>32</xdr:row>
      <xdr:rowOff>76200</xdr:rowOff>
    </xdr:from>
    <xdr:to>
      <xdr:col>14</xdr:col>
      <xdr:colOff>278922</xdr:colOff>
      <xdr:row>35</xdr:row>
      <xdr:rowOff>37</xdr:rowOff>
    </xdr:to>
    <xdr:pic>
      <xdr:nvPicPr>
        <xdr:cNvPr id="40" name="Picture 39"/>
        <xdr:cNvPicPr>
          <a:picLocks noChangeAspect="1"/>
        </xdr:cNvPicPr>
      </xdr:nvPicPr>
      <xdr:blipFill>
        <a:blip xmlns:r="http://schemas.openxmlformats.org/officeDocument/2006/relationships" r:embed="rId11"/>
        <a:stretch>
          <a:fillRect/>
        </a:stretch>
      </xdr:blipFill>
      <xdr:spPr>
        <a:xfrm>
          <a:off x="3703320" y="6141720"/>
          <a:ext cx="347502" cy="426757"/>
        </a:xfrm>
        <a:prstGeom prst="rect">
          <a:avLst/>
        </a:prstGeom>
      </xdr:spPr>
    </xdr:pic>
    <xdr:clientData/>
  </xdr:twoCellAnchor>
  <xdr:twoCellAnchor editAs="oneCell">
    <xdr:from>
      <xdr:col>5</xdr:col>
      <xdr:colOff>38100</xdr:colOff>
      <xdr:row>37</xdr:row>
      <xdr:rowOff>60960</xdr:rowOff>
    </xdr:from>
    <xdr:to>
      <xdr:col>6</xdr:col>
      <xdr:colOff>170727</xdr:colOff>
      <xdr:row>39</xdr:row>
      <xdr:rowOff>53369</xdr:rowOff>
    </xdr:to>
    <xdr:pic>
      <xdr:nvPicPr>
        <xdr:cNvPr id="42" name="Picture 41"/>
        <xdr:cNvPicPr>
          <a:picLocks noChangeAspect="1"/>
        </xdr:cNvPicPr>
      </xdr:nvPicPr>
      <xdr:blipFill>
        <a:blip xmlns:r="http://schemas.openxmlformats.org/officeDocument/2006/relationships" r:embed="rId12"/>
        <a:stretch>
          <a:fillRect/>
        </a:stretch>
      </xdr:blipFill>
      <xdr:spPr>
        <a:xfrm>
          <a:off x="1524000" y="6461760"/>
          <a:ext cx="445047" cy="335309"/>
        </a:xfrm>
        <a:prstGeom prst="rect">
          <a:avLst/>
        </a:prstGeom>
      </xdr:spPr>
    </xdr:pic>
    <xdr:clientData/>
  </xdr:twoCellAnchor>
  <xdr:twoCellAnchor editAs="oneCell">
    <xdr:from>
      <xdr:col>5</xdr:col>
      <xdr:colOff>38100</xdr:colOff>
      <xdr:row>35</xdr:row>
      <xdr:rowOff>53340</xdr:rowOff>
    </xdr:from>
    <xdr:to>
      <xdr:col>6</xdr:col>
      <xdr:colOff>170727</xdr:colOff>
      <xdr:row>36</xdr:row>
      <xdr:rowOff>129561</xdr:rowOff>
    </xdr:to>
    <xdr:pic>
      <xdr:nvPicPr>
        <xdr:cNvPr id="45" name="Picture 44"/>
        <xdr:cNvPicPr>
          <a:picLocks noChangeAspect="1"/>
        </xdr:cNvPicPr>
      </xdr:nvPicPr>
      <xdr:blipFill>
        <a:blip xmlns:r="http://schemas.openxmlformats.org/officeDocument/2006/relationships" r:embed="rId13"/>
        <a:stretch>
          <a:fillRect/>
        </a:stretch>
      </xdr:blipFill>
      <xdr:spPr>
        <a:xfrm>
          <a:off x="1524000" y="6118860"/>
          <a:ext cx="445047" cy="243861"/>
        </a:xfrm>
        <a:prstGeom prst="rect">
          <a:avLst/>
        </a:prstGeom>
      </xdr:spPr>
    </xdr:pic>
    <xdr:clientData/>
  </xdr:twoCellAnchor>
  <xdr:twoCellAnchor editAs="oneCell">
    <xdr:from>
      <xdr:col>5</xdr:col>
      <xdr:colOff>53340</xdr:colOff>
      <xdr:row>33</xdr:row>
      <xdr:rowOff>0</xdr:rowOff>
    </xdr:from>
    <xdr:to>
      <xdr:col>6</xdr:col>
      <xdr:colOff>185967</xdr:colOff>
      <xdr:row>35</xdr:row>
      <xdr:rowOff>29</xdr:rowOff>
    </xdr:to>
    <xdr:pic>
      <xdr:nvPicPr>
        <xdr:cNvPr id="46" name="Picture 45"/>
        <xdr:cNvPicPr>
          <a:picLocks noChangeAspect="1"/>
        </xdr:cNvPicPr>
      </xdr:nvPicPr>
      <xdr:blipFill>
        <a:blip xmlns:r="http://schemas.openxmlformats.org/officeDocument/2006/relationships" r:embed="rId14"/>
        <a:stretch>
          <a:fillRect/>
        </a:stretch>
      </xdr:blipFill>
      <xdr:spPr>
        <a:xfrm>
          <a:off x="1539240" y="5730240"/>
          <a:ext cx="445047" cy="335309"/>
        </a:xfrm>
        <a:prstGeom prst="rect">
          <a:avLst/>
        </a:prstGeom>
      </xdr:spPr>
    </xdr:pic>
    <xdr:clientData/>
  </xdr:twoCellAnchor>
  <xdr:twoCellAnchor editAs="oneCell">
    <xdr:from>
      <xdr:col>4</xdr:col>
      <xdr:colOff>281940</xdr:colOff>
      <xdr:row>30</xdr:row>
      <xdr:rowOff>129540</xdr:rowOff>
    </xdr:from>
    <xdr:to>
      <xdr:col>6</xdr:col>
      <xdr:colOff>99097</xdr:colOff>
      <xdr:row>32</xdr:row>
      <xdr:rowOff>111282</xdr:rowOff>
    </xdr:to>
    <xdr:pic>
      <xdr:nvPicPr>
        <xdr:cNvPr id="47" name="Picture 46"/>
        <xdr:cNvPicPr>
          <a:picLocks noChangeAspect="1"/>
        </xdr:cNvPicPr>
      </xdr:nvPicPr>
      <xdr:blipFill>
        <a:blip xmlns:r="http://schemas.openxmlformats.org/officeDocument/2006/relationships" r:embed="rId15"/>
        <a:stretch>
          <a:fillRect/>
        </a:stretch>
      </xdr:blipFill>
      <xdr:spPr>
        <a:xfrm>
          <a:off x="1470660" y="5356860"/>
          <a:ext cx="426757" cy="347502"/>
        </a:xfrm>
        <a:prstGeom prst="rect">
          <a:avLst/>
        </a:prstGeom>
      </xdr:spPr>
    </xdr:pic>
    <xdr:clientData/>
  </xdr:twoCellAnchor>
  <xdr:twoCellAnchor editAs="oneCell">
    <xdr:from>
      <xdr:col>22</xdr:col>
      <xdr:colOff>464820</xdr:colOff>
      <xdr:row>5</xdr:row>
      <xdr:rowOff>121920</xdr:rowOff>
    </xdr:from>
    <xdr:to>
      <xdr:col>33</xdr:col>
      <xdr:colOff>416629</xdr:colOff>
      <xdr:row>16</xdr:row>
      <xdr:rowOff>143410</xdr:rowOff>
    </xdr:to>
    <xdr:pic>
      <xdr:nvPicPr>
        <xdr:cNvPr id="7" name="Picture 6"/>
        <xdr:cNvPicPr>
          <a:picLocks noChangeAspect="1"/>
        </xdr:cNvPicPr>
      </xdr:nvPicPr>
      <xdr:blipFill>
        <a:blip xmlns:r="http://schemas.openxmlformats.org/officeDocument/2006/relationships" r:embed="rId16"/>
        <a:stretch>
          <a:fillRect/>
        </a:stretch>
      </xdr:blipFill>
      <xdr:spPr>
        <a:xfrm>
          <a:off x="7360920" y="1021080"/>
          <a:ext cx="6657409" cy="1774090"/>
        </a:xfrm>
        <a:prstGeom prst="rect">
          <a:avLst/>
        </a:prstGeom>
      </xdr:spPr>
    </xdr:pic>
    <xdr:clientData/>
  </xdr:twoCellAnchor>
  <xdr:twoCellAnchor editAs="oneCell">
    <xdr:from>
      <xdr:col>2</xdr:col>
      <xdr:colOff>121920</xdr:colOff>
      <xdr:row>12</xdr:row>
      <xdr:rowOff>47624</xdr:rowOff>
    </xdr:from>
    <xdr:to>
      <xdr:col>19</xdr:col>
      <xdr:colOff>213465</xdr:colOff>
      <xdr:row>36</xdr:row>
      <xdr:rowOff>117021</xdr:rowOff>
    </xdr:to>
    <xdr:pic>
      <xdr:nvPicPr>
        <xdr:cNvPr id="9" name="Picture 8"/>
        <xdr:cNvPicPr>
          <a:picLocks noChangeAspect="1"/>
        </xdr:cNvPicPr>
      </xdr:nvPicPr>
      <xdr:blipFill rotWithShape="1">
        <a:blip xmlns:r="http://schemas.openxmlformats.org/officeDocument/2006/relationships" r:embed="rId17"/>
        <a:srcRect l="870" t="9931"/>
        <a:stretch/>
      </xdr:blipFill>
      <xdr:spPr>
        <a:xfrm>
          <a:off x="716280" y="2028824"/>
          <a:ext cx="5204565" cy="4252777"/>
        </a:xfrm>
        <a:prstGeom prst="plaque">
          <a:avLst>
            <a:gd name="adj" fmla="val 44236"/>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225563</xdr:colOff>
      <xdr:row>0</xdr:row>
      <xdr:rowOff>38101</xdr:rowOff>
    </xdr:from>
    <xdr:to>
      <xdr:col>16</xdr:col>
      <xdr:colOff>221410</xdr:colOff>
      <xdr:row>5</xdr:row>
      <xdr:rowOff>20956</xdr:rowOff>
    </xdr:to>
    <xdr:grpSp>
      <xdr:nvGrpSpPr>
        <xdr:cNvPr id="3158" name="Group 19"/>
        <xdr:cNvGrpSpPr>
          <a:grpSpLocks/>
        </xdr:cNvGrpSpPr>
      </xdr:nvGrpSpPr>
      <xdr:grpSpPr bwMode="auto">
        <a:xfrm>
          <a:off x="6161543" y="38101"/>
          <a:ext cx="1062647" cy="942975"/>
          <a:chOff x="882" y="0"/>
          <a:chExt cx="248" cy="198"/>
        </a:xfrm>
      </xdr:grpSpPr>
      <xdr:sp macro="" textlink="">
        <xdr:nvSpPr>
          <xdr:cNvPr id="3159" name="Rectangle 3"/>
          <xdr:cNvSpPr>
            <a:spLocks noChangeArrowheads="1"/>
          </xdr:cNvSpPr>
        </xdr:nvSpPr>
        <xdr:spPr bwMode="auto">
          <a:xfrm>
            <a:off x="892" y="0"/>
            <a:ext cx="172" cy="157"/>
          </a:xfrm>
          <a:prstGeom prst="rect">
            <a:avLst/>
          </a:prstGeom>
          <a:solidFill>
            <a:srgbClr val="FFFFFF"/>
          </a:solidFill>
          <a:ln w="9525">
            <a:solidFill>
              <a:srgbClr val="000000"/>
            </a:solidFill>
            <a:miter lim="800000"/>
            <a:headEnd/>
            <a:tailEnd/>
          </a:ln>
        </xdr:spPr>
      </xdr:sp>
      <xdr:sp macro="" textlink="">
        <xdr:nvSpPr>
          <xdr:cNvPr id="3160" name="Line 4"/>
          <xdr:cNvSpPr>
            <a:spLocks noChangeShapeType="1"/>
          </xdr:cNvSpPr>
        </xdr:nvSpPr>
        <xdr:spPr bwMode="auto">
          <a:xfrm rot="16200000" flipV="1">
            <a:off x="977" y="30"/>
            <a:ext cx="0" cy="9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3079" name="Text Box 7"/>
          <xdr:cNvSpPr txBox="1">
            <a:spLocks noChangeArrowheads="1"/>
          </xdr:cNvSpPr>
        </xdr:nvSpPr>
        <xdr:spPr bwMode="auto">
          <a:xfrm>
            <a:off x="949" y="3"/>
            <a:ext cx="74" cy="44"/>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000"/>
              </a:lnSpc>
              <a:defRPr sz="1000"/>
            </a:pPr>
            <a:r>
              <a:rPr lang="en-US" sz="1000" b="0" i="0" u="none" strike="noStrike" baseline="0">
                <a:solidFill>
                  <a:srgbClr val="000000"/>
                </a:solidFill>
                <a:latin typeface="Arial"/>
                <a:cs typeface="Arial"/>
              </a:rPr>
              <a:t>N</a:t>
            </a:r>
          </a:p>
          <a:p>
            <a:pPr algn="l" rtl="0">
              <a:lnSpc>
                <a:spcPts val="900"/>
              </a:lnSpc>
              <a:defRPr sz="1000"/>
            </a:pPr>
            <a:endParaRPr lang="en-US" sz="1000" b="0" i="0" u="none" strike="noStrike" baseline="0">
              <a:solidFill>
                <a:srgbClr val="000000"/>
              </a:solidFill>
              <a:latin typeface="Arial"/>
              <a:cs typeface="Arial"/>
            </a:endParaRPr>
          </a:p>
        </xdr:txBody>
      </xdr:sp>
      <xdr:sp macro="" textlink="">
        <xdr:nvSpPr>
          <xdr:cNvPr id="3082" name="Text Box 10"/>
          <xdr:cNvSpPr txBox="1">
            <a:spLocks noChangeArrowheads="1"/>
          </xdr:cNvSpPr>
        </xdr:nvSpPr>
        <xdr:spPr bwMode="auto">
          <a:xfrm>
            <a:off x="1003" y="56"/>
            <a:ext cx="127" cy="142"/>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000"/>
              </a:lnSpc>
              <a:defRPr sz="1000"/>
            </a:pPr>
            <a:r>
              <a:rPr lang="en-US" sz="1000" b="0" i="0" u="none" strike="noStrike" baseline="0">
                <a:solidFill>
                  <a:srgbClr val="000000"/>
                </a:solidFill>
                <a:latin typeface="Arial"/>
                <a:cs typeface="Arial"/>
              </a:rPr>
              <a:t> E</a:t>
            </a:r>
          </a:p>
          <a:p>
            <a:pPr algn="l" rtl="0">
              <a:lnSpc>
                <a:spcPts val="900"/>
              </a:lnSpc>
              <a:defRPr sz="1000"/>
            </a:pPr>
            <a:endParaRPr lang="en-US" sz="1000" b="0" i="0" u="none" strike="noStrike" baseline="0">
              <a:solidFill>
                <a:srgbClr val="000000"/>
              </a:solidFill>
              <a:latin typeface="Arial"/>
              <a:cs typeface="Arial"/>
            </a:endParaRPr>
          </a:p>
        </xdr:txBody>
      </xdr:sp>
      <xdr:sp macro="" textlink="">
        <xdr:nvSpPr>
          <xdr:cNvPr id="3083" name="Text Box 11"/>
          <xdr:cNvSpPr txBox="1">
            <a:spLocks noChangeArrowheads="1"/>
          </xdr:cNvSpPr>
        </xdr:nvSpPr>
        <xdr:spPr bwMode="auto">
          <a:xfrm>
            <a:off x="949" y="116"/>
            <a:ext cx="73" cy="45"/>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000"/>
              </a:lnSpc>
              <a:defRPr sz="1000"/>
            </a:pPr>
            <a:r>
              <a:rPr lang="en-US" sz="1000" b="0" i="0" u="none" strike="noStrike" baseline="0">
                <a:solidFill>
                  <a:srgbClr val="000000"/>
                </a:solidFill>
                <a:latin typeface="Arial"/>
                <a:cs typeface="Arial"/>
              </a:rPr>
              <a:t>S</a:t>
            </a:r>
          </a:p>
          <a:p>
            <a:pPr algn="l" rtl="0">
              <a:lnSpc>
                <a:spcPts val="900"/>
              </a:lnSpc>
              <a:defRPr sz="1000"/>
            </a:pPr>
            <a:endParaRPr lang="en-US" sz="1000" b="0" i="0" u="none" strike="noStrike" baseline="0">
              <a:solidFill>
                <a:srgbClr val="000000"/>
              </a:solidFill>
              <a:latin typeface="Arial"/>
              <a:cs typeface="Arial"/>
            </a:endParaRPr>
          </a:p>
        </xdr:txBody>
      </xdr:sp>
      <xdr:sp macro="" textlink="">
        <xdr:nvSpPr>
          <xdr:cNvPr id="3085" name="Text Box 13"/>
          <xdr:cNvSpPr txBox="1">
            <a:spLocks noChangeArrowheads="1"/>
          </xdr:cNvSpPr>
        </xdr:nvSpPr>
        <xdr:spPr bwMode="auto">
          <a:xfrm>
            <a:off x="882" y="55"/>
            <a:ext cx="88" cy="44"/>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000"/>
              </a:lnSpc>
              <a:defRPr sz="1000"/>
            </a:pPr>
            <a:r>
              <a:rPr lang="en-US" sz="1000" b="0" i="0" u="none" strike="noStrike" baseline="0">
                <a:solidFill>
                  <a:srgbClr val="000000"/>
                </a:solidFill>
                <a:latin typeface="Arial"/>
                <a:cs typeface="Arial"/>
              </a:rPr>
              <a:t>W </a:t>
            </a:r>
          </a:p>
          <a:p>
            <a:pPr algn="l" rtl="0">
              <a:lnSpc>
                <a:spcPts val="900"/>
              </a:lnSpc>
              <a:defRPr sz="1000"/>
            </a:pPr>
            <a:endParaRPr lang="en-US" sz="1000" b="0" i="0" u="none" strike="noStrike" baseline="0">
              <a:solidFill>
                <a:srgbClr val="000000"/>
              </a:solidFill>
              <a:latin typeface="Arial"/>
              <a:cs typeface="Arial"/>
            </a:endParaRPr>
          </a:p>
        </xdr:txBody>
      </xdr:sp>
      <xdr:sp macro="" textlink="">
        <xdr:nvSpPr>
          <xdr:cNvPr id="3165" name="Line 17"/>
          <xdr:cNvSpPr>
            <a:spLocks noChangeShapeType="1"/>
          </xdr:cNvSpPr>
        </xdr:nvSpPr>
        <xdr:spPr bwMode="auto">
          <a:xfrm>
            <a:off x="979" y="38"/>
            <a:ext cx="0" cy="8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83819</xdr:colOff>
      <xdr:row>56</xdr:row>
      <xdr:rowOff>0</xdr:rowOff>
    </xdr:from>
    <xdr:to>
      <xdr:col>15</xdr:col>
      <xdr:colOff>26218</xdr:colOff>
      <xdr:row>69</xdr:row>
      <xdr:rowOff>76199</xdr:rowOff>
    </xdr:to>
    <xdr:pic>
      <xdr:nvPicPr>
        <xdr:cNvPr id="3" name="Picture 2"/>
        <xdr:cNvPicPr>
          <a:picLocks noChangeAspect="1"/>
        </xdr:cNvPicPr>
      </xdr:nvPicPr>
      <xdr:blipFill>
        <a:blip xmlns:r="http://schemas.openxmlformats.org/officeDocument/2006/relationships" r:embed="rId1"/>
        <a:stretch>
          <a:fillRect/>
        </a:stretch>
      </xdr:blipFill>
      <xdr:spPr>
        <a:xfrm>
          <a:off x="4244339" y="9883140"/>
          <a:ext cx="3958139" cy="214121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0</xdr:colOff>
          <xdr:row>3</xdr:row>
          <xdr:rowOff>30480</xdr:rowOff>
        </xdr:from>
        <xdr:to>
          <xdr:col>9</xdr:col>
          <xdr:colOff>472440</xdr:colOff>
          <xdr:row>12</xdr:row>
          <xdr:rowOff>160020</xdr:rowOff>
        </xdr:to>
        <xdr:pic>
          <xdr:nvPicPr>
            <xdr:cNvPr id="83" name="Picture 82"/>
            <xdr:cNvPicPr>
              <a:picLocks noChangeAspect="1"/>
              <a:extLst>
                <a:ext uri="{84589F7E-364E-4C9E-8A38-B11213B215E9}">
                  <a14:cameraTool cellRange="ShowMyPic" spid="_x0000_s16852"/>
                </a:ext>
              </a:extLst>
            </xdr:cNvPicPr>
          </xdr:nvPicPr>
          <xdr:blipFill>
            <a:blip xmlns:r="http://schemas.openxmlformats.org/officeDocument/2006/relationships" r:embed="rId2"/>
            <a:stretch>
              <a:fillRect/>
            </a:stretch>
          </xdr:blipFill>
          <xdr:spPr>
            <a:xfrm>
              <a:off x="3550920" y="533400"/>
              <a:ext cx="1691640" cy="1676400"/>
            </a:xfrm>
            <a:prstGeom prst="rect">
              <a:avLst/>
            </a:prstGeom>
          </xdr:spPr>
        </xdr:pic>
        <xdr:clientData/>
      </xdr:twoCellAnchor>
    </mc:Choice>
    <mc:Fallback/>
  </mc:AlternateContent>
  <xdr:twoCellAnchor>
    <xdr:from>
      <xdr:col>24</xdr:col>
      <xdr:colOff>38100</xdr:colOff>
      <xdr:row>0</xdr:row>
      <xdr:rowOff>15240</xdr:rowOff>
    </xdr:from>
    <xdr:to>
      <xdr:col>26</xdr:col>
      <xdr:colOff>51011</xdr:colOff>
      <xdr:row>4</xdr:row>
      <xdr:rowOff>0</xdr:rowOff>
    </xdr:to>
    <xdr:grpSp>
      <xdr:nvGrpSpPr>
        <xdr:cNvPr id="13" name="Group 19"/>
        <xdr:cNvGrpSpPr>
          <a:grpSpLocks/>
        </xdr:cNvGrpSpPr>
      </xdr:nvGrpSpPr>
      <xdr:grpSpPr bwMode="auto">
        <a:xfrm>
          <a:off x="11430000" y="15240"/>
          <a:ext cx="1028911" cy="695960"/>
          <a:chOff x="878" y="0"/>
          <a:chExt cx="195" cy="161"/>
        </a:xfrm>
      </xdr:grpSpPr>
      <xdr:sp macro="" textlink="">
        <xdr:nvSpPr>
          <xdr:cNvPr id="14" name="Rectangle 3"/>
          <xdr:cNvSpPr>
            <a:spLocks noChangeArrowheads="1"/>
          </xdr:cNvSpPr>
        </xdr:nvSpPr>
        <xdr:spPr bwMode="auto">
          <a:xfrm>
            <a:off x="892" y="0"/>
            <a:ext cx="172" cy="157"/>
          </a:xfrm>
          <a:prstGeom prst="rect">
            <a:avLst/>
          </a:prstGeom>
          <a:solidFill>
            <a:srgbClr val="FFFFFF"/>
          </a:solidFill>
          <a:ln w="9525">
            <a:solidFill>
              <a:srgbClr val="000000"/>
            </a:solidFill>
            <a:miter lim="800000"/>
            <a:headEnd/>
            <a:tailEnd/>
          </a:ln>
        </xdr:spPr>
      </xdr:sp>
      <xdr:sp macro="" textlink="">
        <xdr:nvSpPr>
          <xdr:cNvPr id="15" name="Line 4"/>
          <xdr:cNvSpPr>
            <a:spLocks noChangeShapeType="1"/>
          </xdr:cNvSpPr>
        </xdr:nvSpPr>
        <xdr:spPr bwMode="auto">
          <a:xfrm rot="16200000" flipV="1">
            <a:off x="977" y="30"/>
            <a:ext cx="0" cy="9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6" name="Text Box 7"/>
          <xdr:cNvSpPr txBox="1">
            <a:spLocks noChangeArrowheads="1"/>
          </xdr:cNvSpPr>
        </xdr:nvSpPr>
        <xdr:spPr bwMode="auto">
          <a:xfrm>
            <a:off x="952" y="3"/>
            <a:ext cx="74" cy="44"/>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000"/>
              </a:lnSpc>
              <a:defRPr sz="1000"/>
            </a:pPr>
            <a:r>
              <a:rPr lang="en-US" sz="1000" b="0" i="0" u="none" strike="noStrike" baseline="0">
                <a:solidFill>
                  <a:srgbClr val="000000"/>
                </a:solidFill>
                <a:latin typeface="Arial"/>
                <a:cs typeface="Arial"/>
              </a:rPr>
              <a:t>N</a:t>
            </a:r>
          </a:p>
          <a:p>
            <a:pPr algn="l" rtl="0">
              <a:lnSpc>
                <a:spcPts val="900"/>
              </a:lnSpc>
              <a:defRPr sz="1000"/>
            </a:pPr>
            <a:endParaRPr lang="en-US" sz="1000" b="0" i="0" u="none" strike="noStrike" baseline="0">
              <a:solidFill>
                <a:srgbClr val="000000"/>
              </a:solidFill>
              <a:latin typeface="Arial"/>
              <a:cs typeface="Arial"/>
            </a:endParaRPr>
          </a:p>
        </xdr:txBody>
      </xdr:sp>
      <xdr:sp macro="" textlink="">
        <xdr:nvSpPr>
          <xdr:cNvPr id="17" name="Text Box 10"/>
          <xdr:cNvSpPr txBox="1">
            <a:spLocks noChangeArrowheads="1"/>
          </xdr:cNvSpPr>
        </xdr:nvSpPr>
        <xdr:spPr bwMode="auto">
          <a:xfrm>
            <a:off x="1010" y="55"/>
            <a:ext cx="63" cy="52"/>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000"/>
              </a:lnSpc>
              <a:defRPr sz="1000"/>
            </a:pPr>
            <a:r>
              <a:rPr lang="en-US" sz="1000" b="0" i="0" u="none" strike="noStrike" baseline="0">
                <a:solidFill>
                  <a:srgbClr val="000000"/>
                </a:solidFill>
                <a:latin typeface="Arial"/>
                <a:cs typeface="Arial"/>
              </a:rPr>
              <a:t> E</a:t>
            </a:r>
          </a:p>
          <a:p>
            <a:pPr algn="l" rtl="0">
              <a:lnSpc>
                <a:spcPts val="900"/>
              </a:lnSpc>
              <a:defRPr sz="1000"/>
            </a:pPr>
            <a:endParaRPr lang="en-US" sz="1000" b="0" i="0" u="none" strike="noStrike" baseline="0">
              <a:solidFill>
                <a:srgbClr val="000000"/>
              </a:solidFill>
              <a:latin typeface="Arial"/>
              <a:cs typeface="Arial"/>
            </a:endParaRPr>
          </a:p>
        </xdr:txBody>
      </xdr:sp>
      <xdr:sp macro="" textlink="">
        <xdr:nvSpPr>
          <xdr:cNvPr id="18" name="Text Box 11"/>
          <xdr:cNvSpPr txBox="1">
            <a:spLocks noChangeArrowheads="1"/>
          </xdr:cNvSpPr>
        </xdr:nvSpPr>
        <xdr:spPr bwMode="auto">
          <a:xfrm>
            <a:off x="953" y="116"/>
            <a:ext cx="73" cy="45"/>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000"/>
              </a:lnSpc>
              <a:defRPr sz="1000"/>
            </a:pPr>
            <a:r>
              <a:rPr lang="en-US" sz="1000" b="0" i="0" u="none" strike="noStrike" baseline="0">
                <a:solidFill>
                  <a:srgbClr val="000000"/>
                </a:solidFill>
                <a:latin typeface="Arial"/>
                <a:cs typeface="Arial"/>
              </a:rPr>
              <a:t>S</a:t>
            </a:r>
          </a:p>
          <a:p>
            <a:pPr algn="l" rtl="0">
              <a:lnSpc>
                <a:spcPts val="900"/>
              </a:lnSpc>
              <a:defRPr sz="1000"/>
            </a:pPr>
            <a:endParaRPr lang="en-US" sz="1000" b="0" i="0" u="none" strike="noStrike" baseline="0">
              <a:solidFill>
                <a:srgbClr val="000000"/>
              </a:solidFill>
              <a:latin typeface="Arial"/>
              <a:cs typeface="Arial"/>
            </a:endParaRPr>
          </a:p>
        </xdr:txBody>
      </xdr:sp>
      <xdr:sp macro="" textlink="">
        <xdr:nvSpPr>
          <xdr:cNvPr id="19" name="Text Box 13"/>
          <xdr:cNvSpPr txBox="1">
            <a:spLocks noChangeArrowheads="1"/>
          </xdr:cNvSpPr>
        </xdr:nvSpPr>
        <xdr:spPr bwMode="auto">
          <a:xfrm>
            <a:off x="878" y="56"/>
            <a:ext cx="88" cy="44"/>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000"/>
              </a:lnSpc>
              <a:defRPr sz="1000"/>
            </a:pPr>
            <a:r>
              <a:rPr lang="en-US" sz="1000" b="0" i="0" u="none" strike="noStrike" baseline="0">
                <a:solidFill>
                  <a:srgbClr val="000000"/>
                </a:solidFill>
                <a:latin typeface="Arial"/>
                <a:cs typeface="Arial"/>
              </a:rPr>
              <a:t>W </a:t>
            </a:r>
          </a:p>
          <a:p>
            <a:pPr algn="l" rtl="0">
              <a:lnSpc>
                <a:spcPts val="900"/>
              </a:lnSpc>
              <a:defRPr sz="1000"/>
            </a:pPr>
            <a:endParaRPr lang="en-US" sz="1000" b="0" i="0" u="none" strike="noStrike" baseline="0">
              <a:solidFill>
                <a:srgbClr val="000000"/>
              </a:solidFill>
              <a:latin typeface="Arial"/>
              <a:cs typeface="Arial"/>
            </a:endParaRPr>
          </a:p>
        </xdr:txBody>
      </xdr:sp>
      <xdr:sp macro="" textlink="">
        <xdr:nvSpPr>
          <xdr:cNvPr id="20" name="Line 17"/>
          <xdr:cNvSpPr>
            <a:spLocks noChangeShapeType="1"/>
          </xdr:cNvSpPr>
        </xdr:nvSpPr>
        <xdr:spPr bwMode="auto">
          <a:xfrm>
            <a:off x="979" y="35"/>
            <a:ext cx="0" cy="83"/>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0</xdr:col>
          <xdr:colOff>76200</xdr:colOff>
          <xdr:row>25</xdr:row>
          <xdr:rowOff>95250</xdr:rowOff>
        </xdr:from>
        <xdr:to>
          <xdr:col>0</xdr:col>
          <xdr:colOff>266700</xdr:colOff>
          <xdr:row>26</xdr:row>
          <xdr:rowOff>104775</xdr:rowOff>
        </xdr:to>
        <xdr:sp macro="" textlink="">
          <xdr:nvSpPr>
            <xdr:cNvPr id="4632" name="Option Button 536" hidden="1">
              <a:extLst>
                <a:ext uri="{63B3BB69-23CF-44E3-9099-C40C66FF867C}">
                  <a14:compatExt spid="_x0000_s46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33</xdr:row>
          <xdr:rowOff>0</xdr:rowOff>
        </xdr:from>
        <xdr:to>
          <xdr:col>0</xdr:col>
          <xdr:colOff>247650</xdr:colOff>
          <xdr:row>34</xdr:row>
          <xdr:rowOff>9525</xdr:rowOff>
        </xdr:to>
        <xdr:sp macro="" textlink="">
          <xdr:nvSpPr>
            <xdr:cNvPr id="4633" name="Option Button 537" hidden="1">
              <a:extLst>
                <a:ext uri="{63B3BB69-23CF-44E3-9099-C40C66FF867C}">
                  <a14:compatExt spid="_x0000_s4633"/>
                </a:ext>
              </a:extLst>
            </xdr:cNvPr>
            <xdr:cNvSpPr/>
          </xdr:nvSpPr>
          <xdr:spPr>
            <a:xfrm>
              <a:off x="0" y="0"/>
              <a:ext cx="0" cy="0"/>
            </a:xfrm>
            <a:prstGeom prst="rect">
              <a:avLst/>
            </a:prstGeom>
          </xdr:spPr>
        </xdr:sp>
        <xdr:clientData/>
      </xdr:twoCellAnchor>
    </mc:Choice>
    <mc:Fallback/>
  </mc:AlternateContent>
  <xdr:twoCellAnchor editAs="oneCell">
    <xdr:from>
      <xdr:col>0</xdr:col>
      <xdr:colOff>0</xdr:colOff>
      <xdr:row>15</xdr:row>
      <xdr:rowOff>53340</xdr:rowOff>
    </xdr:from>
    <xdr:to>
      <xdr:col>9</xdr:col>
      <xdr:colOff>655796</xdr:colOff>
      <xdr:row>26</xdr:row>
      <xdr:rowOff>143428</xdr:rowOff>
    </xdr:to>
    <xdr:pic>
      <xdr:nvPicPr>
        <xdr:cNvPr id="4" name="Picture 3"/>
        <xdr:cNvPicPr>
          <a:picLocks noChangeAspect="1"/>
        </xdr:cNvPicPr>
      </xdr:nvPicPr>
      <xdr:blipFill rotWithShape="1">
        <a:blip xmlns:r="http://schemas.openxmlformats.org/officeDocument/2006/relationships" r:embed="rId3"/>
        <a:srcRect l="1111" r="-1"/>
        <a:stretch/>
      </xdr:blipFill>
      <xdr:spPr>
        <a:xfrm>
          <a:off x="0" y="2644140"/>
          <a:ext cx="5425916" cy="19874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4</xdr:row>
          <xdr:rowOff>30480</xdr:rowOff>
        </xdr:from>
        <xdr:to>
          <xdr:col>9</xdr:col>
          <xdr:colOff>525780</xdr:colOff>
          <xdr:row>14</xdr:row>
          <xdr:rowOff>30480</xdr:rowOff>
        </xdr:to>
        <xdr:pic>
          <xdr:nvPicPr>
            <xdr:cNvPr id="4" name="Picture 3"/>
            <xdr:cNvPicPr>
              <a:picLocks noChangeAspect="1"/>
              <a:extLst>
                <a:ext uri="{84589F7E-364E-4C9E-8A38-B11213B215E9}">
                  <a14:cameraTool cellRange="ShowMyPic" spid="_x0000_s13838"/>
                </a:ext>
              </a:extLst>
            </xdr:cNvPicPr>
          </xdr:nvPicPr>
          <xdr:blipFill>
            <a:blip xmlns:r="http://schemas.openxmlformats.org/officeDocument/2006/relationships" r:embed="rId1"/>
            <a:stretch>
              <a:fillRect/>
            </a:stretch>
          </xdr:blipFill>
          <xdr:spPr>
            <a:xfrm>
              <a:off x="3627120" y="701040"/>
              <a:ext cx="1744980" cy="1676400"/>
            </a:xfrm>
            <a:prstGeom prst="rect">
              <a:avLst/>
            </a:prstGeom>
          </xdr:spPr>
        </xdr:pic>
        <xdr:clientData/>
      </xdr:twoCellAnchor>
    </mc:Choice>
    <mc:Fallback/>
  </mc:AlternateContent>
  <xdr:twoCellAnchor>
    <xdr:from>
      <xdr:col>24</xdr:col>
      <xdr:colOff>173949</xdr:colOff>
      <xdr:row>0</xdr:row>
      <xdr:rowOff>3214</xdr:rowOff>
    </xdr:from>
    <xdr:to>
      <xdr:col>26</xdr:col>
      <xdr:colOff>19220</xdr:colOff>
      <xdr:row>4</xdr:row>
      <xdr:rowOff>9502</xdr:rowOff>
    </xdr:to>
    <xdr:grpSp>
      <xdr:nvGrpSpPr>
        <xdr:cNvPr id="13" name="Group 19"/>
        <xdr:cNvGrpSpPr>
          <a:grpSpLocks/>
        </xdr:cNvGrpSpPr>
      </xdr:nvGrpSpPr>
      <xdr:grpSpPr bwMode="auto">
        <a:xfrm>
          <a:off x="11619189" y="3214"/>
          <a:ext cx="866351" cy="676848"/>
          <a:chOff x="877" y="-1"/>
          <a:chExt cx="194" cy="164"/>
        </a:xfrm>
      </xdr:grpSpPr>
      <xdr:sp macro="" textlink="">
        <xdr:nvSpPr>
          <xdr:cNvPr id="14" name="Rectangle 3"/>
          <xdr:cNvSpPr>
            <a:spLocks noChangeArrowheads="1"/>
          </xdr:cNvSpPr>
        </xdr:nvSpPr>
        <xdr:spPr bwMode="auto">
          <a:xfrm>
            <a:off x="892" y="0"/>
            <a:ext cx="172" cy="157"/>
          </a:xfrm>
          <a:prstGeom prst="rect">
            <a:avLst/>
          </a:prstGeom>
          <a:solidFill>
            <a:srgbClr val="FFFFFF"/>
          </a:solidFill>
          <a:ln w="9525">
            <a:solidFill>
              <a:srgbClr val="000000"/>
            </a:solidFill>
            <a:miter lim="800000"/>
            <a:headEnd/>
            <a:tailEnd/>
          </a:ln>
        </xdr:spPr>
      </xdr:sp>
      <xdr:sp macro="" textlink="">
        <xdr:nvSpPr>
          <xdr:cNvPr id="15" name="Line 4"/>
          <xdr:cNvSpPr>
            <a:spLocks noChangeShapeType="1"/>
          </xdr:cNvSpPr>
        </xdr:nvSpPr>
        <xdr:spPr bwMode="auto">
          <a:xfrm rot="16200000" flipV="1">
            <a:off x="974" y="33"/>
            <a:ext cx="0" cy="89"/>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6" name="Text Box 7"/>
          <xdr:cNvSpPr txBox="1">
            <a:spLocks noChangeArrowheads="1"/>
          </xdr:cNvSpPr>
        </xdr:nvSpPr>
        <xdr:spPr bwMode="auto">
          <a:xfrm>
            <a:off x="949" y="-1"/>
            <a:ext cx="74" cy="44"/>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000"/>
              </a:lnSpc>
              <a:defRPr sz="1000"/>
            </a:pPr>
            <a:r>
              <a:rPr lang="en-US" sz="1000" b="0" i="0" u="none" strike="noStrike" baseline="0">
                <a:solidFill>
                  <a:srgbClr val="000000"/>
                </a:solidFill>
                <a:latin typeface="Arial"/>
                <a:cs typeface="Arial"/>
              </a:rPr>
              <a:t>N</a:t>
            </a:r>
          </a:p>
          <a:p>
            <a:pPr algn="l" rtl="0">
              <a:lnSpc>
                <a:spcPts val="900"/>
              </a:lnSpc>
              <a:defRPr sz="1000"/>
            </a:pPr>
            <a:endParaRPr lang="en-US" sz="1000" b="0" i="0" u="none" strike="noStrike" baseline="0">
              <a:solidFill>
                <a:srgbClr val="000000"/>
              </a:solidFill>
              <a:latin typeface="Arial"/>
              <a:cs typeface="Arial"/>
            </a:endParaRPr>
          </a:p>
        </xdr:txBody>
      </xdr:sp>
      <xdr:sp macro="" textlink="">
        <xdr:nvSpPr>
          <xdr:cNvPr id="17" name="Text Box 10"/>
          <xdr:cNvSpPr txBox="1">
            <a:spLocks noChangeArrowheads="1"/>
          </xdr:cNvSpPr>
        </xdr:nvSpPr>
        <xdr:spPr bwMode="auto">
          <a:xfrm>
            <a:off x="1008" y="55"/>
            <a:ext cx="63" cy="52"/>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000"/>
              </a:lnSpc>
              <a:defRPr sz="1000"/>
            </a:pPr>
            <a:r>
              <a:rPr lang="en-US" sz="1000" b="0" i="0" u="none" strike="noStrike" baseline="0">
                <a:solidFill>
                  <a:srgbClr val="000000"/>
                </a:solidFill>
                <a:latin typeface="Arial"/>
                <a:cs typeface="Arial"/>
              </a:rPr>
              <a:t>E</a:t>
            </a:r>
          </a:p>
          <a:p>
            <a:pPr algn="l" rtl="0">
              <a:lnSpc>
                <a:spcPts val="900"/>
              </a:lnSpc>
              <a:defRPr sz="1000"/>
            </a:pPr>
            <a:endParaRPr lang="en-US" sz="1000" b="0" i="0" u="none" strike="noStrike" baseline="0">
              <a:solidFill>
                <a:srgbClr val="000000"/>
              </a:solidFill>
              <a:latin typeface="Arial"/>
              <a:cs typeface="Arial"/>
            </a:endParaRPr>
          </a:p>
        </xdr:txBody>
      </xdr:sp>
      <xdr:sp macro="" textlink="">
        <xdr:nvSpPr>
          <xdr:cNvPr id="18" name="Text Box 11"/>
          <xdr:cNvSpPr txBox="1">
            <a:spLocks noChangeArrowheads="1"/>
          </xdr:cNvSpPr>
        </xdr:nvSpPr>
        <xdr:spPr bwMode="auto">
          <a:xfrm>
            <a:off x="949" y="118"/>
            <a:ext cx="73" cy="45"/>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000"/>
              </a:lnSpc>
              <a:defRPr sz="1000"/>
            </a:pPr>
            <a:r>
              <a:rPr lang="en-US" sz="1000" b="0" i="0" u="none" strike="noStrike" baseline="0">
                <a:solidFill>
                  <a:srgbClr val="000000"/>
                </a:solidFill>
                <a:latin typeface="Arial"/>
                <a:cs typeface="Arial"/>
              </a:rPr>
              <a:t>S</a:t>
            </a:r>
          </a:p>
          <a:p>
            <a:pPr algn="l" rtl="0">
              <a:lnSpc>
                <a:spcPts val="900"/>
              </a:lnSpc>
              <a:defRPr sz="1000"/>
            </a:pPr>
            <a:endParaRPr lang="en-US" sz="1000" b="0" i="0" u="none" strike="noStrike" baseline="0">
              <a:solidFill>
                <a:srgbClr val="000000"/>
              </a:solidFill>
              <a:latin typeface="Arial"/>
              <a:cs typeface="Arial"/>
            </a:endParaRPr>
          </a:p>
        </xdr:txBody>
      </xdr:sp>
      <xdr:sp macro="" textlink="">
        <xdr:nvSpPr>
          <xdr:cNvPr id="19" name="Text Box 13"/>
          <xdr:cNvSpPr txBox="1">
            <a:spLocks noChangeArrowheads="1"/>
          </xdr:cNvSpPr>
        </xdr:nvSpPr>
        <xdr:spPr bwMode="auto">
          <a:xfrm>
            <a:off x="877" y="56"/>
            <a:ext cx="88" cy="44"/>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000"/>
              </a:lnSpc>
              <a:defRPr sz="1000"/>
            </a:pPr>
            <a:r>
              <a:rPr lang="en-US" sz="1000" b="0" i="0" u="none" strike="noStrike" baseline="0">
                <a:solidFill>
                  <a:srgbClr val="000000"/>
                </a:solidFill>
                <a:latin typeface="Arial"/>
                <a:cs typeface="Arial"/>
              </a:rPr>
              <a:t>W </a:t>
            </a:r>
          </a:p>
          <a:p>
            <a:pPr algn="l" rtl="0">
              <a:lnSpc>
                <a:spcPts val="900"/>
              </a:lnSpc>
              <a:defRPr sz="1000"/>
            </a:pPr>
            <a:endParaRPr lang="en-US" sz="1000" b="0" i="0" u="none" strike="noStrike" baseline="0">
              <a:solidFill>
                <a:srgbClr val="000000"/>
              </a:solidFill>
              <a:latin typeface="Arial"/>
              <a:cs typeface="Arial"/>
            </a:endParaRPr>
          </a:p>
        </xdr:txBody>
      </xdr:sp>
      <xdr:sp macro="" textlink="">
        <xdr:nvSpPr>
          <xdr:cNvPr id="20" name="Line 17"/>
          <xdr:cNvSpPr>
            <a:spLocks noChangeShapeType="1"/>
          </xdr:cNvSpPr>
        </xdr:nvSpPr>
        <xdr:spPr bwMode="auto">
          <a:xfrm>
            <a:off x="979" y="40"/>
            <a:ext cx="0" cy="83"/>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0</xdr:col>
          <xdr:colOff>57150</xdr:colOff>
          <xdr:row>33</xdr:row>
          <xdr:rowOff>114300</xdr:rowOff>
        </xdr:from>
        <xdr:to>
          <xdr:col>0</xdr:col>
          <xdr:colOff>247650</xdr:colOff>
          <xdr:row>34</xdr:row>
          <xdr:rowOff>133350</xdr:rowOff>
        </xdr:to>
        <xdr:sp macro="" textlink="">
          <xdr:nvSpPr>
            <xdr:cNvPr id="11771" name="Option Button 507" hidden="1">
              <a:extLst>
                <a:ext uri="{63B3BB69-23CF-44E3-9099-C40C66FF867C}">
                  <a14:compatExt spid="_x0000_s117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26</xdr:row>
          <xdr:rowOff>57150</xdr:rowOff>
        </xdr:from>
        <xdr:to>
          <xdr:col>0</xdr:col>
          <xdr:colOff>266700</xdr:colOff>
          <xdr:row>27</xdr:row>
          <xdr:rowOff>66675</xdr:rowOff>
        </xdr:to>
        <xdr:sp macro="" textlink="">
          <xdr:nvSpPr>
            <xdr:cNvPr id="11971" name="Option Button 707" hidden="1">
              <a:extLst>
                <a:ext uri="{63B3BB69-23CF-44E3-9099-C40C66FF867C}">
                  <a14:compatExt spid="_x0000_s119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26</xdr:row>
          <xdr:rowOff>57150</xdr:rowOff>
        </xdr:from>
        <xdr:to>
          <xdr:col>0</xdr:col>
          <xdr:colOff>266700</xdr:colOff>
          <xdr:row>27</xdr:row>
          <xdr:rowOff>66675</xdr:rowOff>
        </xdr:to>
        <xdr:sp macro="" textlink="">
          <xdr:nvSpPr>
            <xdr:cNvPr id="11978" name="Option Button 714" hidden="1">
              <a:extLst>
                <a:ext uri="{63B3BB69-23CF-44E3-9099-C40C66FF867C}">
                  <a14:compatExt spid="_x0000_s119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33</xdr:row>
          <xdr:rowOff>114300</xdr:rowOff>
        </xdr:from>
        <xdr:to>
          <xdr:col>0</xdr:col>
          <xdr:colOff>247650</xdr:colOff>
          <xdr:row>34</xdr:row>
          <xdr:rowOff>133350</xdr:rowOff>
        </xdr:to>
        <xdr:sp macro="" textlink="">
          <xdr:nvSpPr>
            <xdr:cNvPr id="11977" name="Option Button 713" hidden="1">
              <a:extLst>
                <a:ext uri="{63B3BB69-23CF-44E3-9099-C40C66FF867C}">
                  <a14:compatExt spid="_x0000_s119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26</xdr:row>
          <xdr:rowOff>57150</xdr:rowOff>
        </xdr:from>
        <xdr:to>
          <xdr:col>0</xdr:col>
          <xdr:colOff>266700</xdr:colOff>
          <xdr:row>27</xdr:row>
          <xdr:rowOff>66675</xdr:rowOff>
        </xdr:to>
        <xdr:sp macro="" textlink="">
          <xdr:nvSpPr>
            <xdr:cNvPr id="11981" name="Option Button 717" hidden="1">
              <a:extLst>
                <a:ext uri="{63B3BB69-23CF-44E3-9099-C40C66FF867C}">
                  <a14:compatExt spid="_x0000_s119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33</xdr:row>
          <xdr:rowOff>114300</xdr:rowOff>
        </xdr:from>
        <xdr:to>
          <xdr:col>0</xdr:col>
          <xdr:colOff>247650</xdr:colOff>
          <xdr:row>34</xdr:row>
          <xdr:rowOff>133350</xdr:rowOff>
        </xdr:to>
        <xdr:sp macro="" textlink="">
          <xdr:nvSpPr>
            <xdr:cNvPr id="11980" name="Option Button 716" hidden="1">
              <a:extLst>
                <a:ext uri="{63B3BB69-23CF-44E3-9099-C40C66FF867C}">
                  <a14:compatExt spid="_x0000_s119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26</xdr:row>
          <xdr:rowOff>57150</xdr:rowOff>
        </xdr:from>
        <xdr:to>
          <xdr:col>0</xdr:col>
          <xdr:colOff>266700</xdr:colOff>
          <xdr:row>27</xdr:row>
          <xdr:rowOff>66675</xdr:rowOff>
        </xdr:to>
        <xdr:sp macro="" textlink="">
          <xdr:nvSpPr>
            <xdr:cNvPr id="11984" name="Option Button 720" hidden="1">
              <a:extLst>
                <a:ext uri="{63B3BB69-23CF-44E3-9099-C40C66FF867C}">
                  <a14:compatExt spid="_x0000_s119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33</xdr:row>
          <xdr:rowOff>114300</xdr:rowOff>
        </xdr:from>
        <xdr:to>
          <xdr:col>0</xdr:col>
          <xdr:colOff>247650</xdr:colOff>
          <xdr:row>34</xdr:row>
          <xdr:rowOff>133350</xdr:rowOff>
        </xdr:to>
        <xdr:sp macro="" textlink="">
          <xdr:nvSpPr>
            <xdr:cNvPr id="11983" name="Option Button 719" hidden="1">
              <a:extLst>
                <a:ext uri="{63B3BB69-23CF-44E3-9099-C40C66FF867C}">
                  <a14:compatExt spid="_x0000_s11983"/>
                </a:ext>
              </a:extLst>
            </xdr:cNvPr>
            <xdr:cNvSpPr/>
          </xdr:nvSpPr>
          <xdr:spPr>
            <a:xfrm>
              <a:off x="0" y="0"/>
              <a:ext cx="0" cy="0"/>
            </a:xfrm>
            <a:prstGeom prst="rect">
              <a:avLst/>
            </a:prstGeom>
          </xdr:spPr>
        </xdr:sp>
        <xdr:clientData/>
      </xdr:twoCellAnchor>
    </mc:Choice>
    <mc:Fallback/>
  </mc:AlternateContent>
  <xdr:twoCellAnchor editAs="oneCell">
    <xdr:from>
      <xdr:col>0</xdr:col>
      <xdr:colOff>0</xdr:colOff>
      <xdr:row>17</xdr:row>
      <xdr:rowOff>0</xdr:rowOff>
    </xdr:from>
    <xdr:to>
      <xdr:col>9</xdr:col>
      <xdr:colOff>579590</xdr:colOff>
      <xdr:row>28</xdr:row>
      <xdr:rowOff>143428</xdr:rowOff>
    </xdr:to>
    <xdr:pic>
      <xdr:nvPicPr>
        <xdr:cNvPr id="6" name="Picture 5"/>
        <xdr:cNvPicPr>
          <a:picLocks noChangeAspect="1"/>
        </xdr:cNvPicPr>
      </xdr:nvPicPr>
      <xdr:blipFill>
        <a:blip xmlns:r="http://schemas.openxmlformats.org/officeDocument/2006/relationships" r:embed="rId2"/>
        <a:stretch>
          <a:fillRect/>
        </a:stretch>
      </xdr:blipFill>
      <xdr:spPr>
        <a:xfrm>
          <a:off x="0" y="2849880"/>
          <a:ext cx="5425910" cy="198746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7</xdr:row>
          <xdr:rowOff>30480</xdr:rowOff>
        </xdr:from>
        <xdr:to>
          <xdr:col>9</xdr:col>
          <xdr:colOff>525780</xdr:colOff>
          <xdr:row>17</xdr:row>
          <xdr:rowOff>30480</xdr:rowOff>
        </xdr:to>
        <xdr:pic>
          <xdr:nvPicPr>
            <xdr:cNvPr id="4" name="Picture 3"/>
            <xdr:cNvPicPr>
              <a:picLocks noChangeAspect="1"/>
              <a:extLst>
                <a:ext uri="{84589F7E-364E-4C9E-8A38-B11213B215E9}">
                  <a14:cameraTool cellRange="ShowMyPic" spid="_x0000_s13015"/>
                </a:ext>
              </a:extLst>
            </xdr:cNvPicPr>
          </xdr:nvPicPr>
          <xdr:blipFill>
            <a:blip xmlns:r="http://schemas.openxmlformats.org/officeDocument/2006/relationships" r:embed="rId1"/>
            <a:stretch>
              <a:fillRect/>
            </a:stretch>
          </xdr:blipFill>
          <xdr:spPr>
            <a:xfrm>
              <a:off x="3627120" y="1203960"/>
              <a:ext cx="1744980" cy="1676400"/>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36</xdr:row>
          <xdr:rowOff>66675</xdr:rowOff>
        </xdr:from>
        <xdr:to>
          <xdr:col>0</xdr:col>
          <xdr:colOff>247650</xdr:colOff>
          <xdr:row>37</xdr:row>
          <xdr:rowOff>95250</xdr:rowOff>
        </xdr:to>
        <xdr:sp macro="" textlink="">
          <xdr:nvSpPr>
            <xdr:cNvPr id="12289" name="Option Button 1" hidden="1">
              <a:extLst>
                <a:ext uri="{63B3BB69-23CF-44E3-9099-C40C66FF867C}">
                  <a14:compatExt spid="_x0000_s122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29</xdr:row>
          <xdr:rowOff>19050</xdr:rowOff>
        </xdr:from>
        <xdr:to>
          <xdr:col>0</xdr:col>
          <xdr:colOff>266700</xdr:colOff>
          <xdr:row>30</xdr:row>
          <xdr:rowOff>28575</xdr:rowOff>
        </xdr:to>
        <xdr:sp macro="" textlink="">
          <xdr:nvSpPr>
            <xdr:cNvPr id="12290" name="Option Button 2" hidden="1">
              <a:extLst>
                <a:ext uri="{63B3BB69-23CF-44E3-9099-C40C66FF867C}">
                  <a14:compatExt spid="_x0000_s122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29</xdr:row>
          <xdr:rowOff>19050</xdr:rowOff>
        </xdr:from>
        <xdr:to>
          <xdr:col>0</xdr:col>
          <xdr:colOff>266700</xdr:colOff>
          <xdr:row>30</xdr:row>
          <xdr:rowOff>28575</xdr:rowOff>
        </xdr:to>
        <xdr:sp macro="" textlink="">
          <xdr:nvSpPr>
            <xdr:cNvPr id="12291" name="Option Button 3" hidden="1">
              <a:extLst>
                <a:ext uri="{63B3BB69-23CF-44E3-9099-C40C66FF867C}">
                  <a14:compatExt spid="_x0000_s122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36</xdr:row>
          <xdr:rowOff>66675</xdr:rowOff>
        </xdr:from>
        <xdr:to>
          <xdr:col>0</xdr:col>
          <xdr:colOff>247650</xdr:colOff>
          <xdr:row>37</xdr:row>
          <xdr:rowOff>95250</xdr:rowOff>
        </xdr:to>
        <xdr:sp macro="" textlink="">
          <xdr:nvSpPr>
            <xdr:cNvPr id="12292" name="Option Button 4" hidden="1">
              <a:extLst>
                <a:ext uri="{63B3BB69-23CF-44E3-9099-C40C66FF867C}">
                  <a14:compatExt spid="_x0000_s122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29</xdr:row>
          <xdr:rowOff>19050</xdr:rowOff>
        </xdr:from>
        <xdr:to>
          <xdr:col>0</xdr:col>
          <xdr:colOff>266700</xdr:colOff>
          <xdr:row>30</xdr:row>
          <xdr:rowOff>28575</xdr:rowOff>
        </xdr:to>
        <xdr:sp macro="" textlink="">
          <xdr:nvSpPr>
            <xdr:cNvPr id="12293" name="Option Button 5" hidden="1">
              <a:extLst>
                <a:ext uri="{63B3BB69-23CF-44E3-9099-C40C66FF867C}">
                  <a14:compatExt spid="_x0000_s122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36</xdr:row>
          <xdr:rowOff>66675</xdr:rowOff>
        </xdr:from>
        <xdr:to>
          <xdr:col>0</xdr:col>
          <xdr:colOff>247650</xdr:colOff>
          <xdr:row>37</xdr:row>
          <xdr:rowOff>95250</xdr:rowOff>
        </xdr:to>
        <xdr:sp macro="" textlink="">
          <xdr:nvSpPr>
            <xdr:cNvPr id="12294" name="Option Button 6" hidden="1">
              <a:extLst>
                <a:ext uri="{63B3BB69-23CF-44E3-9099-C40C66FF867C}">
                  <a14:compatExt spid="_x0000_s122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29</xdr:row>
          <xdr:rowOff>19050</xdr:rowOff>
        </xdr:from>
        <xdr:to>
          <xdr:col>0</xdr:col>
          <xdr:colOff>266700</xdr:colOff>
          <xdr:row>30</xdr:row>
          <xdr:rowOff>28575</xdr:rowOff>
        </xdr:to>
        <xdr:sp macro="" textlink="">
          <xdr:nvSpPr>
            <xdr:cNvPr id="12295" name="Option Button 7" hidden="1">
              <a:extLst>
                <a:ext uri="{63B3BB69-23CF-44E3-9099-C40C66FF867C}">
                  <a14:compatExt spid="_x0000_s122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36</xdr:row>
          <xdr:rowOff>66675</xdr:rowOff>
        </xdr:from>
        <xdr:to>
          <xdr:col>0</xdr:col>
          <xdr:colOff>247650</xdr:colOff>
          <xdr:row>37</xdr:row>
          <xdr:rowOff>95250</xdr:rowOff>
        </xdr:to>
        <xdr:sp macro="" textlink="">
          <xdr:nvSpPr>
            <xdr:cNvPr id="12296" name="Option Button 8" hidden="1">
              <a:extLst>
                <a:ext uri="{63B3BB69-23CF-44E3-9099-C40C66FF867C}">
                  <a14:compatExt spid="_x0000_s12296"/>
                </a:ext>
              </a:extLst>
            </xdr:cNvPr>
            <xdr:cNvSpPr/>
          </xdr:nvSpPr>
          <xdr:spPr>
            <a:xfrm>
              <a:off x="0" y="0"/>
              <a:ext cx="0" cy="0"/>
            </a:xfrm>
            <a:prstGeom prst="rect">
              <a:avLst/>
            </a:prstGeom>
          </xdr:spPr>
        </xdr:sp>
        <xdr:clientData/>
      </xdr:twoCellAnchor>
    </mc:Choice>
    <mc:Fallback/>
  </mc:AlternateContent>
  <xdr:twoCellAnchor>
    <xdr:from>
      <xdr:col>24</xdr:col>
      <xdr:colOff>152400</xdr:colOff>
      <xdr:row>0</xdr:row>
      <xdr:rowOff>3856</xdr:rowOff>
    </xdr:from>
    <xdr:to>
      <xdr:col>26</xdr:col>
      <xdr:colOff>23030</xdr:colOff>
      <xdr:row>4</xdr:row>
      <xdr:rowOff>0</xdr:rowOff>
    </xdr:to>
    <xdr:grpSp>
      <xdr:nvGrpSpPr>
        <xdr:cNvPr id="40" name="Group 19"/>
        <xdr:cNvGrpSpPr>
          <a:grpSpLocks/>
        </xdr:cNvGrpSpPr>
      </xdr:nvGrpSpPr>
      <xdr:grpSpPr bwMode="auto">
        <a:xfrm>
          <a:off x="11597640" y="3856"/>
          <a:ext cx="891710" cy="666704"/>
          <a:chOff x="877" y="0"/>
          <a:chExt cx="194" cy="164"/>
        </a:xfrm>
      </xdr:grpSpPr>
      <xdr:sp macro="" textlink="">
        <xdr:nvSpPr>
          <xdr:cNvPr id="41" name="Rectangle 3"/>
          <xdr:cNvSpPr>
            <a:spLocks noChangeArrowheads="1"/>
          </xdr:cNvSpPr>
        </xdr:nvSpPr>
        <xdr:spPr bwMode="auto">
          <a:xfrm>
            <a:off x="892" y="0"/>
            <a:ext cx="172" cy="157"/>
          </a:xfrm>
          <a:prstGeom prst="rect">
            <a:avLst/>
          </a:prstGeom>
          <a:solidFill>
            <a:srgbClr val="FFFFFF"/>
          </a:solidFill>
          <a:ln w="9525">
            <a:solidFill>
              <a:srgbClr val="000000"/>
            </a:solidFill>
            <a:miter lim="800000"/>
            <a:headEnd/>
            <a:tailEnd/>
          </a:ln>
        </xdr:spPr>
      </xdr:sp>
      <xdr:sp macro="" textlink="">
        <xdr:nvSpPr>
          <xdr:cNvPr id="42" name="Line 4"/>
          <xdr:cNvSpPr>
            <a:spLocks noChangeShapeType="1"/>
          </xdr:cNvSpPr>
        </xdr:nvSpPr>
        <xdr:spPr bwMode="auto">
          <a:xfrm rot="16200000" flipV="1">
            <a:off x="974" y="33"/>
            <a:ext cx="0" cy="89"/>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43" name="Text Box 7"/>
          <xdr:cNvSpPr txBox="1">
            <a:spLocks noChangeArrowheads="1"/>
          </xdr:cNvSpPr>
        </xdr:nvSpPr>
        <xdr:spPr bwMode="auto">
          <a:xfrm>
            <a:off x="950" y="1"/>
            <a:ext cx="74" cy="44"/>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000"/>
              </a:lnSpc>
              <a:defRPr sz="1000"/>
            </a:pPr>
            <a:r>
              <a:rPr lang="en-US" sz="1000" b="0" i="0" u="none" strike="noStrike" baseline="0">
                <a:solidFill>
                  <a:srgbClr val="000000"/>
                </a:solidFill>
                <a:latin typeface="Arial"/>
                <a:cs typeface="Arial"/>
              </a:rPr>
              <a:t>N</a:t>
            </a:r>
          </a:p>
          <a:p>
            <a:pPr algn="l" rtl="0">
              <a:lnSpc>
                <a:spcPts val="900"/>
              </a:lnSpc>
              <a:defRPr sz="1000"/>
            </a:pPr>
            <a:endParaRPr lang="en-US" sz="1000" b="0" i="0" u="none" strike="noStrike" baseline="0">
              <a:solidFill>
                <a:srgbClr val="000000"/>
              </a:solidFill>
              <a:latin typeface="Arial"/>
              <a:cs typeface="Arial"/>
            </a:endParaRPr>
          </a:p>
        </xdr:txBody>
      </xdr:sp>
      <xdr:sp macro="" textlink="">
        <xdr:nvSpPr>
          <xdr:cNvPr id="44" name="Text Box 10"/>
          <xdr:cNvSpPr txBox="1">
            <a:spLocks noChangeArrowheads="1"/>
          </xdr:cNvSpPr>
        </xdr:nvSpPr>
        <xdr:spPr bwMode="auto">
          <a:xfrm>
            <a:off x="1008" y="55"/>
            <a:ext cx="63" cy="52"/>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000"/>
              </a:lnSpc>
              <a:defRPr sz="1000"/>
            </a:pPr>
            <a:r>
              <a:rPr lang="en-US" sz="1000" b="0" i="0" u="none" strike="noStrike" baseline="0">
                <a:solidFill>
                  <a:srgbClr val="000000"/>
                </a:solidFill>
                <a:latin typeface="Arial"/>
                <a:cs typeface="Arial"/>
              </a:rPr>
              <a:t>E</a:t>
            </a:r>
          </a:p>
          <a:p>
            <a:pPr algn="l" rtl="0">
              <a:lnSpc>
                <a:spcPts val="900"/>
              </a:lnSpc>
              <a:defRPr sz="1000"/>
            </a:pPr>
            <a:endParaRPr lang="en-US" sz="1000" b="0" i="0" u="none" strike="noStrike" baseline="0">
              <a:solidFill>
                <a:srgbClr val="000000"/>
              </a:solidFill>
              <a:latin typeface="Arial"/>
              <a:cs typeface="Arial"/>
            </a:endParaRPr>
          </a:p>
        </xdr:txBody>
      </xdr:sp>
      <xdr:sp macro="" textlink="">
        <xdr:nvSpPr>
          <xdr:cNvPr id="45" name="Text Box 11"/>
          <xdr:cNvSpPr txBox="1">
            <a:spLocks noChangeArrowheads="1"/>
          </xdr:cNvSpPr>
        </xdr:nvSpPr>
        <xdr:spPr bwMode="auto">
          <a:xfrm>
            <a:off x="952" y="119"/>
            <a:ext cx="73" cy="45"/>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000"/>
              </a:lnSpc>
              <a:defRPr sz="1000"/>
            </a:pPr>
            <a:r>
              <a:rPr lang="en-US" sz="1000" b="0" i="0" u="none" strike="noStrike" baseline="0">
                <a:solidFill>
                  <a:srgbClr val="000000"/>
                </a:solidFill>
                <a:latin typeface="Arial"/>
                <a:cs typeface="Arial"/>
              </a:rPr>
              <a:t>S</a:t>
            </a:r>
          </a:p>
          <a:p>
            <a:pPr algn="l" rtl="0">
              <a:lnSpc>
                <a:spcPts val="900"/>
              </a:lnSpc>
              <a:defRPr sz="1000"/>
            </a:pPr>
            <a:endParaRPr lang="en-US" sz="1000" b="0" i="0" u="none" strike="noStrike" baseline="0">
              <a:solidFill>
                <a:srgbClr val="000000"/>
              </a:solidFill>
              <a:latin typeface="Arial"/>
              <a:cs typeface="Arial"/>
            </a:endParaRPr>
          </a:p>
        </xdr:txBody>
      </xdr:sp>
      <xdr:sp macro="" textlink="">
        <xdr:nvSpPr>
          <xdr:cNvPr id="46" name="Text Box 13"/>
          <xdr:cNvSpPr txBox="1">
            <a:spLocks noChangeArrowheads="1"/>
          </xdr:cNvSpPr>
        </xdr:nvSpPr>
        <xdr:spPr bwMode="auto">
          <a:xfrm>
            <a:off x="877" y="56"/>
            <a:ext cx="88" cy="44"/>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000"/>
              </a:lnSpc>
              <a:defRPr sz="1000"/>
            </a:pPr>
            <a:r>
              <a:rPr lang="en-US" sz="1000" b="0" i="0" u="none" strike="noStrike" baseline="0">
                <a:solidFill>
                  <a:srgbClr val="000000"/>
                </a:solidFill>
                <a:latin typeface="Arial"/>
                <a:cs typeface="Arial"/>
              </a:rPr>
              <a:t>W </a:t>
            </a:r>
          </a:p>
          <a:p>
            <a:pPr algn="l" rtl="0">
              <a:lnSpc>
                <a:spcPts val="900"/>
              </a:lnSpc>
              <a:defRPr sz="1000"/>
            </a:pPr>
            <a:endParaRPr lang="en-US" sz="1000" b="0" i="0" u="none" strike="noStrike" baseline="0">
              <a:solidFill>
                <a:srgbClr val="000000"/>
              </a:solidFill>
              <a:latin typeface="Arial"/>
              <a:cs typeface="Arial"/>
            </a:endParaRPr>
          </a:p>
        </xdr:txBody>
      </xdr:sp>
      <xdr:sp macro="" textlink="">
        <xdr:nvSpPr>
          <xdr:cNvPr id="47" name="Line 17"/>
          <xdr:cNvSpPr>
            <a:spLocks noChangeShapeType="1"/>
          </xdr:cNvSpPr>
        </xdr:nvSpPr>
        <xdr:spPr bwMode="auto">
          <a:xfrm>
            <a:off x="979" y="40"/>
            <a:ext cx="0" cy="83"/>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0</xdr:col>
      <xdr:colOff>0</xdr:colOff>
      <xdr:row>19</xdr:row>
      <xdr:rowOff>45720</xdr:rowOff>
    </xdr:from>
    <xdr:to>
      <xdr:col>9</xdr:col>
      <xdr:colOff>579590</xdr:colOff>
      <xdr:row>31</xdr:row>
      <xdr:rowOff>21508</xdr:rowOff>
    </xdr:to>
    <xdr:pic>
      <xdr:nvPicPr>
        <xdr:cNvPr id="6" name="Picture 5"/>
        <xdr:cNvPicPr>
          <a:picLocks noChangeAspect="1"/>
        </xdr:cNvPicPr>
      </xdr:nvPicPr>
      <xdr:blipFill>
        <a:blip xmlns:r="http://schemas.openxmlformats.org/officeDocument/2006/relationships" r:embed="rId2"/>
        <a:stretch>
          <a:fillRect/>
        </a:stretch>
      </xdr:blipFill>
      <xdr:spPr>
        <a:xfrm>
          <a:off x="0" y="3230880"/>
          <a:ext cx="5425910" cy="198746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10</xdr:row>
          <xdr:rowOff>30480</xdr:rowOff>
        </xdr:from>
        <xdr:to>
          <xdr:col>9</xdr:col>
          <xdr:colOff>525780</xdr:colOff>
          <xdr:row>20</xdr:row>
          <xdr:rowOff>30480</xdr:rowOff>
        </xdr:to>
        <xdr:pic>
          <xdr:nvPicPr>
            <xdr:cNvPr id="4" name="Picture 3"/>
            <xdr:cNvPicPr>
              <a:picLocks noChangeAspect="1"/>
              <a:extLst>
                <a:ext uri="{84589F7E-364E-4C9E-8A38-B11213B215E9}">
                  <a14:cameraTool cellRange="ShowMyPic" spid="_x0000_s15892"/>
                </a:ext>
              </a:extLst>
            </xdr:cNvPicPr>
          </xdr:nvPicPr>
          <xdr:blipFill>
            <a:blip xmlns:r="http://schemas.openxmlformats.org/officeDocument/2006/relationships" r:embed="rId1"/>
            <a:stretch>
              <a:fillRect/>
            </a:stretch>
          </xdr:blipFill>
          <xdr:spPr>
            <a:xfrm>
              <a:off x="3627120" y="1706880"/>
              <a:ext cx="1744980" cy="1676400"/>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28575</xdr:rowOff>
        </xdr:from>
        <xdr:to>
          <xdr:col>0</xdr:col>
          <xdr:colOff>247650</xdr:colOff>
          <xdr:row>40</xdr:row>
          <xdr:rowOff>57150</xdr:rowOff>
        </xdr:to>
        <xdr:sp macro="" textlink="">
          <xdr:nvSpPr>
            <xdr:cNvPr id="15361" name="Option Button 1" hidden="1">
              <a:extLst>
                <a:ext uri="{63B3BB69-23CF-44E3-9099-C40C66FF867C}">
                  <a14:compatExt spid="_x0000_s153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31</xdr:row>
          <xdr:rowOff>133350</xdr:rowOff>
        </xdr:from>
        <xdr:to>
          <xdr:col>0</xdr:col>
          <xdr:colOff>266700</xdr:colOff>
          <xdr:row>32</xdr:row>
          <xdr:rowOff>152400</xdr:rowOff>
        </xdr:to>
        <xdr:sp macro="" textlink="">
          <xdr:nvSpPr>
            <xdr:cNvPr id="15362" name="Option Button 2" hidden="1">
              <a:extLst>
                <a:ext uri="{63B3BB69-23CF-44E3-9099-C40C66FF867C}">
                  <a14:compatExt spid="_x0000_s153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31</xdr:row>
          <xdr:rowOff>133350</xdr:rowOff>
        </xdr:from>
        <xdr:to>
          <xdr:col>0</xdr:col>
          <xdr:colOff>266700</xdr:colOff>
          <xdr:row>32</xdr:row>
          <xdr:rowOff>152400</xdr:rowOff>
        </xdr:to>
        <xdr:sp macro="" textlink="">
          <xdr:nvSpPr>
            <xdr:cNvPr id="15363" name="Option Button 3" hidden="1">
              <a:extLst>
                <a:ext uri="{63B3BB69-23CF-44E3-9099-C40C66FF867C}">
                  <a14:compatExt spid="_x0000_s153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28575</xdr:rowOff>
        </xdr:from>
        <xdr:to>
          <xdr:col>0</xdr:col>
          <xdr:colOff>247650</xdr:colOff>
          <xdr:row>40</xdr:row>
          <xdr:rowOff>57150</xdr:rowOff>
        </xdr:to>
        <xdr:sp macro="" textlink="">
          <xdr:nvSpPr>
            <xdr:cNvPr id="15364" name="Option Button 4" hidden="1">
              <a:extLst>
                <a:ext uri="{63B3BB69-23CF-44E3-9099-C40C66FF867C}">
                  <a14:compatExt spid="_x0000_s153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31</xdr:row>
          <xdr:rowOff>133350</xdr:rowOff>
        </xdr:from>
        <xdr:to>
          <xdr:col>0</xdr:col>
          <xdr:colOff>266700</xdr:colOff>
          <xdr:row>32</xdr:row>
          <xdr:rowOff>152400</xdr:rowOff>
        </xdr:to>
        <xdr:sp macro="" textlink="">
          <xdr:nvSpPr>
            <xdr:cNvPr id="15365" name="Option Button 5" hidden="1">
              <a:extLst>
                <a:ext uri="{63B3BB69-23CF-44E3-9099-C40C66FF867C}">
                  <a14:compatExt spid="_x0000_s153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28575</xdr:rowOff>
        </xdr:from>
        <xdr:to>
          <xdr:col>0</xdr:col>
          <xdr:colOff>247650</xdr:colOff>
          <xdr:row>40</xdr:row>
          <xdr:rowOff>57150</xdr:rowOff>
        </xdr:to>
        <xdr:sp macro="" textlink="">
          <xdr:nvSpPr>
            <xdr:cNvPr id="15366" name="Option Button 6" hidden="1">
              <a:extLst>
                <a:ext uri="{63B3BB69-23CF-44E3-9099-C40C66FF867C}">
                  <a14:compatExt spid="_x0000_s153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31</xdr:row>
          <xdr:rowOff>133350</xdr:rowOff>
        </xdr:from>
        <xdr:to>
          <xdr:col>0</xdr:col>
          <xdr:colOff>266700</xdr:colOff>
          <xdr:row>32</xdr:row>
          <xdr:rowOff>152400</xdr:rowOff>
        </xdr:to>
        <xdr:sp macro="" textlink="">
          <xdr:nvSpPr>
            <xdr:cNvPr id="15367" name="Option Button 7" hidden="1">
              <a:extLst>
                <a:ext uri="{63B3BB69-23CF-44E3-9099-C40C66FF867C}">
                  <a14:compatExt spid="_x0000_s153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28575</xdr:rowOff>
        </xdr:from>
        <xdr:to>
          <xdr:col>0</xdr:col>
          <xdr:colOff>247650</xdr:colOff>
          <xdr:row>40</xdr:row>
          <xdr:rowOff>57150</xdr:rowOff>
        </xdr:to>
        <xdr:sp macro="" textlink="">
          <xdr:nvSpPr>
            <xdr:cNvPr id="15368" name="Option Button 8" hidden="1">
              <a:extLst>
                <a:ext uri="{63B3BB69-23CF-44E3-9099-C40C66FF867C}">
                  <a14:compatExt spid="_x0000_s15368"/>
                </a:ext>
              </a:extLst>
            </xdr:cNvPr>
            <xdr:cNvSpPr/>
          </xdr:nvSpPr>
          <xdr:spPr>
            <a:xfrm>
              <a:off x="0" y="0"/>
              <a:ext cx="0" cy="0"/>
            </a:xfrm>
            <a:prstGeom prst="rect">
              <a:avLst/>
            </a:prstGeom>
          </xdr:spPr>
        </xdr:sp>
        <xdr:clientData/>
      </xdr:twoCellAnchor>
    </mc:Choice>
    <mc:Fallback/>
  </mc:AlternateContent>
  <xdr:twoCellAnchor>
    <xdr:from>
      <xdr:col>24</xdr:col>
      <xdr:colOff>78699</xdr:colOff>
      <xdr:row>0</xdr:row>
      <xdr:rowOff>3856</xdr:rowOff>
    </xdr:from>
    <xdr:to>
      <xdr:col>26</xdr:col>
      <xdr:colOff>23030</xdr:colOff>
      <xdr:row>4</xdr:row>
      <xdr:rowOff>10144</xdr:rowOff>
    </xdr:to>
    <xdr:grpSp>
      <xdr:nvGrpSpPr>
        <xdr:cNvPr id="16" name="Group 19"/>
        <xdr:cNvGrpSpPr>
          <a:grpSpLocks/>
        </xdr:cNvGrpSpPr>
      </xdr:nvGrpSpPr>
      <xdr:grpSpPr bwMode="auto">
        <a:xfrm>
          <a:off x="11523939" y="3856"/>
          <a:ext cx="965411" cy="676848"/>
          <a:chOff x="877" y="0"/>
          <a:chExt cx="194" cy="164"/>
        </a:xfrm>
      </xdr:grpSpPr>
      <xdr:sp macro="" textlink="">
        <xdr:nvSpPr>
          <xdr:cNvPr id="17" name="Rectangle 3"/>
          <xdr:cNvSpPr>
            <a:spLocks noChangeArrowheads="1"/>
          </xdr:cNvSpPr>
        </xdr:nvSpPr>
        <xdr:spPr bwMode="auto">
          <a:xfrm>
            <a:off x="892" y="0"/>
            <a:ext cx="172" cy="157"/>
          </a:xfrm>
          <a:prstGeom prst="rect">
            <a:avLst/>
          </a:prstGeom>
          <a:solidFill>
            <a:srgbClr val="FFFFFF"/>
          </a:solidFill>
          <a:ln w="9525">
            <a:solidFill>
              <a:srgbClr val="000000"/>
            </a:solidFill>
            <a:miter lim="800000"/>
            <a:headEnd/>
            <a:tailEnd/>
          </a:ln>
        </xdr:spPr>
      </xdr:sp>
      <xdr:sp macro="" textlink="">
        <xdr:nvSpPr>
          <xdr:cNvPr id="18" name="Line 4"/>
          <xdr:cNvSpPr>
            <a:spLocks noChangeShapeType="1"/>
          </xdr:cNvSpPr>
        </xdr:nvSpPr>
        <xdr:spPr bwMode="auto">
          <a:xfrm rot="16200000" flipV="1">
            <a:off x="974" y="33"/>
            <a:ext cx="0" cy="89"/>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9" name="Text Box 7"/>
          <xdr:cNvSpPr txBox="1">
            <a:spLocks noChangeArrowheads="1"/>
          </xdr:cNvSpPr>
        </xdr:nvSpPr>
        <xdr:spPr bwMode="auto">
          <a:xfrm>
            <a:off x="950" y="1"/>
            <a:ext cx="74" cy="44"/>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000"/>
              </a:lnSpc>
              <a:defRPr sz="1000"/>
            </a:pPr>
            <a:r>
              <a:rPr lang="en-US" sz="1000" b="0" i="0" u="none" strike="noStrike" baseline="0">
                <a:solidFill>
                  <a:srgbClr val="000000"/>
                </a:solidFill>
                <a:latin typeface="Arial"/>
                <a:cs typeface="Arial"/>
              </a:rPr>
              <a:t>N</a:t>
            </a:r>
          </a:p>
          <a:p>
            <a:pPr algn="l" rtl="0">
              <a:lnSpc>
                <a:spcPts val="900"/>
              </a:lnSpc>
              <a:defRPr sz="1000"/>
            </a:pPr>
            <a:endParaRPr lang="en-US" sz="1000" b="0" i="0" u="none" strike="noStrike" baseline="0">
              <a:solidFill>
                <a:srgbClr val="000000"/>
              </a:solidFill>
              <a:latin typeface="Arial"/>
              <a:cs typeface="Arial"/>
            </a:endParaRPr>
          </a:p>
        </xdr:txBody>
      </xdr:sp>
      <xdr:sp macro="" textlink="">
        <xdr:nvSpPr>
          <xdr:cNvPr id="20" name="Text Box 10"/>
          <xdr:cNvSpPr txBox="1">
            <a:spLocks noChangeArrowheads="1"/>
          </xdr:cNvSpPr>
        </xdr:nvSpPr>
        <xdr:spPr bwMode="auto">
          <a:xfrm>
            <a:off x="1008" y="55"/>
            <a:ext cx="63" cy="52"/>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000"/>
              </a:lnSpc>
              <a:defRPr sz="1000"/>
            </a:pPr>
            <a:r>
              <a:rPr lang="en-US" sz="1000" b="0" i="0" u="none" strike="noStrike" baseline="0">
                <a:solidFill>
                  <a:srgbClr val="000000"/>
                </a:solidFill>
                <a:latin typeface="Arial"/>
                <a:cs typeface="Arial"/>
              </a:rPr>
              <a:t>E</a:t>
            </a:r>
          </a:p>
          <a:p>
            <a:pPr algn="l" rtl="0">
              <a:lnSpc>
                <a:spcPts val="900"/>
              </a:lnSpc>
              <a:defRPr sz="1000"/>
            </a:pPr>
            <a:endParaRPr lang="en-US" sz="1000" b="0" i="0" u="none" strike="noStrike" baseline="0">
              <a:solidFill>
                <a:srgbClr val="000000"/>
              </a:solidFill>
              <a:latin typeface="Arial"/>
              <a:cs typeface="Arial"/>
            </a:endParaRPr>
          </a:p>
        </xdr:txBody>
      </xdr:sp>
      <xdr:sp macro="" textlink="">
        <xdr:nvSpPr>
          <xdr:cNvPr id="21" name="Text Box 11"/>
          <xdr:cNvSpPr txBox="1">
            <a:spLocks noChangeArrowheads="1"/>
          </xdr:cNvSpPr>
        </xdr:nvSpPr>
        <xdr:spPr bwMode="auto">
          <a:xfrm>
            <a:off x="952" y="119"/>
            <a:ext cx="73" cy="45"/>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000"/>
              </a:lnSpc>
              <a:defRPr sz="1000"/>
            </a:pPr>
            <a:r>
              <a:rPr lang="en-US" sz="1000" b="0" i="0" u="none" strike="noStrike" baseline="0">
                <a:solidFill>
                  <a:srgbClr val="000000"/>
                </a:solidFill>
                <a:latin typeface="Arial"/>
                <a:cs typeface="Arial"/>
              </a:rPr>
              <a:t>S</a:t>
            </a:r>
          </a:p>
          <a:p>
            <a:pPr algn="l" rtl="0">
              <a:lnSpc>
                <a:spcPts val="900"/>
              </a:lnSpc>
              <a:defRPr sz="1000"/>
            </a:pPr>
            <a:endParaRPr lang="en-US" sz="1000" b="0" i="0" u="none" strike="noStrike" baseline="0">
              <a:solidFill>
                <a:srgbClr val="000000"/>
              </a:solidFill>
              <a:latin typeface="Arial"/>
              <a:cs typeface="Arial"/>
            </a:endParaRPr>
          </a:p>
        </xdr:txBody>
      </xdr:sp>
      <xdr:sp macro="" textlink="">
        <xdr:nvSpPr>
          <xdr:cNvPr id="22" name="Text Box 13"/>
          <xdr:cNvSpPr txBox="1">
            <a:spLocks noChangeArrowheads="1"/>
          </xdr:cNvSpPr>
        </xdr:nvSpPr>
        <xdr:spPr bwMode="auto">
          <a:xfrm>
            <a:off x="877" y="56"/>
            <a:ext cx="88" cy="44"/>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000"/>
              </a:lnSpc>
              <a:defRPr sz="1000"/>
            </a:pPr>
            <a:r>
              <a:rPr lang="en-US" sz="1000" b="0" i="0" u="none" strike="noStrike" baseline="0">
                <a:solidFill>
                  <a:srgbClr val="000000"/>
                </a:solidFill>
                <a:latin typeface="Arial"/>
                <a:cs typeface="Arial"/>
              </a:rPr>
              <a:t>W </a:t>
            </a:r>
          </a:p>
          <a:p>
            <a:pPr algn="l" rtl="0">
              <a:lnSpc>
                <a:spcPts val="900"/>
              </a:lnSpc>
              <a:defRPr sz="1000"/>
            </a:pPr>
            <a:endParaRPr lang="en-US" sz="1000" b="0" i="0" u="none" strike="noStrike" baseline="0">
              <a:solidFill>
                <a:srgbClr val="000000"/>
              </a:solidFill>
              <a:latin typeface="Arial"/>
              <a:cs typeface="Arial"/>
            </a:endParaRPr>
          </a:p>
        </xdr:txBody>
      </xdr:sp>
      <xdr:sp macro="" textlink="">
        <xdr:nvSpPr>
          <xdr:cNvPr id="23" name="Line 17"/>
          <xdr:cNvSpPr>
            <a:spLocks noChangeShapeType="1"/>
          </xdr:cNvSpPr>
        </xdr:nvSpPr>
        <xdr:spPr bwMode="auto">
          <a:xfrm>
            <a:off x="979" y="40"/>
            <a:ext cx="0" cy="83"/>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0</xdr:col>
      <xdr:colOff>0</xdr:colOff>
      <xdr:row>22</xdr:row>
      <xdr:rowOff>22860</xdr:rowOff>
    </xdr:from>
    <xdr:to>
      <xdr:col>9</xdr:col>
      <xdr:colOff>579590</xdr:colOff>
      <xdr:row>34</xdr:row>
      <xdr:rowOff>1188</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3710940"/>
          <a:ext cx="5425910" cy="19874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regon.gov/Users/hwye96j/AppData/Local/Temp/Temp1_SingleRoundaboutCalcBlank.zip/FINAL%20VERSION%2020150718SingleRoundaboutCalcBlank_D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Input"/>
      <sheetName val="Singlelane"/>
      <sheetName val="Bypasslane"/>
      <sheetName val="2ndBypasslane"/>
      <sheetName val="3rdBypasslane"/>
      <sheetName val="4thBypasslane"/>
    </sheetNames>
    <sheetDataSet>
      <sheetData sheetId="0"/>
      <sheetData sheetId="1"/>
      <sheetData sheetId="2"/>
      <sheetData sheetId="3">
        <row r="13">
          <cell r="E13" t="str">
            <v>East</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4.vml"/><Relationship Id="rId7" Type="http://schemas.openxmlformats.org/officeDocument/2006/relationships/ctrlProp" Target="../ctrlProps/ctrlProp6.xml"/><Relationship Id="rId12" Type="http://schemas.openxmlformats.org/officeDocument/2006/relationships/comments" Target="../comments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5.vml"/><Relationship Id="rId7" Type="http://schemas.openxmlformats.org/officeDocument/2006/relationships/ctrlProp" Target="../ctrlProps/ctrlProp14.xml"/><Relationship Id="rId12" Type="http://schemas.openxmlformats.org/officeDocument/2006/relationships/comments" Target="../comments5.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6.vml"/><Relationship Id="rId7" Type="http://schemas.openxmlformats.org/officeDocument/2006/relationships/ctrlProp" Target="../ctrlProps/ctrlProp22.xml"/><Relationship Id="rId12" Type="http://schemas.openxmlformats.org/officeDocument/2006/relationships/comments" Target="../comments6.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2"/>
  <sheetViews>
    <sheetView showGridLines="0" tabSelected="1" zoomScale="115" zoomScaleNormal="115" workbookViewId="0">
      <selection activeCell="A19" sqref="A19"/>
    </sheetView>
  </sheetViews>
  <sheetFormatPr defaultColWidth="8.85546875" defaultRowHeight="12.75" x14ac:dyDescent="0.2"/>
  <cols>
    <col min="1" max="1" width="8.85546875" style="326"/>
    <col min="2" max="2" width="7.28515625" style="326" customWidth="1"/>
    <col min="3" max="3" width="6.7109375" style="326" customWidth="1"/>
    <col min="4" max="4" width="8.85546875" style="326" customWidth="1"/>
    <col min="5" max="5" width="9.7109375" style="326" customWidth="1"/>
    <col min="6" max="6" width="4.28515625" style="326" customWidth="1"/>
    <col min="7" max="7" width="6" style="326" customWidth="1"/>
    <col min="8" max="11" width="8.85546875" style="326"/>
    <col min="12" max="12" width="3.42578125" style="326" customWidth="1"/>
    <col min="13" max="13" width="4.7109375" style="326" customWidth="1"/>
    <col min="14" max="14" width="9.42578125" style="326" customWidth="1"/>
    <col min="15" max="16384" width="8.85546875" style="326"/>
  </cols>
  <sheetData>
    <row r="1" spans="1:16" x14ac:dyDescent="0.2">
      <c r="A1" s="567" t="s">
        <v>168</v>
      </c>
      <c r="N1" s="327" t="s">
        <v>164</v>
      </c>
    </row>
    <row r="2" spans="1:16" x14ac:dyDescent="0.2">
      <c r="A2" s="567" t="s">
        <v>153</v>
      </c>
      <c r="N2" s="568" t="s">
        <v>181</v>
      </c>
    </row>
    <row r="3" spans="1:16" ht="5.45" customHeight="1" x14ac:dyDescent="0.2">
      <c r="A3" s="567"/>
    </row>
    <row r="4" spans="1:16" x14ac:dyDescent="0.2">
      <c r="A4" s="567" t="s">
        <v>122</v>
      </c>
      <c r="N4" s="327" t="s">
        <v>195</v>
      </c>
    </row>
    <row r="5" spans="1:16" x14ac:dyDescent="0.2">
      <c r="A5" s="567" t="s">
        <v>115</v>
      </c>
      <c r="N5" s="327"/>
      <c r="O5" s="326" t="s">
        <v>182</v>
      </c>
    </row>
    <row r="6" spans="1:16" ht="13.15" customHeight="1" x14ac:dyDescent="0.2">
      <c r="A6" s="567"/>
      <c r="O6" s="326" t="s">
        <v>166</v>
      </c>
    </row>
    <row r="7" spans="1:16" x14ac:dyDescent="0.2">
      <c r="A7" s="568" t="s">
        <v>116</v>
      </c>
      <c r="D7" s="567" t="s">
        <v>169</v>
      </c>
      <c r="O7" s="326" t="s">
        <v>154</v>
      </c>
    </row>
    <row r="8" spans="1:16" x14ac:dyDescent="0.2">
      <c r="A8" s="327" t="s">
        <v>117</v>
      </c>
      <c r="D8" s="327" t="s">
        <v>120</v>
      </c>
      <c r="O8" s="326" t="s">
        <v>167</v>
      </c>
    </row>
    <row r="9" spans="1:16" x14ac:dyDescent="0.2">
      <c r="A9" s="327" t="s">
        <v>133</v>
      </c>
      <c r="D9" s="327" t="s">
        <v>228</v>
      </c>
    </row>
    <row r="10" spans="1:16" x14ac:dyDescent="0.2">
      <c r="A10" s="327" t="s">
        <v>118</v>
      </c>
      <c r="D10" s="327" t="s">
        <v>180</v>
      </c>
      <c r="N10" s="568" t="s">
        <v>194</v>
      </c>
    </row>
    <row r="11" spans="1:16" x14ac:dyDescent="0.2">
      <c r="A11" s="327" t="s">
        <v>119</v>
      </c>
      <c r="D11" s="327" t="s">
        <v>170</v>
      </c>
      <c r="N11" s="326" t="s">
        <v>155</v>
      </c>
      <c r="P11" s="326" t="s">
        <v>158</v>
      </c>
    </row>
    <row r="12" spans="1:16" x14ac:dyDescent="0.2">
      <c r="A12" s="327" t="s">
        <v>121</v>
      </c>
      <c r="D12" s="327" t="s">
        <v>171</v>
      </c>
      <c r="N12" s="326" t="s">
        <v>156</v>
      </c>
      <c r="P12" s="326" t="s">
        <v>196</v>
      </c>
    </row>
    <row r="13" spans="1:16" ht="13.15" customHeight="1" x14ac:dyDescent="0.2">
      <c r="A13" s="327" t="s">
        <v>231</v>
      </c>
      <c r="D13" s="327" t="s">
        <v>232</v>
      </c>
      <c r="N13" s="326" t="s">
        <v>157</v>
      </c>
      <c r="P13" s="326" t="s">
        <v>159</v>
      </c>
    </row>
    <row r="14" spans="1:16" x14ac:dyDescent="0.2">
      <c r="F14" s="327"/>
    </row>
    <row r="15" spans="1:16" x14ac:dyDescent="0.2">
      <c r="A15" s="568" t="s">
        <v>73</v>
      </c>
      <c r="N15" s="568" t="s">
        <v>279</v>
      </c>
    </row>
    <row r="16" spans="1:16" x14ac:dyDescent="0.2">
      <c r="A16" s="327" t="s">
        <v>209</v>
      </c>
      <c r="N16" s="326" t="s">
        <v>165</v>
      </c>
    </row>
    <row r="17" spans="1:14" x14ac:dyDescent="0.2">
      <c r="A17" s="322" t="s">
        <v>210</v>
      </c>
      <c r="N17" s="326" t="s">
        <v>176</v>
      </c>
    </row>
    <row r="18" spans="1:14" x14ac:dyDescent="0.2">
      <c r="A18" s="322" t="s">
        <v>211</v>
      </c>
      <c r="N18" s="326" t="s">
        <v>160</v>
      </c>
    </row>
    <row r="19" spans="1:14" x14ac:dyDescent="0.2">
      <c r="A19" s="322"/>
      <c r="N19" s="326" t="s">
        <v>15</v>
      </c>
    </row>
    <row r="20" spans="1:14" x14ac:dyDescent="0.2">
      <c r="A20" s="323"/>
      <c r="N20" s="326" t="s">
        <v>161</v>
      </c>
    </row>
    <row r="21" spans="1:14" ht="13.15" customHeight="1" x14ac:dyDescent="0.2">
      <c r="A21" s="568" t="s">
        <v>212</v>
      </c>
      <c r="N21" s="326" t="s">
        <v>162</v>
      </c>
    </row>
    <row r="22" spans="1:14" x14ac:dyDescent="0.2">
      <c r="A22" s="327" t="s">
        <v>270</v>
      </c>
      <c r="N22" s="326" t="s">
        <v>163</v>
      </c>
    </row>
    <row r="23" spans="1:14" x14ac:dyDescent="0.2">
      <c r="A23" s="327"/>
      <c r="N23" s="327" t="s">
        <v>9</v>
      </c>
    </row>
    <row r="24" spans="1:14" x14ac:dyDescent="0.2">
      <c r="A24" s="327" t="s">
        <v>271</v>
      </c>
      <c r="N24" s="327" t="s">
        <v>233</v>
      </c>
    </row>
    <row r="25" spans="1:14" x14ac:dyDescent="0.2">
      <c r="A25" s="327" t="s">
        <v>272</v>
      </c>
    </row>
    <row r="26" spans="1:14" x14ac:dyDescent="0.2">
      <c r="A26" s="327" t="s">
        <v>273</v>
      </c>
    </row>
    <row r="27" spans="1:14" ht="13.15" customHeight="1" x14ac:dyDescent="0.2"/>
    <row r="28" spans="1:14" x14ac:dyDescent="0.2">
      <c r="A28" s="327" t="s">
        <v>275</v>
      </c>
    </row>
    <row r="29" spans="1:14" x14ac:dyDescent="0.2">
      <c r="A29" s="327" t="s">
        <v>276</v>
      </c>
      <c r="N29" s="327" t="s">
        <v>239</v>
      </c>
    </row>
    <row r="30" spans="1:14" ht="13.15" customHeight="1" x14ac:dyDescent="0.2"/>
    <row r="31" spans="1:14" x14ac:dyDescent="0.2">
      <c r="A31" s="568" t="s">
        <v>177</v>
      </c>
    </row>
    <row r="32" spans="1:14" x14ac:dyDescent="0.2">
      <c r="A32" s="332" t="s">
        <v>74</v>
      </c>
      <c r="F32" s="327"/>
    </row>
    <row r="33" spans="1:14" x14ac:dyDescent="0.2">
      <c r="B33" s="327"/>
      <c r="C33" s="327"/>
      <c r="D33" s="569"/>
      <c r="E33" s="327"/>
      <c r="F33" s="327"/>
      <c r="K33" s="327"/>
    </row>
    <row r="34" spans="1:14" ht="13.15" customHeight="1" x14ac:dyDescent="0.2">
      <c r="A34" s="570" t="s">
        <v>245</v>
      </c>
      <c r="B34" s="327"/>
      <c r="C34" s="327"/>
      <c r="D34" s="569" t="s">
        <v>106</v>
      </c>
      <c r="F34" s="327"/>
      <c r="G34" s="569" t="s">
        <v>246</v>
      </c>
      <c r="H34" s="327"/>
      <c r="I34" s="327"/>
      <c r="J34" s="569" t="s">
        <v>78</v>
      </c>
      <c r="K34" s="327"/>
    </row>
    <row r="35" spans="1:14" x14ac:dyDescent="0.2">
      <c r="A35" s="569" t="s">
        <v>244</v>
      </c>
      <c r="B35" s="327"/>
      <c r="C35" s="327"/>
      <c r="D35" s="570" t="s">
        <v>75</v>
      </c>
      <c r="E35" s="327"/>
      <c r="G35" s="569" t="s">
        <v>76</v>
      </c>
      <c r="H35" s="327"/>
      <c r="I35" s="327"/>
      <c r="J35" s="569" t="s">
        <v>243</v>
      </c>
      <c r="K35" s="327"/>
    </row>
    <row r="36" spans="1:14" x14ac:dyDescent="0.2">
      <c r="A36" s="322" t="s">
        <v>178</v>
      </c>
    </row>
    <row r="37" spans="1:14" x14ac:dyDescent="0.2">
      <c r="A37" s="323" t="s">
        <v>179</v>
      </c>
      <c r="B37" s="327"/>
      <c r="C37" s="327"/>
      <c r="D37" s="327"/>
      <c r="E37" s="327"/>
      <c r="F37" s="327"/>
      <c r="G37" s="327"/>
      <c r="H37" s="327"/>
      <c r="I37" s="327"/>
      <c r="J37" s="327"/>
      <c r="K37" s="327"/>
    </row>
    <row r="38" spans="1:14" x14ac:dyDescent="0.2">
      <c r="A38" s="571" t="s">
        <v>251</v>
      </c>
      <c r="B38" s="327"/>
      <c r="C38" s="327"/>
      <c r="D38" s="327"/>
      <c r="E38" s="327"/>
      <c r="F38" s="327"/>
      <c r="G38" s="327"/>
      <c r="H38" s="327"/>
      <c r="I38" s="327"/>
      <c r="J38" s="327"/>
      <c r="K38" s="327"/>
    </row>
    <row r="39" spans="1:14" x14ac:dyDescent="0.2">
      <c r="A39" s="327"/>
      <c r="B39" s="327"/>
      <c r="C39" s="327"/>
      <c r="D39" s="327"/>
      <c r="E39" s="327"/>
      <c r="F39" s="327"/>
      <c r="G39" s="327"/>
      <c r="H39" s="327"/>
      <c r="I39" s="327"/>
      <c r="J39" s="327"/>
      <c r="K39" s="327"/>
      <c r="N39" s="326" t="s">
        <v>280</v>
      </c>
    </row>
    <row r="40" spans="1:14" x14ac:dyDescent="0.2">
      <c r="A40" s="568" t="s">
        <v>77</v>
      </c>
      <c r="B40" s="327"/>
      <c r="C40" s="327"/>
      <c r="D40" s="327"/>
      <c r="E40" s="327"/>
      <c r="F40" s="327"/>
      <c r="G40" s="327"/>
      <c r="H40" s="327"/>
      <c r="I40" s="327"/>
      <c r="J40" s="327"/>
      <c r="K40" s="327"/>
      <c r="N40" s="326" t="s">
        <v>274</v>
      </c>
    </row>
    <row r="41" spans="1:14" x14ac:dyDescent="0.2">
      <c r="A41" s="327" t="s">
        <v>247</v>
      </c>
      <c r="B41" s="327"/>
      <c r="C41" s="327"/>
      <c r="D41" s="327"/>
      <c r="E41" s="327"/>
      <c r="F41" s="327"/>
      <c r="G41" s="327"/>
      <c r="H41" s="327"/>
      <c r="I41" s="327"/>
      <c r="J41" s="327"/>
      <c r="K41" s="327"/>
    </row>
    <row r="42" spans="1:14" x14ac:dyDescent="0.2">
      <c r="A42" s="327" t="s">
        <v>248</v>
      </c>
      <c r="B42" s="327"/>
      <c r="C42" s="327"/>
      <c r="D42" s="327"/>
      <c r="E42" s="327"/>
      <c r="F42" s="327"/>
      <c r="G42" s="327"/>
      <c r="H42" s="327"/>
      <c r="I42" s="327"/>
      <c r="J42" s="327"/>
      <c r="K42" s="327"/>
    </row>
    <row r="43" spans="1:14" x14ac:dyDescent="0.2">
      <c r="B43" s="327"/>
      <c r="C43" s="327"/>
      <c r="D43" s="327"/>
      <c r="E43" s="327"/>
      <c r="F43" s="327"/>
      <c r="G43" s="327"/>
      <c r="H43" s="327"/>
      <c r="J43" s="327"/>
      <c r="K43" s="327"/>
    </row>
    <row r="44" spans="1:14" ht="13.15" customHeight="1" x14ac:dyDescent="0.2">
      <c r="A44" s="570" t="s">
        <v>80</v>
      </c>
      <c r="B44" s="327"/>
      <c r="C44" s="327"/>
      <c r="D44" s="327"/>
      <c r="E44" s="572" t="s">
        <v>81</v>
      </c>
      <c r="F44" s="327"/>
      <c r="G44" s="327"/>
      <c r="H44" s="327"/>
      <c r="I44" s="570" t="s">
        <v>79</v>
      </c>
      <c r="J44" s="327"/>
      <c r="K44" s="327"/>
    </row>
    <row r="45" spans="1:14" x14ac:dyDescent="0.2">
      <c r="A45" s="569" t="s">
        <v>82</v>
      </c>
      <c r="B45" s="327"/>
      <c r="C45" s="327"/>
      <c r="D45" s="327"/>
      <c r="E45" s="569" t="s">
        <v>83</v>
      </c>
      <c r="F45" s="327"/>
      <c r="G45" s="327"/>
      <c r="H45" s="327"/>
      <c r="I45" s="327"/>
      <c r="J45" s="327"/>
      <c r="K45" s="327"/>
    </row>
    <row r="46" spans="1:14" x14ac:dyDescent="0.2">
      <c r="A46" s="327" t="s">
        <v>250</v>
      </c>
      <c r="B46" s="327"/>
      <c r="C46" s="327"/>
      <c r="D46" s="327"/>
      <c r="E46" s="327"/>
      <c r="F46" s="327"/>
      <c r="G46" s="327"/>
      <c r="H46" s="327"/>
      <c r="I46" s="327"/>
      <c r="J46" s="327"/>
      <c r="K46" s="327"/>
    </row>
    <row r="47" spans="1:14" x14ac:dyDescent="0.2">
      <c r="A47" s="327" t="s">
        <v>249</v>
      </c>
      <c r="B47" s="327"/>
      <c r="C47" s="327"/>
      <c r="D47" s="327"/>
      <c r="E47" s="327"/>
    </row>
    <row r="48" spans="1:14" x14ac:dyDescent="0.2">
      <c r="A48" s="327"/>
    </row>
    <row r="49" spans="1:14" x14ac:dyDescent="0.2">
      <c r="A49" s="327" t="s">
        <v>144</v>
      </c>
    </row>
    <row r="50" spans="1:14" x14ac:dyDescent="0.2">
      <c r="A50" s="327" t="s">
        <v>230</v>
      </c>
    </row>
    <row r="51" spans="1:14" x14ac:dyDescent="0.2">
      <c r="A51" s="327" t="s">
        <v>229</v>
      </c>
    </row>
    <row r="52" spans="1:14" ht="13.15" customHeight="1" x14ac:dyDescent="0.2"/>
    <row r="53" spans="1:14" ht="13.15" customHeight="1" x14ac:dyDescent="0.2"/>
    <row r="55" spans="1:14" ht="13.15" customHeight="1" x14ac:dyDescent="0.2"/>
    <row r="56" spans="1:14" ht="13.15" customHeight="1" x14ac:dyDescent="0.2">
      <c r="A56" s="327"/>
    </row>
    <row r="60" spans="1:14" x14ac:dyDescent="0.2">
      <c r="A60" s="326" t="s">
        <v>96</v>
      </c>
    </row>
    <row r="61" spans="1:14" x14ac:dyDescent="0.2">
      <c r="A61" s="326" t="s">
        <v>92</v>
      </c>
      <c r="N61" s="332" t="s">
        <v>197</v>
      </c>
    </row>
    <row r="75" spans="1:1" x14ac:dyDescent="0.2">
      <c r="A75" s="326" t="s">
        <v>93</v>
      </c>
    </row>
    <row r="89" spans="1:1" x14ac:dyDescent="0.2">
      <c r="A89" s="326" t="s">
        <v>94</v>
      </c>
    </row>
    <row r="102" spans="1:1" x14ac:dyDescent="0.2">
      <c r="A102" s="326" t="s">
        <v>95</v>
      </c>
    </row>
  </sheetData>
  <pageMargins left="0.7" right="0.7" top="0.75" bottom="0.75" header="0.3" footer="0.3"/>
  <pageSetup orientation="portrait" r:id="rId1"/>
  <headerFooter>
    <oddHeader>&amp;CSingle Lane Roundabout Input Sheet</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H78"/>
  <sheetViews>
    <sheetView showGridLines="0" zoomScaleNormal="100" workbookViewId="0">
      <selection activeCell="Y2" sqref="Y2"/>
    </sheetView>
  </sheetViews>
  <sheetFormatPr defaultRowHeight="12.75" x14ac:dyDescent="0.2"/>
  <cols>
    <col min="1" max="5" width="4.28515625" customWidth="1"/>
    <col min="6" max="6" width="4.5703125" customWidth="1"/>
    <col min="7" max="9" width="4.28515625" customWidth="1"/>
    <col min="10" max="10" width="5" customWidth="1"/>
    <col min="11" max="11" width="4.28515625" style="64" customWidth="1"/>
    <col min="12" max="21" width="4.28515625" customWidth="1"/>
  </cols>
  <sheetData>
    <row r="1" spans="1:24" s="64" customFormat="1" ht="13.5" thickBot="1" x14ac:dyDescent="0.25">
      <c r="A1" s="27" t="s">
        <v>42</v>
      </c>
      <c r="B1" s="6"/>
      <c r="C1" s="6"/>
      <c r="D1" s="6"/>
      <c r="E1" s="6"/>
      <c r="F1" s="7"/>
      <c r="G1" s="614" t="s">
        <v>44</v>
      </c>
      <c r="H1" s="615"/>
      <c r="J1" s="66"/>
      <c r="X1" s="496" t="s">
        <v>278</v>
      </c>
    </row>
    <row r="2" spans="1:24" s="64" customFormat="1" ht="13.5" thickTop="1" x14ac:dyDescent="0.2">
      <c r="A2" s="285" t="s">
        <v>39</v>
      </c>
      <c r="B2" s="57"/>
      <c r="C2" s="89"/>
      <c r="D2" s="89"/>
      <c r="E2" s="89"/>
      <c r="F2" s="260">
        <v>4</v>
      </c>
      <c r="G2" s="612" t="s">
        <v>143</v>
      </c>
      <c r="H2" s="613"/>
    </row>
    <row r="3" spans="1:24" s="64" customFormat="1" ht="16.5" thickBot="1" x14ac:dyDescent="0.25">
      <c r="A3" s="285" t="s">
        <v>29</v>
      </c>
      <c r="B3" s="57"/>
      <c r="C3" s="89"/>
      <c r="D3" s="89"/>
      <c r="E3" s="89"/>
      <c r="F3" s="261">
        <v>0.25</v>
      </c>
      <c r="G3" s="616" t="s">
        <v>277</v>
      </c>
      <c r="H3" s="617"/>
      <c r="J3" s="324"/>
      <c r="K3" s="620" t="s">
        <v>132</v>
      </c>
      <c r="X3" s="556" t="s">
        <v>252</v>
      </c>
    </row>
    <row r="4" spans="1:24" s="64" customFormat="1" ht="13.9" customHeight="1" thickBot="1" x14ac:dyDescent="0.25">
      <c r="A4" s="59" t="s">
        <v>240</v>
      </c>
      <c r="B4" s="60"/>
      <c r="C4" s="90"/>
      <c r="D4" s="90"/>
      <c r="E4" s="358">
        <v>0</v>
      </c>
      <c r="F4" s="465" t="s">
        <v>262</v>
      </c>
      <c r="G4" s="618" t="s">
        <v>50</v>
      </c>
      <c r="H4" s="619"/>
      <c r="K4" s="621"/>
    </row>
    <row r="5" spans="1:24" s="64" customFormat="1" ht="13.15" customHeight="1" x14ac:dyDescent="0.2">
      <c r="K5" s="621"/>
      <c r="X5" s="556" t="s">
        <v>253</v>
      </c>
    </row>
    <row r="6" spans="1:24" s="64" customFormat="1" x14ac:dyDescent="0.2">
      <c r="D6" s="73"/>
      <c r="E6" s="73"/>
      <c r="F6" s="325" t="s">
        <v>238</v>
      </c>
      <c r="K6" s="621"/>
      <c r="U6" s="627" t="s">
        <v>9</v>
      </c>
      <c r="X6" s="494"/>
    </row>
    <row r="7" spans="1:24" s="64" customFormat="1" ht="4.9000000000000004" customHeight="1" x14ac:dyDescent="0.2">
      <c r="K7" s="621"/>
      <c r="U7" s="621"/>
      <c r="W7"/>
      <c r="X7" s="494"/>
    </row>
    <row r="8" spans="1:24" ht="13.15" customHeight="1" x14ac:dyDescent="0.2">
      <c r="A8" s="64"/>
      <c r="B8" s="64"/>
      <c r="C8" s="64"/>
      <c r="D8" s="186" t="s">
        <v>47</v>
      </c>
      <c r="E8" s="600">
        <v>0</v>
      </c>
      <c r="F8" s="600">
        <v>0</v>
      </c>
      <c r="G8" s="600">
        <v>0</v>
      </c>
      <c r="H8" s="600">
        <v>0</v>
      </c>
      <c r="I8" s="64"/>
      <c r="K8" s="621"/>
      <c r="O8" s="64"/>
      <c r="P8" s="64"/>
      <c r="Q8" s="620" t="s">
        <v>127</v>
      </c>
      <c r="R8" s="620" t="s">
        <v>125</v>
      </c>
      <c r="S8" s="620" t="s">
        <v>129</v>
      </c>
      <c r="T8" s="620" t="s">
        <v>130</v>
      </c>
      <c r="U8" s="621"/>
      <c r="X8" s="494"/>
    </row>
    <row r="9" spans="1:24" x14ac:dyDescent="0.2">
      <c r="A9" s="64"/>
      <c r="B9" s="64"/>
      <c r="C9" s="64"/>
      <c r="D9" s="186" t="s">
        <v>241</v>
      </c>
      <c r="E9" s="601"/>
      <c r="F9" s="601"/>
      <c r="G9" s="601"/>
      <c r="H9" s="601"/>
      <c r="I9" s="64"/>
      <c r="K9" s="621"/>
      <c r="O9" s="64"/>
      <c r="P9" s="64"/>
      <c r="Q9" s="620"/>
      <c r="R9" s="620"/>
      <c r="S9" s="620"/>
      <c r="T9" s="620"/>
      <c r="U9" s="621"/>
      <c r="X9" s="494"/>
    </row>
    <row r="10" spans="1:24" ht="13.5" thickBot="1" x14ac:dyDescent="0.25">
      <c r="A10" s="335"/>
      <c r="B10" s="335"/>
      <c r="C10" s="335"/>
      <c r="D10" s="190" t="s">
        <v>126</v>
      </c>
      <c r="E10" s="582">
        <v>0</v>
      </c>
      <c r="F10" s="582">
        <v>0</v>
      </c>
      <c r="G10" s="582">
        <v>0</v>
      </c>
      <c r="H10" s="582">
        <v>0</v>
      </c>
      <c r="I10" s="335"/>
      <c r="K10" s="621"/>
      <c r="O10" s="64"/>
      <c r="P10" s="64"/>
      <c r="Q10" s="620"/>
      <c r="R10" s="620"/>
      <c r="S10" s="620"/>
      <c r="T10" s="620"/>
      <c r="U10" s="621"/>
      <c r="X10" s="494"/>
    </row>
    <row r="11" spans="1:24" x14ac:dyDescent="0.2">
      <c r="A11" s="335"/>
      <c r="B11" s="335"/>
      <c r="C11" s="335"/>
      <c r="D11" s="335"/>
      <c r="E11" s="583"/>
      <c r="F11" s="583"/>
      <c r="G11" s="583"/>
      <c r="H11" s="583"/>
      <c r="I11" s="335"/>
      <c r="K11" s="584">
        <v>0</v>
      </c>
      <c r="O11" s="64"/>
      <c r="P11" s="64"/>
      <c r="Q11" s="620"/>
      <c r="R11" s="620"/>
      <c r="S11" s="620"/>
      <c r="T11" s="620"/>
      <c r="U11" s="621"/>
      <c r="X11" s="494"/>
    </row>
    <row r="12" spans="1:24" ht="13.5" thickBot="1" x14ac:dyDescent="0.25">
      <c r="A12" s="335"/>
      <c r="B12" s="335"/>
      <c r="C12" s="335"/>
      <c r="D12" s="190" t="s">
        <v>124</v>
      </c>
      <c r="E12" s="582">
        <v>0</v>
      </c>
      <c r="F12" s="582">
        <v>0</v>
      </c>
      <c r="G12" s="582">
        <v>0</v>
      </c>
      <c r="H12" s="582">
        <v>0</v>
      </c>
      <c r="I12" s="335"/>
      <c r="K12" s="585"/>
      <c r="O12" s="64"/>
      <c r="P12" s="64"/>
      <c r="Q12" s="620"/>
      <c r="R12" s="620"/>
      <c r="S12" s="620"/>
      <c r="T12" s="620"/>
      <c r="U12" s="621"/>
      <c r="X12" s="494"/>
    </row>
    <row r="13" spans="1:24" x14ac:dyDescent="0.2">
      <c r="A13" s="335"/>
      <c r="B13" s="335"/>
      <c r="C13" s="335"/>
      <c r="D13" s="335"/>
      <c r="E13" s="583"/>
      <c r="F13" s="583"/>
      <c r="G13" s="583"/>
      <c r="H13" s="583"/>
      <c r="I13" s="335"/>
      <c r="O13" s="64"/>
      <c r="P13" s="64"/>
      <c r="Q13" s="626"/>
      <c r="R13" s="626"/>
      <c r="S13" s="626"/>
      <c r="T13" s="626"/>
      <c r="U13" s="628"/>
    </row>
    <row r="14" spans="1:24" x14ac:dyDescent="0.2">
      <c r="A14" s="335"/>
      <c r="B14" s="335"/>
      <c r="C14" s="335"/>
      <c r="D14" s="190" t="s">
        <v>125</v>
      </c>
      <c r="E14" s="582">
        <v>0</v>
      </c>
      <c r="F14" s="582">
        <v>0</v>
      </c>
      <c r="G14" s="582">
        <v>0</v>
      </c>
      <c r="H14" s="582">
        <v>0</v>
      </c>
      <c r="I14" s="335"/>
      <c r="O14" s="64"/>
      <c r="P14" s="64"/>
      <c r="Q14" s="582">
        <v>0</v>
      </c>
      <c r="R14" s="582">
        <v>0</v>
      </c>
      <c r="S14" s="582">
        <v>0</v>
      </c>
      <c r="T14" s="582">
        <v>0</v>
      </c>
      <c r="U14" s="600">
        <v>0</v>
      </c>
    </row>
    <row r="15" spans="1:24" x14ac:dyDescent="0.2">
      <c r="A15" s="335"/>
      <c r="B15" s="335"/>
      <c r="C15" s="335"/>
      <c r="D15" s="335"/>
      <c r="E15" s="583"/>
      <c r="F15" s="583"/>
      <c r="G15" s="583"/>
      <c r="H15" s="583"/>
      <c r="I15" s="335"/>
      <c r="O15" s="64"/>
      <c r="P15" s="64"/>
      <c r="Q15" s="583"/>
      <c r="R15" s="583"/>
      <c r="S15" s="583"/>
      <c r="T15" s="583"/>
      <c r="U15" s="601"/>
    </row>
    <row r="16" spans="1:24" x14ac:dyDescent="0.2">
      <c r="A16" s="335"/>
      <c r="B16" s="335"/>
      <c r="C16" s="335"/>
      <c r="D16" s="190" t="s">
        <v>127</v>
      </c>
      <c r="E16" s="582">
        <v>0</v>
      </c>
      <c r="F16" s="582">
        <v>0</v>
      </c>
      <c r="G16" s="582">
        <v>0</v>
      </c>
      <c r="H16" s="582">
        <v>0</v>
      </c>
      <c r="I16" s="335"/>
      <c r="O16" s="64"/>
      <c r="P16" s="64"/>
      <c r="Q16" s="582">
        <v>0</v>
      </c>
      <c r="R16" s="582">
        <v>0</v>
      </c>
      <c r="S16" s="582">
        <v>0</v>
      </c>
      <c r="T16" s="582">
        <v>0</v>
      </c>
      <c r="U16" s="600">
        <v>0</v>
      </c>
      <c r="V16" s="64"/>
    </row>
    <row r="17" spans="1:31" x14ac:dyDescent="0.2">
      <c r="A17" s="335"/>
      <c r="B17" s="335"/>
      <c r="C17" s="335"/>
      <c r="D17" s="335"/>
      <c r="E17" s="583"/>
      <c r="F17" s="583"/>
      <c r="G17" s="583"/>
      <c r="H17" s="583"/>
      <c r="I17" s="335"/>
      <c r="O17" s="64"/>
      <c r="P17" s="64"/>
      <c r="Q17" s="583"/>
      <c r="R17" s="583"/>
      <c r="S17" s="583"/>
      <c r="T17" s="583"/>
      <c r="U17" s="601"/>
    </row>
    <row r="18" spans="1:31" x14ac:dyDescent="0.2">
      <c r="A18" s="335"/>
      <c r="B18" s="335"/>
      <c r="C18" s="335"/>
      <c r="D18" s="335"/>
      <c r="E18" s="335"/>
      <c r="F18" s="335"/>
      <c r="G18" s="335"/>
      <c r="H18" s="335"/>
      <c r="I18" s="335"/>
      <c r="O18" s="64"/>
      <c r="P18" s="64"/>
      <c r="Q18" s="582">
        <v>0</v>
      </c>
      <c r="R18" s="582">
        <v>0</v>
      </c>
      <c r="S18" s="582">
        <v>0</v>
      </c>
      <c r="T18" s="582">
        <v>0</v>
      </c>
      <c r="U18" s="600">
        <v>0</v>
      </c>
    </row>
    <row r="19" spans="1:31" x14ac:dyDescent="0.2">
      <c r="A19" s="335"/>
      <c r="B19" s="335"/>
      <c r="C19" s="335"/>
      <c r="D19" s="335"/>
      <c r="E19" s="335"/>
      <c r="F19" s="335"/>
      <c r="G19" s="335"/>
      <c r="H19" s="335"/>
      <c r="I19" s="335"/>
      <c r="O19" s="64"/>
      <c r="P19" s="64"/>
      <c r="Q19" s="583"/>
      <c r="R19" s="583"/>
      <c r="S19" s="583"/>
      <c r="T19" s="583"/>
      <c r="U19" s="601"/>
    </row>
    <row r="20" spans="1:31" x14ac:dyDescent="0.2">
      <c r="A20" s="335"/>
      <c r="B20" s="335"/>
      <c r="C20" s="335"/>
      <c r="D20" s="335"/>
      <c r="E20" s="335"/>
      <c r="F20" s="335"/>
      <c r="G20" s="335"/>
      <c r="H20" s="335"/>
      <c r="I20" s="335"/>
      <c r="Q20" s="582">
        <v>0</v>
      </c>
      <c r="R20" s="582">
        <v>0</v>
      </c>
      <c r="S20" s="582">
        <v>0</v>
      </c>
      <c r="T20" s="582">
        <v>0</v>
      </c>
      <c r="U20" s="600">
        <v>0</v>
      </c>
    </row>
    <row r="21" spans="1:31" x14ac:dyDescent="0.2">
      <c r="A21" s="335"/>
      <c r="B21" s="335"/>
      <c r="C21" s="335"/>
      <c r="D21" s="335"/>
      <c r="E21" s="335"/>
      <c r="F21" s="335"/>
      <c r="G21" s="335"/>
      <c r="H21" s="335"/>
      <c r="I21" s="335"/>
      <c r="Q21" s="583"/>
      <c r="R21" s="583"/>
      <c r="S21" s="583"/>
      <c r="T21" s="583"/>
      <c r="U21" s="601"/>
    </row>
    <row r="22" spans="1:31" ht="10.15" customHeight="1" thickBot="1" x14ac:dyDescent="0.25">
      <c r="A22" s="339"/>
      <c r="B22" s="191"/>
      <c r="C22" s="335"/>
      <c r="D22" s="335"/>
      <c r="E22" s="335"/>
      <c r="F22" s="335"/>
      <c r="G22" s="335"/>
      <c r="H22" s="335"/>
      <c r="I22" s="335"/>
      <c r="X22" s="496" t="s">
        <v>254</v>
      </c>
    </row>
    <row r="23" spans="1:31" ht="18" customHeight="1" thickBot="1" x14ac:dyDescent="0.25">
      <c r="A23" s="365">
        <v>0</v>
      </c>
      <c r="B23" s="4" t="s">
        <v>128</v>
      </c>
      <c r="AA23" s="495">
        <v>0</v>
      </c>
    </row>
    <row r="24" spans="1:31" ht="13.5" thickBot="1" x14ac:dyDescent="0.25">
      <c r="X24" s="496" t="s">
        <v>255</v>
      </c>
      <c r="Z24" s="344"/>
      <c r="AA24" s="344"/>
      <c r="AB24" s="344"/>
      <c r="AD24" t="e">
        <f>AA23/(Z26*AB26)</f>
        <v>#DIV/0!</v>
      </c>
    </row>
    <row r="25" spans="1:31" x14ac:dyDescent="0.2">
      <c r="Q25" s="68"/>
    </row>
    <row r="26" spans="1:31" x14ac:dyDescent="0.2">
      <c r="X26" s="496" t="s">
        <v>256</v>
      </c>
      <c r="Z26">
        <v>0</v>
      </c>
      <c r="AA26" s="189" t="s">
        <v>257</v>
      </c>
      <c r="AB26" s="4">
        <v>4</v>
      </c>
    </row>
    <row r="27" spans="1:31" x14ac:dyDescent="0.2">
      <c r="C27" s="64"/>
      <c r="R27" s="327" t="s">
        <v>187</v>
      </c>
      <c r="S27" s="326"/>
      <c r="T27" s="326"/>
      <c r="U27" s="326"/>
    </row>
    <row r="28" spans="1:31" x14ac:dyDescent="0.2">
      <c r="R28" s="624">
        <v>0</v>
      </c>
      <c r="S28" s="625"/>
      <c r="T28" s="625"/>
      <c r="U28" s="625"/>
    </row>
    <row r="29" spans="1:31" ht="16.5" thickBot="1" x14ac:dyDescent="0.25">
      <c r="X29" s="556"/>
    </row>
    <row r="30" spans="1:31" ht="18" customHeight="1" thickBot="1" x14ac:dyDescent="0.25">
      <c r="T30" s="190" t="s">
        <v>128</v>
      </c>
      <c r="U30" s="365">
        <v>0</v>
      </c>
      <c r="X30" s="556"/>
    </row>
    <row r="31" spans="1:31" ht="13.15" customHeight="1" x14ac:dyDescent="0.2">
      <c r="X31" s="556"/>
      <c r="Y31" s="199"/>
      <c r="Z31" s="199"/>
      <c r="AA31" s="199"/>
      <c r="AB31" s="199"/>
      <c r="AC31" s="199"/>
      <c r="AD31" s="199"/>
      <c r="AE31" s="199"/>
    </row>
    <row r="32" spans="1:31" ht="15.75" x14ac:dyDescent="0.2">
      <c r="A32" s="600">
        <v>0</v>
      </c>
      <c r="B32" s="582">
        <v>0</v>
      </c>
      <c r="C32" s="582">
        <v>0</v>
      </c>
      <c r="D32" s="582">
        <v>0</v>
      </c>
      <c r="E32" s="582">
        <v>0</v>
      </c>
      <c r="R32" s="64"/>
      <c r="X32" s="556"/>
      <c r="Y32" s="199"/>
      <c r="Z32" s="199"/>
      <c r="AA32" s="199"/>
      <c r="AB32" s="199"/>
      <c r="AC32" s="199"/>
      <c r="AD32" s="199"/>
      <c r="AE32" s="199"/>
    </row>
    <row r="33" spans="1:34" x14ac:dyDescent="0.2">
      <c r="A33" s="601"/>
      <c r="B33" s="583"/>
      <c r="C33" s="583"/>
      <c r="D33" s="583"/>
      <c r="E33" s="583"/>
      <c r="F33" s="64"/>
      <c r="G33" s="64"/>
      <c r="O33" s="335"/>
      <c r="P33" s="335"/>
      <c r="Q33" s="335"/>
      <c r="R33" s="335"/>
      <c r="S33" s="335"/>
      <c r="Y33" s="197"/>
      <c r="Z33" s="197"/>
      <c r="AA33" s="197"/>
      <c r="AB33" s="197"/>
      <c r="AC33" s="197"/>
      <c r="AD33" s="199"/>
      <c r="AE33" s="199"/>
    </row>
    <row r="34" spans="1:34" x14ac:dyDescent="0.2">
      <c r="A34" s="600">
        <v>0</v>
      </c>
      <c r="B34" s="582">
        <v>0</v>
      </c>
      <c r="C34" s="582">
        <v>0</v>
      </c>
      <c r="D34" s="582">
        <v>0</v>
      </c>
      <c r="E34" s="582">
        <v>0</v>
      </c>
      <c r="F34" s="64"/>
      <c r="G34" s="64"/>
      <c r="O34" s="335"/>
      <c r="P34" s="335"/>
      <c r="Q34" s="335"/>
      <c r="R34" s="335"/>
      <c r="S34" s="335"/>
      <c r="X34" s="199"/>
      <c r="Y34" s="197"/>
      <c r="Z34" s="197"/>
      <c r="AA34" s="197"/>
      <c r="AB34" s="197"/>
      <c r="AC34" s="197"/>
      <c r="AD34" s="199"/>
      <c r="AE34" s="199"/>
    </row>
    <row r="35" spans="1:34" ht="13.15" customHeight="1" x14ac:dyDescent="0.2">
      <c r="A35" s="601"/>
      <c r="B35" s="583"/>
      <c r="C35" s="583"/>
      <c r="D35" s="583"/>
      <c r="E35" s="583"/>
      <c r="F35" s="64"/>
      <c r="G35" s="64"/>
      <c r="O35" s="335"/>
      <c r="P35" s="335"/>
      <c r="Q35" s="335"/>
      <c r="R35" s="335"/>
      <c r="S35" s="335"/>
      <c r="X35" s="199"/>
      <c r="Y35" s="197"/>
      <c r="Z35" s="197"/>
      <c r="AA35" s="197"/>
      <c r="AB35" s="197"/>
      <c r="AC35" s="197"/>
      <c r="AD35" s="199"/>
      <c r="AE35" s="199"/>
    </row>
    <row r="36" spans="1:34" x14ac:dyDescent="0.2">
      <c r="A36" s="600">
        <v>0</v>
      </c>
      <c r="B36" s="582">
        <v>0</v>
      </c>
      <c r="C36" s="582">
        <v>0</v>
      </c>
      <c r="D36" s="582">
        <v>0</v>
      </c>
      <c r="E36" s="582">
        <v>0</v>
      </c>
      <c r="F36" s="64"/>
      <c r="G36" s="64"/>
      <c r="O36" s="582">
        <v>0</v>
      </c>
      <c r="P36" s="582">
        <v>0</v>
      </c>
      <c r="Q36" s="582">
        <v>0</v>
      </c>
      <c r="R36" s="582">
        <v>0</v>
      </c>
      <c r="S36" s="191" t="s">
        <v>127</v>
      </c>
      <c r="Y36" s="197"/>
      <c r="Z36" s="197"/>
      <c r="AA36" s="197"/>
      <c r="AB36" s="197"/>
      <c r="AC36" s="197"/>
      <c r="AD36" s="199"/>
      <c r="AE36" s="199"/>
    </row>
    <row r="37" spans="1:34" x14ac:dyDescent="0.2">
      <c r="A37" s="601"/>
      <c r="B37" s="583"/>
      <c r="C37" s="583"/>
      <c r="D37" s="583"/>
      <c r="E37" s="583"/>
      <c r="F37" s="64"/>
      <c r="G37" s="64"/>
      <c r="O37" s="583"/>
      <c r="P37" s="583"/>
      <c r="Q37" s="583"/>
      <c r="R37" s="583"/>
      <c r="S37" s="191"/>
      <c r="Y37" s="197"/>
      <c r="Z37" s="197"/>
      <c r="AA37" s="197"/>
      <c r="AB37" s="197"/>
      <c r="AC37" s="197"/>
      <c r="AD37" s="199"/>
      <c r="AE37" s="199"/>
    </row>
    <row r="38" spans="1:34" ht="13.5" thickBot="1" x14ac:dyDescent="0.25">
      <c r="A38" s="600">
        <v>0</v>
      </c>
      <c r="B38" s="582">
        <v>0</v>
      </c>
      <c r="C38" s="582">
        <v>0</v>
      </c>
      <c r="D38" s="582">
        <v>0</v>
      </c>
      <c r="E38" s="582">
        <v>0</v>
      </c>
      <c r="F38" s="64"/>
      <c r="G38" s="64"/>
      <c r="H38" s="589" t="s">
        <v>188</v>
      </c>
      <c r="I38" s="592">
        <v>0</v>
      </c>
      <c r="O38" s="582">
        <v>0</v>
      </c>
      <c r="P38" s="582">
        <v>0</v>
      </c>
      <c r="Q38" s="582">
        <v>0</v>
      </c>
      <c r="R38" s="582">
        <v>0</v>
      </c>
      <c r="S38" s="191" t="s">
        <v>125</v>
      </c>
      <c r="X38" s="199"/>
      <c r="AB38" s="197"/>
      <c r="AC38" s="197"/>
      <c r="AD38" s="199"/>
      <c r="AE38" s="199"/>
    </row>
    <row r="39" spans="1:34" x14ac:dyDescent="0.2">
      <c r="A39" s="601"/>
      <c r="B39" s="583"/>
      <c r="C39" s="583"/>
      <c r="D39" s="583"/>
      <c r="E39" s="583"/>
      <c r="F39" s="64"/>
      <c r="G39" s="64"/>
      <c r="H39" s="590"/>
      <c r="I39" s="593"/>
      <c r="K39" s="584">
        <v>0</v>
      </c>
      <c r="O39" s="583"/>
      <c r="P39" s="583"/>
      <c r="Q39" s="583"/>
      <c r="R39" s="583"/>
      <c r="S39" s="191"/>
      <c r="X39" s="199"/>
      <c r="AB39" s="197"/>
      <c r="AC39" s="197"/>
      <c r="AD39" s="199"/>
      <c r="AE39" s="199"/>
    </row>
    <row r="40" spans="1:34" ht="13.15" customHeight="1" thickBot="1" x14ac:dyDescent="0.25">
      <c r="A40" s="580" t="s">
        <v>227</v>
      </c>
      <c r="B40" s="586" t="s">
        <v>130</v>
      </c>
      <c r="C40" s="586" t="s">
        <v>129</v>
      </c>
      <c r="D40" s="586" t="s">
        <v>125</v>
      </c>
      <c r="E40" s="586" t="s">
        <v>131</v>
      </c>
      <c r="F40" s="64"/>
      <c r="G40" s="64"/>
      <c r="H40" s="590"/>
      <c r="I40" s="593"/>
      <c r="K40" s="585"/>
      <c r="O40" s="582">
        <v>0</v>
      </c>
      <c r="P40" s="582">
        <v>0</v>
      </c>
      <c r="Q40" s="582">
        <v>0</v>
      </c>
      <c r="R40" s="582">
        <v>0</v>
      </c>
      <c r="S40" s="191" t="s">
        <v>124</v>
      </c>
      <c r="X40" s="199"/>
      <c r="Y40" s="197"/>
      <c r="Z40" s="197"/>
      <c r="AA40" s="197"/>
      <c r="AB40" s="197"/>
      <c r="AC40" s="197"/>
      <c r="AD40" s="199"/>
      <c r="AE40" s="199"/>
    </row>
    <row r="41" spans="1:34" x14ac:dyDescent="0.2">
      <c r="A41" s="581"/>
      <c r="B41" s="581"/>
      <c r="C41" s="587"/>
      <c r="D41" s="588"/>
      <c r="E41" s="587"/>
      <c r="H41" s="590"/>
      <c r="I41" s="593"/>
      <c r="K41" s="608" t="s">
        <v>242</v>
      </c>
      <c r="O41" s="583"/>
      <c r="P41" s="583"/>
      <c r="Q41" s="583"/>
      <c r="R41" s="583"/>
      <c r="S41" s="191"/>
      <c r="W41" s="199"/>
      <c r="X41" s="199"/>
      <c r="Y41" s="199"/>
      <c r="Z41" s="199"/>
      <c r="AA41" s="199"/>
      <c r="AB41" s="199"/>
      <c r="AC41" s="199"/>
      <c r="AD41" s="199"/>
      <c r="AE41" s="199"/>
      <c r="AF41" s="199"/>
      <c r="AG41" s="199"/>
      <c r="AH41" s="199"/>
    </row>
    <row r="42" spans="1:34" ht="13.15" customHeight="1" x14ac:dyDescent="0.2">
      <c r="A42" s="581"/>
      <c r="B42" s="581"/>
      <c r="C42" s="587"/>
      <c r="D42" s="588"/>
      <c r="E42" s="587"/>
      <c r="H42" s="590"/>
      <c r="I42" s="593"/>
      <c r="K42" s="609"/>
      <c r="O42" s="582">
        <v>0</v>
      </c>
      <c r="P42" s="582">
        <v>0</v>
      </c>
      <c r="Q42" s="582">
        <v>0</v>
      </c>
      <c r="R42" s="582">
        <v>0</v>
      </c>
      <c r="S42" s="191" t="s">
        <v>126</v>
      </c>
      <c r="W42" s="199"/>
      <c r="X42" s="199"/>
      <c r="Y42" s="199"/>
      <c r="Z42" s="199"/>
      <c r="AA42" s="199"/>
      <c r="AB42" s="199"/>
      <c r="AC42" s="199"/>
      <c r="AD42" s="199"/>
      <c r="AE42" s="199"/>
      <c r="AF42" s="199"/>
      <c r="AG42" s="199"/>
      <c r="AH42" s="199"/>
    </row>
    <row r="43" spans="1:34" x14ac:dyDescent="0.2">
      <c r="A43" s="581"/>
      <c r="B43" s="581"/>
      <c r="C43" s="587"/>
      <c r="D43" s="588"/>
      <c r="E43" s="587"/>
      <c r="H43" s="590"/>
      <c r="I43" s="593"/>
      <c r="K43" s="609"/>
      <c r="O43" s="583"/>
      <c r="P43" s="583"/>
      <c r="Q43" s="583"/>
      <c r="R43" s="583"/>
      <c r="S43" s="191"/>
      <c r="W43" s="199"/>
      <c r="X43" s="199"/>
      <c r="Y43" s="199"/>
      <c r="Z43" s="199"/>
      <c r="AA43" s="199"/>
      <c r="AB43" s="199"/>
      <c r="AC43" s="199"/>
      <c r="AD43" s="199"/>
      <c r="AE43" s="199"/>
      <c r="AF43" s="203"/>
      <c r="AG43" s="199"/>
    </row>
    <row r="44" spans="1:34" ht="13.15" customHeight="1" x14ac:dyDescent="0.2">
      <c r="A44" s="581"/>
      <c r="B44" s="581"/>
      <c r="C44" s="587"/>
      <c r="D44" s="588"/>
      <c r="E44" s="587"/>
      <c r="H44" s="590"/>
      <c r="I44" s="593"/>
      <c r="K44" s="609"/>
      <c r="O44" s="598">
        <v>0</v>
      </c>
      <c r="P44" s="598">
        <v>0</v>
      </c>
      <c r="Q44" s="598">
        <v>0</v>
      </c>
      <c r="R44" s="600">
        <v>0</v>
      </c>
      <c r="S44" s="196" t="s">
        <v>9</v>
      </c>
      <c r="Y44" s="199"/>
      <c r="Z44" s="199"/>
      <c r="AA44" s="199"/>
      <c r="AB44" s="199"/>
      <c r="AC44" s="199"/>
      <c r="AD44" s="199"/>
      <c r="AE44" s="199"/>
      <c r="AF44" s="198"/>
      <c r="AG44" s="199"/>
    </row>
    <row r="45" spans="1:34" x14ac:dyDescent="0.2">
      <c r="A45" s="581"/>
      <c r="B45" s="581"/>
      <c r="C45" s="587"/>
      <c r="D45" s="588"/>
      <c r="E45" s="587"/>
      <c r="H45" s="590"/>
      <c r="I45" s="593"/>
      <c r="K45" s="609"/>
      <c r="O45" s="599"/>
      <c r="P45" s="599"/>
      <c r="Q45" s="599"/>
      <c r="R45" s="601"/>
      <c r="S45" s="362"/>
      <c r="Y45" s="199"/>
      <c r="Z45" s="199"/>
      <c r="AA45" s="199"/>
      <c r="AB45" s="199"/>
      <c r="AC45" s="199"/>
      <c r="AD45" s="199"/>
      <c r="AE45" s="199"/>
      <c r="AF45" s="198"/>
      <c r="AG45" s="199"/>
    </row>
    <row r="46" spans="1:34" ht="13.5" thickBot="1" x14ac:dyDescent="0.25">
      <c r="A46" s="581"/>
      <c r="B46" s="581"/>
      <c r="C46" s="587"/>
      <c r="D46" s="588"/>
      <c r="E46" s="587"/>
      <c r="H46" s="591"/>
      <c r="I46" s="593"/>
      <c r="K46" s="609"/>
      <c r="AE46" s="199"/>
      <c r="AF46" s="198"/>
      <c r="AG46" s="199"/>
    </row>
    <row r="47" spans="1:34" ht="13.5" thickBot="1" x14ac:dyDescent="0.25">
      <c r="A47" s="581"/>
      <c r="K47" s="609"/>
      <c r="M47" s="345" t="s">
        <v>203</v>
      </c>
      <c r="N47" s="346"/>
      <c r="O47" s="346"/>
      <c r="P47" s="575" t="s">
        <v>202</v>
      </c>
      <c r="Q47" s="574"/>
      <c r="R47" s="573" t="s">
        <v>44</v>
      </c>
      <c r="S47" s="574"/>
      <c r="T47" s="610" t="s">
        <v>199</v>
      </c>
      <c r="U47" s="611"/>
      <c r="AE47" s="199"/>
      <c r="AF47" s="198"/>
      <c r="AG47" s="199"/>
    </row>
    <row r="48" spans="1:34" ht="14.25" thickTop="1" thickBot="1" x14ac:dyDescent="0.25">
      <c r="K48" s="609"/>
      <c r="M48" s="360" t="s">
        <v>200</v>
      </c>
      <c r="N48" s="241"/>
      <c r="O48" s="361"/>
      <c r="P48" s="576">
        <v>1130</v>
      </c>
      <c r="Q48" s="577"/>
      <c r="R48" s="602">
        <v>1130</v>
      </c>
      <c r="S48" s="604"/>
      <c r="T48" s="602">
        <v>1333</v>
      </c>
      <c r="U48" s="603"/>
      <c r="AE48" s="199"/>
      <c r="AF48" s="198"/>
      <c r="AG48" s="199"/>
    </row>
    <row r="49" spans="1:34" ht="13.5" thickBot="1" x14ac:dyDescent="0.25">
      <c r="A49" s="259" t="s">
        <v>20</v>
      </c>
      <c r="B49" s="258"/>
      <c r="C49" s="7"/>
      <c r="D49" s="86"/>
      <c r="E49" s="86"/>
      <c r="F49" s="28" t="s">
        <v>44</v>
      </c>
      <c r="G49" s="64"/>
      <c r="H49" s="14"/>
      <c r="I49" s="558"/>
      <c r="J49" s="559"/>
      <c r="K49" s="609"/>
      <c r="M49" s="291" t="s">
        <v>201</v>
      </c>
      <c r="N49" s="344"/>
      <c r="O49" s="344"/>
      <c r="P49" s="578">
        <v>1E-3</v>
      </c>
      <c r="Q49" s="579"/>
      <c r="R49" s="605">
        <v>1E-3</v>
      </c>
      <c r="S49" s="607"/>
      <c r="T49" s="605">
        <v>8.0000000000000004E-4</v>
      </c>
      <c r="U49" s="606"/>
      <c r="AE49" s="199"/>
      <c r="AF49" s="198"/>
      <c r="AG49" s="199"/>
    </row>
    <row r="50" spans="1:34" ht="17.25" thickTop="1" thickBot="1" x14ac:dyDescent="0.35">
      <c r="A50" s="54" t="s">
        <v>15</v>
      </c>
      <c r="B50" s="256"/>
      <c r="C50" s="254" t="s">
        <v>16</v>
      </c>
      <c r="D50" s="594">
        <v>1</v>
      </c>
      <c r="E50" s="595"/>
      <c r="F50" s="41">
        <v>1</v>
      </c>
      <c r="G50" s="64"/>
      <c r="H50" s="140"/>
      <c r="I50" s="466"/>
      <c r="J50" s="559"/>
      <c r="K50" s="337"/>
      <c r="L50" s="338"/>
      <c r="M50" s="363" t="s">
        <v>204</v>
      </c>
      <c r="N50" s="364"/>
      <c r="O50" s="364"/>
      <c r="P50" s="575" t="s">
        <v>202</v>
      </c>
      <c r="Q50" s="574"/>
      <c r="R50" s="573" t="s">
        <v>44</v>
      </c>
      <c r="S50" s="574"/>
      <c r="T50" s="610" t="s">
        <v>199</v>
      </c>
      <c r="U50" s="611"/>
      <c r="AE50" s="199"/>
      <c r="AF50" s="198"/>
      <c r="AG50" s="199"/>
    </row>
    <row r="51" spans="1:34" ht="16.5" thickTop="1" x14ac:dyDescent="0.3">
      <c r="A51" s="55" t="s">
        <v>21</v>
      </c>
      <c r="B51" s="257"/>
      <c r="C51" s="254" t="s">
        <v>14</v>
      </c>
      <c r="D51" s="596">
        <v>1.5</v>
      </c>
      <c r="E51" s="597"/>
      <c r="F51" s="87">
        <v>1.5</v>
      </c>
      <c r="G51" s="64"/>
      <c r="H51" s="73"/>
      <c r="I51" s="466"/>
      <c r="J51" s="559"/>
      <c r="K51" s="337"/>
      <c r="L51" s="338"/>
      <c r="M51" s="360" t="s">
        <v>200</v>
      </c>
      <c r="N51" s="241"/>
      <c r="O51" s="361"/>
      <c r="P51" s="576">
        <v>1130</v>
      </c>
      <c r="Q51" s="577"/>
      <c r="R51" s="602">
        <v>1130</v>
      </c>
      <c r="S51" s="604"/>
      <c r="T51" s="602">
        <v>1333</v>
      </c>
      <c r="U51" s="603"/>
      <c r="AE51" s="199"/>
      <c r="AF51" s="199"/>
      <c r="AG51" s="199"/>
    </row>
    <row r="52" spans="1:34" ht="16.5" thickBot="1" x14ac:dyDescent="0.35">
      <c r="A52" s="56" t="s">
        <v>22</v>
      </c>
      <c r="B52" s="60"/>
      <c r="C52" s="255" t="s">
        <v>17</v>
      </c>
      <c r="D52" s="622">
        <v>2</v>
      </c>
      <c r="E52" s="623"/>
      <c r="F52" s="88">
        <v>2</v>
      </c>
      <c r="G52" s="64"/>
      <c r="H52" s="557"/>
      <c r="I52" s="560"/>
      <c r="J52" s="561"/>
      <c r="K52" s="339"/>
      <c r="L52" s="340"/>
      <c r="M52" s="291" t="s">
        <v>201</v>
      </c>
      <c r="N52" s="344"/>
      <c r="O52" s="344"/>
      <c r="P52" s="578">
        <v>1E-3</v>
      </c>
      <c r="Q52" s="579"/>
      <c r="R52" s="605">
        <v>1E-3</v>
      </c>
      <c r="S52" s="607"/>
      <c r="T52" s="605">
        <v>8.0000000000000004E-4</v>
      </c>
      <c r="U52" s="606"/>
      <c r="AF52" s="199"/>
      <c r="AG52" s="199"/>
      <c r="AH52" s="199"/>
    </row>
    <row r="53" spans="1:34" ht="3.6" customHeight="1" x14ac:dyDescent="0.2">
      <c r="J53" s="68"/>
      <c r="K53" s="68"/>
    </row>
    <row r="54" spans="1:34" x14ac:dyDescent="0.2">
      <c r="H54" t="str">
        <f>Singlelane!B6</f>
        <v>Project Name</v>
      </c>
    </row>
    <row r="56" spans="1:34" x14ac:dyDescent="0.2">
      <c r="A56" s="204"/>
      <c r="B56" s="203"/>
      <c r="C56" s="203"/>
      <c r="D56" s="203"/>
      <c r="E56" s="203"/>
    </row>
    <row r="57" spans="1:34" x14ac:dyDescent="0.2">
      <c r="A57" s="205"/>
      <c r="B57" s="197"/>
      <c r="C57" s="198"/>
      <c r="D57" s="205"/>
      <c r="E57" s="198"/>
      <c r="V57" s="335"/>
    </row>
    <row r="58" spans="1:34" x14ac:dyDescent="0.2">
      <c r="A58" s="205"/>
      <c r="B58" s="197"/>
      <c r="C58" s="198"/>
      <c r="D58" s="205"/>
      <c r="E58" s="198"/>
    </row>
    <row r="59" spans="1:34" x14ac:dyDescent="0.2">
      <c r="A59" s="205"/>
      <c r="B59" s="197"/>
      <c r="C59" s="198"/>
      <c r="D59" s="205"/>
      <c r="E59" s="198"/>
    </row>
    <row r="60" spans="1:34" x14ac:dyDescent="0.2">
      <c r="A60" s="205"/>
      <c r="B60" s="197"/>
      <c r="C60" s="198"/>
      <c r="D60" s="205"/>
      <c r="E60" s="198"/>
    </row>
    <row r="61" spans="1:34" x14ac:dyDescent="0.2">
      <c r="A61" s="205"/>
      <c r="B61" s="197"/>
      <c r="C61" s="198"/>
      <c r="D61" s="205"/>
      <c r="E61" s="198"/>
      <c r="K61"/>
    </row>
    <row r="62" spans="1:34" x14ac:dyDescent="0.2">
      <c r="A62" s="205"/>
      <c r="B62" s="197"/>
      <c r="C62" s="198"/>
      <c r="D62" s="205"/>
      <c r="E62" s="198"/>
    </row>
    <row r="63" spans="1:34" x14ac:dyDescent="0.2">
      <c r="A63" s="192"/>
      <c r="B63" s="193"/>
      <c r="C63" s="193"/>
      <c r="D63" s="193"/>
      <c r="E63" s="193"/>
      <c r="F63" s="68"/>
      <c r="G63" s="68"/>
      <c r="H63" s="194"/>
      <c r="I63" s="68"/>
      <c r="J63" s="68"/>
      <c r="K63" s="68"/>
      <c r="L63" s="68"/>
      <c r="M63" s="68"/>
      <c r="N63" s="68"/>
      <c r="O63" s="68"/>
      <c r="P63" s="68"/>
      <c r="Q63" s="68"/>
    </row>
    <row r="64" spans="1:34" x14ac:dyDescent="0.2">
      <c r="A64" s="68"/>
      <c r="B64" s="68"/>
      <c r="C64" s="68"/>
      <c r="D64" s="68"/>
      <c r="E64" s="68"/>
      <c r="F64" s="68"/>
      <c r="G64" s="68"/>
      <c r="H64" s="68"/>
      <c r="I64" s="68"/>
      <c r="J64" s="195"/>
      <c r="K64" s="195"/>
      <c r="L64" s="68"/>
      <c r="M64" s="68"/>
      <c r="N64" s="68"/>
      <c r="O64" s="68"/>
      <c r="P64" s="68"/>
      <c r="Q64" s="68"/>
    </row>
    <row r="65" spans="1:17" x14ac:dyDescent="0.2">
      <c r="A65" s="68"/>
      <c r="B65" s="68"/>
      <c r="C65" s="68"/>
      <c r="D65" s="68"/>
      <c r="E65" s="68"/>
      <c r="F65" s="68"/>
      <c r="G65" s="68"/>
      <c r="H65" s="68"/>
      <c r="I65" s="68"/>
      <c r="J65" s="185"/>
      <c r="K65" s="185"/>
      <c r="L65" s="68"/>
      <c r="M65" s="68"/>
      <c r="N65" s="68"/>
      <c r="O65" s="68"/>
      <c r="P65" s="68"/>
      <c r="Q65" s="68"/>
    </row>
    <row r="66" spans="1:17" x14ac:dyDescent="0.2">
      <c r="A66" s="68"/>
      <c r="B66" s="68"/>
      <c r="C66" s="68"/>
      <c r="D66" s="68"/>
      <c r="E66" s="68"/>
      <c r="F66" s="68"/>
      <c r="G66" s="68"/>
      <c r="H66" s="68"/>
      <c r="I66" s="68"/>
      <c r="J66" s="185"/>
      <c r="K66" s="185"/>
      <c r="L66" s="68"/>
      <c r="M66" s="68"/>
      <c r="N66" s="68"/>
      <c r="O66" s="68"/>
      <c r="P66" s="68"/>
      <c r="Q66" s="68"/>
    </row>
    <row r="67" spans="1:17" x14ac:dyDescent="0.2">
      <c r="A67" s="68"/>
      <c r="B67" s="68"/>
      <c r="C67" s="68"/>
      <c r="D67" s="68"/>
      <c r="E67" s="68"/>
      <c r="F67" s="68"/>
      <c r="G67" s="68"/>
      <c r="H67" s="68"/>
      <c r="I67" s="68"/>
      <c r="J67" s="185"/>
      <c r="K67" s="185"/>
      <c r="L67" s="68"/>
      <c r="M67" s="68"/>
      <c r="N67" s="68"/>
      <c r="O67" s="68"/>
      <c r="P67" s="68"/>
      <c r="Q67" s="68"/>
    </row>
    <row r="68" spans="1:17" x14ac:dyDescent="0.2">
      <c r="A68" s="68"/>
      <c r="B68" s="68"/>
      <c r="C68" s="68"/>
      <c r="D68" s="68"/>
      <c r="E68" s="68"/>
      <c r="F68" s="68"/>
      <c r="G68" s="68"/>
      <c r="H68" s="68"/>
      <c r="I68" s="68"/>
      <c r="J68" s="185"/>
      <c r="K68" s="185"/>
      <c r="L68" s="68"/>
      <c r="M68" s="68"/>
      <c r="N68" s="68"/>
      <c r="O68" s="68"/>
      <c r="P68" s="68"/>
      <c r="Q68" s="68"/>
    </row>
    <row r="69" spans="1:17" x14ac:dyDescent="0.2">
      <c r="A69" s="68"/>
      <c r="B69" s="68"/>
      <c r="C69" s="68"/>
      <c r="D69" s="68"/>
      <c r="E69" s="68"/>
      <c r="F69" s="68"/>
      <c r="G69" s="68"/>
      <c r="H69" s="68"/>
      <c r="I69" s="68"/>
      <c r="J69" s="185"/>
      <c r="K69" s="185"/>
      <c r="L69" s="68"/>
      <c r="M69" s="68"/>
      <c r="N69" s="68"/>
      <c r="O69" s="68"/>
      <c r="P69" s="68"/>
      <c r="Q69" s="68"/>
    </row>
    <row r="70" spans="1:17" x14ac:dyDescent="0.2">
      <c r="A70" s="68"/>
      <c r="B70" s="68"/>
      <c r="C70" s="68"/>
      <c r="D70" s="68"/>
      <c r="E70" s="68"/>
      <c r="F70" s="68"/>
      <c r="G70" s="68"/>
      <c r="H70" s="68"/>
      <c r="I70" s="68"/>
      <c r="J70" s="185"/>
      <c r="K70" s="185"/>
      <c r="L70" s="68"/>
      <c r="M70" s="68"/>
      <c r="N70" s="68"/>
      <c r="O70" s="68"/>
      <c r="P70" s="68"/>
      <c r="Q70" s="68"/>
    </row>
    <row r="71" spans="1:17" x14ac:dyDescent="0.2">
      <c r="A71" s="68"/>
      <c r="B71" s="68"/>
      <c r="C71" s="68"/>
      <c r="D71" s="68"/>
      <c r="E71" s="68"/>
      <c r="F71" s="68"/>
      <c r="G71" s="68"/>
      <c r="H71" s="68"/>
      <c r="I71" s="68"/>
      <c r="J71" s="185"/>
      <c r="K71" s="185"/>
      <c r="L71" s="68"/>
      <c r="M71" s="68"/>
      <c r="N71" s="68"/>
      <c r="O71" s="68"/>
      <c r="P71" s="68"/>
      <c r="Q71" s="68"/>
    </row>
    <row r="72" spans="1:17" x14ac:dyDescent="0.2">
      <c r="A72" s="68"/>
      <c r="B72" s="68"/>
      <c r="C72" s="68"/>
      <c r="D72" s="68"/>
      <c r="E72" s="68"/>
      <c r="F72" s="68"/>
      <c r="G72" s="68"/>
      <c r="H72" s="68"/>
      <c r="I72" s="68"/>
      <c r="J72" s="185"/>
      <c r="K72" s="185"/>
      <c r="L72" s="68"/>
      <c r="M72" s="68"/>
      <c r="N72" s="68"/>
      <c r="O72" s="68"/>
      <c r="P72" s="68"/>
      <c r="Q72" s="68"/>
    </row>
    <row r="73" spans="1:17" x14ac:dyDescent="0.2">
      <c r="A73" s="68"/>
      <c r="B73" s="68"/>
      <c r="C73" s="68"/>
      <c r="D73" s="68"/>
      <c r="E73" s="68"/>
      <c r="F73" s="68"/>
      <c r="G73" s="68"/>
      <c r="H73" s="68"/>
      <c r="I73" s="68"/>
      <c r="J73" s="185"/>
      <c r="K73" s="185"/>
      <c r="L73" s="68"/>
      <c r="M73" s="68"/>
      <c r="N73" s="68"/>
      <c r="O73" s="68"/>
      <c r="P73" s="68"/>
      <c r="Q73" s="68"/>
    </row>
    <row r="74" spans="1:17" x14ac:dyDescent="0.2">
      <c r="A74" s="68"/>
      <c r="B74" s="68"/>
      <c r="C74" s="68"/>
      <c r="D74" s="68"/>
      <c r="E74" s="68"/>
      <c r="F74" s="68"/>
      <c r="G74" s="68"/>
      <c r="H74" s="68"/>
      <c r="I74" s="68"/>
      <c r="J74" s="185"/>
      <c r="K74" s="185"/>
      <c r="L74" s="68"/>
      <c r="M74" s="68"/>
      <c r="N74" s="68"/>
      <c r="O74" s="68"/>
      <c r="P74" s="68"/>
      <c r="Q74" s="68"/>
    </row>
    <row r="75" spans="1:17" x14ac:dyDescent="0.2">
      <c r="A75" s="68"/>
      <c r="B75" s="68"/>
      <c r="C75" s="68"/>
      <c r="D75" s="68"/>
      <c r="E75" s="68"/>
      <c r="F75" s="68"/>
      <c r="G75" s="68"/>
      <c r="H75" s="68"/>
      <c r="I75" s="68"/>
      <c r="J75" s="68"/>
      <c r="K75" s="68"/>
      <c r="L75" s="68"/>
      <c r="M75" s="68"/>
      <c r="N75" s="68"/>
      <c r="O75" s="68"/>
      <c r="P75" s="68"/>
      <c r="Q75" s="68"/>
    </row>
    <row r="76" spans="1:17" x14ac:dyDescent="0.2">
      <c r="A76" s="68"/>
      <c r="B76" s="68"/>
      <c r="C76" s="68"/>
      <c r="D76" s="68"/>
      <c r="E76" s="68"/>
      <c r="F76" s="68"/>
      <c r="G76" s="68"/>
      <c r="H76" s="68"/>
      <c r="I76" s="68"/>
      <c r="J76" s="68"/>
      <c r="K76" s="68"/>
      <c r="L76" s="68"/>
      <c r="M76" s="68"/>
      <c r="N76" s="68"/>
      <c r="O76" s="68"/>
      <c r="P76" s="68"/>
      <c r="Q76" s="68"/>
    </row>
    <row r="77" spans="1:17" x14ac:dyDescent="0.2">
      <c r="A77" s="68"/>
      <c r="B77" s="68"/>
      <c r="C77" s="68"/>
      <c r="D77" s="68"/>
      <c r="E77" s="68"/>
      <c r="F77" s="68"/>
      <c r="G77" s="68"/>
      <c r="H77" s="68"/>
      <c r="I77" s="68"/>
      <c r="J77" s="68"/>
      <c r="K77" s="68"/>
      <c r="L77" s="68"/>
      <c r="M77" s="68"/>
      <c r="N77" s="68"/>
      <c r="O77" s="68"/>
      <c r="P77" s="68"/>
      <c r="Q77" s="68"/>
    </row>
    <row r="78" spans="1:17" x14ac:dyDescent="0.2">
      <c r="A78" s="68"/>
      <c r="B78" s="68"/>
      <c r="C78" s="68"/>
      <c r="D78" s="68"/>
      <c r="E78" s="68"/>
      <c r="F78" s="68"/>
      <c r="G78" s="68"/>
      <c r="H78" s="68"/>
      <c r="I78" s="68"/>
      <c r="J78" s="68"/>
      <c r="K78" s="68"/>
      <c r="L78" s="68"/>
      <c r="M78" s="68"/>
      <c r="N78" s="68"/>
      <c r="O78" s="68"/>
      <c r="P78" s="68"/>
      <c r="Q78" s="68"/>
    </row>
  </sheetData>
  <mergeCells count="122">
    <mergeCell ref="S18:S19"/>
    <mergeCell ref="U6:U13"/>
    <mergeCell ref="A32:A33"/>
    <mergeCell ref="A34:A35"/>
    <mergeCell ref="A36:A37"/>
    <mergeCell ref="A38:A39"/>
    <mergeCell ref="E8:E9"/>
    <mergeCell ref="F8:F9"/>
    <mergeCell ref="G8:G9"/>
    <mergeCell ref="H8:H9"/>
    <mergeCell ref="B36:B37"/>
    <mergeCell ref="C36:C37"/>
    <mergeCell ref="D36:D37"/>
    <mergeCell ref="B38:B39"/>
    <mergeCell ref="C38:C39"/>
    <mergeCell ref="D38:D39"/>
    <mergeCell ref="B32:B33"/>
    <mergeCell ref="C32:C33"/>
    <mergeCell ref="D32:D33"/>
    <mergeCell ref="B34:B35"/>
    <mergeCell ref="C34:C35"/>
    <mergeCell ref="D34:D35"/>
    <mergeCell ref="E12:E13"/>
    <mergeCell ref="H10:H11"/>
    <mergeCell ref="E14:E15"/>
    <mergeCell ref="E16:E17"/>
    <mergeCell ref="F16:F17"/>
    <mergeCell ref="G16:G17"/>
    <mergeCell ref="H16:H17"/>
    <mergeCell ref="F12:F13"/>
    <mergeCell ref="U14:U15"/>
    <mergeCell ref="U16:U17"/>
    <mergeCell ref="S8:S13"/>
    <mergeCell ref="R8:R13"/>
    <mergeCell ref="T8:T13"/>
    <mergeCell ref="S14:S15"/>
    <mergeCell ref="Q8:Q13"/>
    <mergeCell ref="E10:E11"/>
    <mergeCell ref="F10:F11"/>
    <mergeCell ref="D52:E52"/>
    <mergeCell ref="E40:E46"/>
    <mergeCell ref="E38:E39"/>
    <mergeCell ref="E34:E35"/>
    <mergeCell ref="E32:E33"/>
    <mergeCell ref="S20:S21"/>
    <mergeCell ref="Q18:Q19"/>
    <mergeCell ref="E36:E37"/>
    <mergeCell ref="F14:F15"/>
    <mergeCell ref="Q20:Q21"/>
    <mergeCell ref="R20:R21"/>
    <mergeCell ref="Q14:Q15"/>
    <mergeCell ref="R28:U28"/>
    <mergeCell ref="R18:R19"/>
    <mergeCell ref="U18:U19"/>
    <mergeCell ref="U20:U21"/>
    <mergeCell ref="T16:T17"/>
    <mergeCell ref="T18:T19"/>
    <mergeCell ref="T20:T21"/>
    <mergeCell ref="T14:T15"/>
    <mergeCell ref="S16:S17"/>
    <mergeCell ref="Q16:Q17"/>
    <mergeCell ref="R16:R17"/>
    <mergeCell ref="R14:R15"/>
    <mergeCell ref="G2:H2"/>
    <mergeCell ref="G1:H1"/>
    <mergeCell ref="G3:H3"/>
    <mergeCell ref="G4:H4"/>
    <mergeCell ref="G14:G15"/>
    <mergeCell ref="H14:H15"/>
    <mergeCell ref="H12:H13"/>
    <mergeCell ref="G12:G13"/>
    <mergeCell ref="K11:K12"/>
    <mergeCell ref="G10:G11"/>
    <mergeCell ref="K3:K10"/>
    <mergeCell ref="T48:U48"/>
    <mergeCell ref="R48:S48"/>
    <mergeCell ref="T52:U52"/>
    <mergeCell ref="R52:S52"/>
    <mergeCell ref="O36:O37"/>
    <mergeCell ref="P36:P37"/>
    <mergeCell ref="Q36:Q37"/>
    <mergeCell ref="R36:R37"/>
    <mergeCell ref="K41:K49"/>
    <mergeCell ref="O38:O39"/>
    <mergeCell ref="P38:P39"/>
    <mergeCell ref="Q38:Q39"/>
    <mergeCell ref="R38:R39"/>
    <mergeCell ref="O40:O41"/>
    <mergeCell ref="P40:P41"/>
    <mergeCell ref="Q40:Q41"/>
    <mergeCell ref="T50:U50"/>
    <mergeCell ref="T49:U49"/>
    <mergeCell ref="R49:S49"/>
    <mergeCell ref="R50:S50"/>
    <mergeCell ref="R51:S51"/>
    <mergeCell ref="T51:U51"/>
    <mergeCell ref="P52:Q52"/>
    <mergeCell ref="T47:U47"/>
    <mergeCell ref="R47:S47"/>
    <mergeCell ref="P47:Q47"/>
    <mergeCell ref="P48:Q48"/>
    <mergeCell ref="P49:Q49"/>
    <mergeCell ref="P51:Q51"/>
    <mergeCell ref="P50:Q50"/>
    <mergeCell ref="A40:A47"/>
    <mergeCell ref="R40:R41"/>
    <mergeCell ref="O42:O43"/>
    <mergeCell ref="P42:P43"/>
    <mergeCell ref="Q42:Q43"/>
    <mergeCell ref="R42:R43"/>
    <mergeCell ref="K39:K40"/>
    <mergeCell ref="B40:B46"/>
    <mergeCell ref="C40:C46"/>
    <mergeCell ref="D40:D46"/>
    <mergeCell ref="H38:H46"/>
    <mergeCell ref="I38:I46"/>
    <mergeCell ref="D50:E50"/>
    <mergeCell ref="D51:E51"/>
    <mergeCell ref="O44:O45"/>
    <mergeCell ref="P44:P45"/>
    <mergeCell ref="Q44:Q45"/>
    <mergeCell ref="R44:R45"/>
  </mergeCells>
  <conditionalFormatting sqref="F3">
    <cfRule type="cellIs" dxfId="93" priority="30" stopIfTrue="1" operator="notBetween">
      <formula>0</formula>
      <formula>1</formula>
    </cfRule>
  </conditionalFormatting>
  <conditionalFormatting sqref="E8:H9 A32:A39 O44:R45 U14:U21">
    <cfRule type="cellIs" dxfId="92" priority="22" operator="between">
      <formula>0.001</formula>
      <formula>0.249</formula>
    </cfRule>
    <cfRule type="cellIs" dxfId="91" priority="23" operator="greaterThan">
      <formula>1</formula>
    </cfRule>
  </conditionalFormatting>
  <conditionalFormatting sqref="I52">
    <cfRule type="colorScale" priority="1">
      <colorScale>
        <cfvo type="num" val="-1000000"/>
        <cfvo type="num" val="100000000000"/>
        <color rgb="FFFF0000"/>
        <color rgb="FFFFEF9C"/>
      </colorScale>
    </cfRule>
    <cfRule type="cellIs" dxfId="90" priority="21" operator="greaterThan">
      <formula>1</formula>
    </cfRule>
  </conditionalFormatting>
  <conditionalFormatting sqref="R14:T15">
    <cfRule type="expression" dxfId="89" priority="20">
      <formula>$R$14+$S$14+$T$14&gt;$Q$14</formula>
    </cfRule>
  </conditionalFormatting>
  <conditionalFormatting sqref="R16:T17">
    <cfRule type="expression" dxfId="88" priority="19">
      <formula>$R$16+$S$16+$T$16&gt;$Q$16</formula>
    </cfRule>
  </conditionalFormatting>
  <conditionalFormatting sqref="R18:T19">
    <cfRule type="expression" dxfId="87" priority="18">
      <formula>$R$18+$S$18+$T$18&gt;$Q$18</formula>
    </cfRule>
  </conditionalFormatting>
  <conditionalFormatting sqref="R20:T21">
    <cfRule type="expression" dxfId="86" priority="17">
      <formula>$R$20+$S$20+$T$20&gt;$Q$20</formula>
    </cfRule>
  </conditionalFormatting>
  <conditionalFormatting sqref="O38:O43">
    <cfRule type="expression" dxfId="85" priority="16">
      <formula>$O$38+$O$40+$O$42&gt;$O$36</formula>
    </cfRule>
  </conditionalFormatting>
  <conditionalFormatting sqref="P38:P43">
    <cfRule type="expression" dxfId="84" priority="15">
      <formula>$P$38+$P$40+$P$42&gt;$P$36</formula>
    </cfRule>
  </conditionalFormatting>
  <conditionalFormatting sqref="Q38:Q43">
    <cfRule type="expression" dxfId="83" priority="14">
      <formula>$Q$38+$Q$40+$Q$42&gt;$Q$36</formula>
    </cfRule>
  </conditionalFormatting>
  <conditionalFormatting sqref="R38:R43">
    <cfRule type="expression" dxfId="82" priority="13">
      <formula>$R$38+$R$40+$R$42&gt;$R$36</formula>
    </cfRule>
  </conditionalFormatting>
  <conditionalFormatting sqref="E10:E15">
    <cfRule type="expression" dxfId="81" priority="12">
      <formula>$E$10+$E$12+$E$14&gt;$E$16</formula>
    </cfRule>
  </conditionalFormatting>
  <conditionalFormatting sqref="F10:F15">
    <cfRule type="expression" dxfId="80" priority="11">
      <formula>$F$10+$F$12+$F$14&gt;$F$16</formula>
    </cfRule>
  </conditionalFormatting>
  <conditionalFormatting sqref="G10:G15">
    <cfRule type="expression" dxfId="79" priority="10">
      <formula>$G$10+$G$12+$G$14&gt;$G$16</formula>
    </cfRule>
  </conditionalFormatting>
  <conditionalFormatting sqref="H10:H15">
    <cfRule type="expression" dxfId="78" priority="9">
      <formula>$H$10+$H$12+$H$14&gt;$H$16</formula>
    </cfRule>
  </conditionalFormatting>
  <conditionalFormatting sqref="B32:D33">
    <cfRule type="expression" dxfId="77" priority="8">
      <formula>$B$32+$C$32+$D$32&gt;$E$32</formula>
    </cfRule>
  </conditionalFormatting>
  <conditionalFormatting sqref="B34:D35">
    <cfRule type="expression" dxfId="76" priority="7">
      <formula>$B$34+$C$34+$D$34&gt;$E$34</formula>
    </cfRule>
  </conditionalFormatting>
  <conditionalFormatting sqref="B36:D37">
    <cfRule type="expression" dxfId="75" priority="6">
      <formula>$B$36+$C$36+$D$36&gt;$E$36</formula>
    </cfRule>
  </conditionalFormatting>
  <conditionalFormatting sqref="B38:D39">
    <cfRule type="expression" dxfId="74" priority="5">
      <formula>$B$38+$C$38+$D$38&gt;$E$38</formula>
    </cfRule>
  </conditionalFormatting>
  <conditionalFormatting sqref="D50:E50">
    <cfRule type="cellIs" dxfId="73" priority="4" operator="notEqual">
      <formula>$F$50</formula>
    </cfRule>
  </conditionalFormatting>
  <conditionalFormatting sqref="D51:E51">
    <cfRule type="cellIs" dxfId="72" priority="3" operator="notEqual">
      <formula>$F$51</formula>
    </cfRule>
  </conditionalFormatting>
  <conditionalFormatting sqref="D52:E52">
    <cfRule type="cellIs" dxfId="71" priority="2" operator="notEqual">
      <formula>$F$52</formula>
    </cfRule>
  </conditionalFormatting>
  <dataValidations count="3">
    <dataValidation type="decimal" allowBlank="1" showInputMessage="1" showErrorMessage="1" sqref="F3">
      <formula1>0</formula1>
      <formula2>1</formula2>
    </dataValidation>
    <dataValidation type="list" allowBlank="1" showInputMessage="1" showErrorMessage="1" sqref="F2">
      <formula1>"3,4"</formula1>
    </dataValidation>
    <dataValidation type="list" allowBlank="1" showInputMessage="1" showErrorMessage="1" sqref="G4">
      <formula1>"AM,PM"</formula1>
    </dataValidation>
  </dataValidations>
  <pageMargins left="0.7" right="0.7" top="0.75" bottom="0.75" header="0.3" footer="0.3"/>
  <pageSetup orientation="portrait" r:id="rId1"/>
  <headerFooter>
    <oddHeader>&amp;CSingle Lane Roundabout Input Sheet</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AB116"/>
  <sheetViews>
    <sheetView showGridLines="0" topLeftCell="A37" zoomScaleNormal="100" zoomScalePageLayoutView="75" workbookViewId="0">
      <selection activeCell="D59" sqref="D59"/>
    </sheetView>
  </sheetViews>
  <sheetFormatPr defaultRowHeight="12.75" x14ac:dyDescent="0.2"/>
  <cols>
    <col min="1" max="1" width="6.7109375" customWidth="1"/>
    <col min="2" max="2" width="10.7109375" customWidth="1"/>
    <col min="3" max="3" width="7.7109375" customWidth="1"/>
    <col min="4" max="4" width="6.7109375" customWidth="1"/>
    <col min="5" max="5" width="7.5703125" customWidth="1"/>
    <col min="6" max="6" width="7.140625" customWidth="1"/>
    <col min="7" max="7" width="1.140625" customWidth="1"/>
    <col min="8" max="8" width="6.140625" style="64" customWidth="1"/>
    <col min="9" max="9" width="4.7109375" customWidth="1"/>
    <col min="10" max="10" width="1.28515625" customWidth="1"/>
    <col min="11" max="11" width="8.140625" customWidth="1"/>
    <col min="12" max="12" width="4.85546875" customWidth="1"/>
    <col min="13" max="14" width="7" customWidth="1"/>
    <col min="15" max="15" width="7.7109375" customWidth="1"/>
    <col min="16" max="16" width="7.85546875" customWidth="1"/>
    <col min="18" max="20" width="8.85546875" customWidth="1"/>
    <col min="21" max="23" width="10.5703125" customWidth="1"/>
  </cols>
  <sheetData>
    <row r="1" spans="1:28" ht="13.5" thickBot="1" x14ac:dyDescent="0.25">
      <c r="A1" s="36" t="s">
        <v>11</v>
      </c>
      <c r="B1" s="38"/>
      <c r="C1" s="37"/>
      <c r="E1" s="36" t="s">
        <v>20</v>
      </c>
      <c r="F1" s="7"/>
      <c r="G1" s="40"/>
      <c r="H1" s="86"/>
      <c r="I1" s="28" t="s">
        <v>44</v>
      </c>
      <c r="K1" s="27" t="s">
        <v>42</v>
      </c>
      <c r="L1" s="6"/>
      <c r="M1" s="6"/>
      <c r="N1" s="37"/>
      <c r="O1" s="8"/>
    </row>
    <row r="2" spans="1:28" ht="16.5" thickTop="1" x14ac:dyDescent="0.3">
      <c r="A2" s="99" t="s">
        <v>0</v>
      </c>
      <c r="B2" s="47" t="s">
        <v>263</v>
      </c>
      <c r="C2" s="34"/>
      <c r="E2" s="54" t="s">
        <v>15</v>
      </c>
      <c r="F2" s="61" t="s">
        <v>16</v>
      </c>
      <c r="G2" s="632">
        <f>Input!D50</f>
        <v>1</v>
      </c>
      <c r="H2" s="633"/>
      <c r="I2" s="41">
        <v>1</v>
      </c>
      <c r="K2" s="53" t="s">
        <v>39</v>
      </c>
      <c r="L2" s="57"/>
      <c r="M2" s="58"/>
      <c r="N2" s="468">
        <f>Input!F2</f>
        <v>4</v>
      </c>
      <c r="O2" s="406" t="s">
        <v>48</v>
      </c>
      <c r="P2" s="45">
        <f>IF(SUM(C10:C13)&gt;0,IF(SUM(D10:D13)&gt;0,IF(SUM(E10:E13)&gt;0,IF(SUM(F10:F13)&gt;0,4,3),3),3),3)</f>
        <v>3</v>
      </c>
    </row>
    <row r="3" spans="1:28" ht="16.5" thickBot="1" x14ac:dyDescent="0.35">
      <c r="A3" s="100" t="s">
        <v>19</v>
      </c>
      <c r="B3" s="47" t="s">
        <v>226</v>
      </c>
      <c r="C3" s="34"/>
      <c r="E3" s="55" t="s">
        <v>21</v>
      </c>
      <c r="F3" s="61" t="s">
        <v>14</v>
      </c>
      <c r="G3" s="634">
        <f>Input!D51</f>
        <v>1.5</v>
      </c>
      <c r="H3" s="635"/>
      <c r="I3" s="42">
        <v>1.5</v>
      </c>
      <c r="K3" s="53" t="s">
        <v>29</v>
      </c>
      <c r="L3" s="57"/>
      <c r="M3" s="58"/>
      <c r="N3" s="478">
        <f>Input!F3</f>
        <v>0.25</v>
      </c>
      <c r="O3" s="44"/>
      <c r="P3" s="45"/>
    </row>
    <row r="4" spans="1:28" ht="16.5" thickBot="1" x14ac:dyDescent="0.35">
      <c r="A4" s="100" t="s">
        <v>1</v>
      </c>
      <c r="B4" s="48">
        <v>42269</v>
      </c>
      <c r="C4" s="34"/>
      <c r="E4" s="56" t="s">
        <v>22</v>
      </c>
      <c r="F4" s="62" t="s">
        <v>17</v>
      </c>
      <c r="G4" s="636">
        <f>Input!D52</f>
        <v>2</v>
      </c>
      <c r="H4" s="637"/>
      <c r="I4" s="43">
        <v>2</v>
      </c>
      <c r="K4" s="357" t="s">
        <v>49</v>
      </c>
      <c r="L4" s="479">
        <f>Input!E4</f>
        <v>0</v>
      </c>
      <c r="M4" s="480" t="str">
        <f>Input!F4</f>
        <v>00</v>
      </c>
      <c r="N4" s="359" t="str">
        <f>Input!G4</f>
        <v>PM</v>
      </c>
    </row>
    <row r="5" spans="1:28" ht="13.15" customHeight="1" thickBot="1" x14ac:dyDescent="0.25">
      <c r="A5" s="459" t="s">
        <v>192</v>
      </c>
      <c r="B5" s="645">
        <f>Input!R28</f>
        <v>0</v>
      </c>
      <c r="C5" s="646"/>
      <c r="D5" s="460" t="s">
        <v>193</v>
      </c>
      <c r="E5" s="638">
        <f>Input!I38</f>
        <v>0</v>
      </c>
      <c r="F5" s="638"/>
      <c r="G5" s="638"/>
      <c r="H5" s="638"/>
      <c r="I5" s="403"/>
      <c r="J5" s="8"/>
      <c r="K5" s="80" t="s">
        <v>206</v>
      </c>
      <c r="L5" s="83"/>
      <c r="M5" s="108"/>
      <c r="N5" s="104" t="s">
        <v>12</v>
      </c>
      <c r="O5" s="103"/>
      <c r="P5" s="105"/>
    </row>
    <row r="6" spans="1:28" s="64" customFormat="1" ht="13.15" customHeight="1" thickBot="1" x14ac:dyDescent="0.25">
      <c r="A6" s="415" t="s">
        <v>18</v>
      </c>
      <c r="B6" s="458" t="s">
        <v>264</v>
      </c>
      <c r="C6" s="461"/>
      <c r="E6" s="399" t="s">
        <v>2</v>
      </c>
      <c r="F6" s="400" t="s">
        <v>220</v>
      </c>
      <c r="G6" s="401"/>
      <c r="H6" s="402"/>
      <c r="I6" s="403"/>
      <c r="J6" s="68"/>
      <c r="K6" s="366" t="s">
        <v>205</v>
      </c>
      <c r="L6" s="111"/>
      <c r="M6" s="109" t="s">
        <v>3</v>
      </c>
      <c r="N6" s="106" t="s">
        <v>4</v>
      </c>
      <c r="O6" s="106" t="s">
        <v>5</v>
      </c>
      <c r="P6" s="107" t="s">
        <v>55</v>
      </c>
    </row>
    <row r="7" spans="1:28" ht="13.15" customHeight="1" thickTop="1" thickBot="1" x14ac:dyDescent="0.25">
      <c r="D7" s="32"/>
      <c r="K7" s="404" t="s">
        <v>207</v>
      </c>
      <c r="L7" s="405"/>
      <c r="M7" s="481">
        <f>Input!K11</f>
        <v>0</v>
      </c>
      <c r="N7" s="482">
        <f>Input!U30</f>
        <v>0</v>
      </c>
      <c r="O7" s="482">
        <f>Input!K39</f>
        <v>0</v>
      </c>
      <c r="P7" s="483">
        <f>Input!A23</f>
        <v>0</v>
      </c>
    </row>
    <row r="8" spans="1:28" x14ac:dyDescent="0.2">
      <c r="A8" s="80" t="s">
        <v>41</v>
      </c>
      <c r="B8" s="83"/>
      <c r="C8" s="108"/>
      <c r="D8" s="104" t="s">
        <v>12</v>
      </c>
      <c r="E8" s="103"/>
      <c r="F8" s="105"/>
      <c r="G8" s="8"/>
      <c r="H8" s="73"/>
      <c r="I8" s="73"/>
      <c r="K8" s="25" t="s">
        <v>30</v>
      </c>
      <c r="L8" s="31"/>
      <c r="M8" s="83"/>
      <c r="N8" s="84" t="s">
        <v>12</v>
      </c>
      <c r="O8" s="83"/>
      <c r="P8" s="71"/>
    </row>
    <row r="9" spans="1:28" ht="13.15" customHeight="1" thickBot="1" x14ac:dyDescent="0.25">
      <c r="A9" s="69" t="s">
        <v>57</v>
      </c>
      <c r="B9" s="111"/>
      <c r="C9" s="109" t="s">
        <v>3</v>
      </c>
      <c r="D9" s="106" t="s">
        <v>4</v>
      </c>
      <c r="E9" s="106" t="s">
        <v>5</v>
      </c>
      <c r="F9" s="107" t="s">
        <v>55</v>
      </c>
      <c r="H9" s="75"/>
      <c r="I9" s="466"/>
      <c r="J9" s="8"/>
      <c r="K9" s="139" t="s">
        <v>31</v>
      </c>
      <c r="L9" s="26"/>
      <c r="M9" s="67" t="s">
        <v>3</v>
      </c>
      <c r="N9" s="67" t="s">
        <v>4</v>
      </c>
      <c r="O9" s="67" t="s">
        <v>5</v>
      </c>
      <c r="P9" s="70" t="s">
        <v>55</v>
      </c>
    </row>
    <row r="10" spans="1:28" ht="13.15" customHeight="1" thickTop="1" x14ac:dyDescent="0.2">
      <c r="A10" s="639" t="s">
        <v>13</v>
      </c>
      <c r="B10" s="112" t="s">
        <v>3</v>
      </c>
      <c r="C10" s="469">
        <f>Input!H16</f>
        <v>0</v>
      </c>
      <c r="D10" s="233">
        <f>Input!Q$14</f>
        <v>0</v>
      </c>
      <c r="E10" s="470">
        <f>Input!Q36</f>
        <v>0</v>
      </c>
      <c r="F10" s="471">
        <f>Input!E$34</f>
        <v>0</v>
      </c>
      <c r="G10" s="407" t="s">
        <v>189</v>
      </c>
      <c r="I10" s="329"/>
      <c r="J10" s="1"/>
      <c r="K10" s="639" t="s">
        <v>13</v>
      </c>
      <c r="L10" s="115" t="s">
        <v>3</v>
      </c>
      <c r="M10" s="149">
        <f t="shared" ref="M10:P13" si="0">ROUND(IF(C16=0,0,C10/C16),0)</f>
        <v>0</v>
      </c>
      <c r="N10" s="149">
        <f t="shared" si="0"/>
        <v>0</v>
      </c>
      <c r="O10" s="149">
        <f t="shared" si="0"/>
        <v>0</v>
      </c>
      <c r="P10" s="150">
        <f t="shared" si="0"/>
        <v>0</v>
      </c>
    </row>
    <row r="11" spans="1:28" s="1" customFormat="1" ht="13.15" customHeight="1" x14ac:dyDescent="0.2">
      <c r="A11" s="640"/>
      <c r="B11" s="112" t="s">
        <v>4</v>
      </c>
      <c r="C11" s="472">
        <f>Input!G16</f>
        <v>0</v>
      </c>
      <c r="D11" s="473">
        <f>Input!Q$20</f>
        <v>0</v>
      </c>
      <c r="E11" s="234">
        <f>Input!R36</f>
        <v>0</v>
      </c>
      <c r="F11" s="474">
        <f>Input!E36</f>
        <v>0</v>
      </c>
      <c r="H11" s="330" t="s">
        <v>190</v>
      </c>
      <c r="I11" s="330"/>
      <c r="K11" s="640"/>
      <c r="L11" s="115" t="s">
        <v>4</v>
      </c>
      <c r="M11" s="149">
        <f t="shared" si="0"/>
        <v>0</v>
      </c>
      <c r="N11" s="149">
        <f t="shared" si="0"/>
        <v>0</v>
      </c>
      <c r="O11" s="149">
        <f t="shared" si="0"/>
        <v>0</v>
      </c>
      <c r="P11" s="150">
        <f t="shared" si="0"/>
        <v>0</v>
      </c>
      <c r="AB11" s="98"/>
    </row>
    <row r="12" spans="1:28" s="1" customFormat="1" ht="13.9" customHeight="1" x14ac:dyDescent="0.2">
      <c r="A12" s="640"/>
      <c r="B12" s="112" t="s">
        <v>5</v>
      </c>
      <c r="C12" s="472">
        <f>Input!F16</f>
        <v>0</v>
      </c>
      <c r="D12" s="473">
        <f>Input!Q$18</f>
        <v>0</v>
      </c>
      <c r="E12" s="473">
        <f>Input!O36</f>
        <v>0</v>
      </c>
      <c r="F12" s="235">
        <f>Input!E$38</f>
        <v>0</v>
      </c>
      <c r="G12" s="330"/>
      <c r="H12" s="330" t="s">
        <v>191</v>
      </c>
      <c r="I12" s="330"/>
      <c r="J12"/>
      <c r="K12" s="640"/>
      <c r="L12" s="115" t="s">
        <v>5</v>
      </c>
      <c r="M12" s="149">
        <f t="shared" si="0"/>
        <v>0</v>
      </c>
      <c r="N12" s="149">
        <f t="shared" si="0"/>
        <v>0</v>
      </c>
      <c r="O12" s="149">
        <f t="shared" si="0"/>
        <v>0</v>
      </c>
      <c r="P12" s="150">
        <f t="shared" si="0"/>
        <v>0</v>
      </c>
    </row>
    <row r="13" spans="1:28" ht="13.9" customHeight="1" thickBot="1" x14ac:dyDescent="0.25">
      <c r="A13" s="641"/>
      <c r="B13" s="113" t="s">
        <v>55</v>
      </c>
      <c r="C13" s="220">
        <f>Input!E16</f>
        <v>0</v>
      </c>
      <c r="D13" s="166">
        <f>Input!Q$16</f>
        <v>0</v>
      </c>
      <c r="E13" s="166">
        <f>Input!P36</f>
        <v>0</v>
      </c>
      <c r="F13" s="476">
        <f>Input!E32</f>
        <v>0</v>
      </c>
      <c r="G13" s="330"/>
      <c r="K13" s="641"/>
      <c r="L13" s="116" t="s">
        <v>55</v>
      </c>
      <c r="M13" s="151">
        <f t="shared" si="0"/>
        <v>0</v>
      </c>
      <c r="N13" s="151">
        <f t="shared" si="0"/>
        <v>0</v>
      </c>
      <c r="O13" s="151">
        <f t="shared" si="0"/>
        <v>0</v>
      </c>
      <c r="P13" s="152">
        <f t="shared" si="0"/>
        <v>0</v>
      </c>
    </row>
    <row r="14" spans="1:28" x14ac:dyDescent="0.2">
      <c r="A14" s="80" t="s">
        <v>47</v>
      </c>
      <c r="B14" s="83"/>
      <c r="C14" s="83"/>
      <c r="D14" s="84" t="s">
        <v>12</v>
      </c>
      <c r="E14" s="83"/>
      <c r="F14" s="71"/>
      <c r="H14" s="14"/>
      <c r="I14" s="73"/>
      <c r="J14" s="135"/>
      <c r="K14" s="80" t="s">
        <v>84</v>
      </c>
      <c r="L14" s="83"/>
      <c r="M14" s="83"/>
      <c r="N14" s="84" t="s">
        <v>12</v>
      </c>
      <c r="O14" s="83"/>
      <c r="P14" s="71"/>
    </row>
    <row r="15" spans="1:28" ht="13.15" customHeight="1" thickBot="1" x14ac:dyDescent="0.25">
      <c r="A15" s="293" t="s">
        <v>9</v>
      </c>
      <c r="B15" s="373"/>
      <c r="C15" s="67" t="s">
        <v>3</v>
      </c>
      <c r="D15" s="67" t="s">
        <v>4</v>
      </c>
      <c r="E15" s="67" t="s">
        <v>5</v>
      </c>
      <c r="F15" s="70" t="s">
        <v>55</v>
      </c>
      <c r="H15" s="140"/>
      <c r="I15" s="73"/>
      <c r="J15" s="11"/>
      <c r="K15" s="293" t="s">
        <v>32</v>
      </c>
      <c r="L15" s="81"/>
      <c r="M15" s="67" t="s">
        <v>3</v>
      </c>
      <c r="N15" s="67" t="s">
        <v>4</v>
      </c>
      <c r="O15" s="67" t="s">
        <v>5</v>
      </c>
      <c r="P15" s="70" t="s">
        <v>55</v>
      </c>
    </row>
    <row r="16" spans="1:28" ht="13.9" customHeight="1" thickTop="1" x14ac:dyDescent="0.2">
      <c r="A16" s="639" t="s">
        <v>13</v>
      </c>
      <c r="B16" s="115" t="s">
        <v>3</v>
      </c>
      <c r="C16" s="477">
        <f>Input!H8</f>
        <v>0</v>
      </c>
      <c r="D16" s="477">
        <f>Input!U14</f>
        <v>0</v>
      </c>
      <c r="E16" s="477">
        <f>Input!Q44</f>
        <v>0</v>
      </c>
      <c r="F16" s="477">
        <f>Input!A34</f>
        <v>0</v>
      </c>
      <c r="H16" s="73"/>
      <c r="I16" s="73"/>
      <c r="K16" s="639" t="s">
        <v>13</v>
      </c>
      <c r="L16" s="214" t="s">
        <v>3</v>
      </c>
      <c r="M16" s="153">
        <f t="shared" ref="M16:P19" si="1">ROUND(1/(1+(M22*($G$2-1))+(M28*($G$3-1))+(M34*($G$4-1))),3)</f>
        <v>1</v>
      </c>
      <c r="N16" s="153">
        <f t="shared" si="1"/>
        <v>1</v>
      </c>
      <c r="O16" s="153">
        <f t="shared" si="1"/>
        <v>1</v>
      </c>
      <c r="P16" s="387">
        <f t="shared" si="1"/>
        <v>1</v>
      </c>
    </row>
    <row r="17" spans="1:20" ht="13.15" customHeight="1" x14ac:dyDescent="0.2">
      <c r="A17" s="640"/>
      <c r="B17" s="115" t="s">
        <v>4</v>
      </c>
      <c r="C17" s="477">
        <f>Input!G8</f>
        <v>0</v>
      </c>
      <c r="D17" s="477">
        <f>Input!U20</f>
        <v>0</v>
      </c>
      <c r="E17" s="477">
        <f>Input!R44</f>
        <v>0</v>
      </c>
      <c r="F17" s="477">
        <f>Input!A36</f>
        <v>0</v>
      </c>
      <c r="H17" s="557"/>
      <c r="I17" s="560"/>
      <c r="K17" s="640"/>
      <c r="L17" s="214" t="s">
        <v>4</v>
      </c>
      <c r="M17" s="153">
        <f t="shared" si="1"/>
        <v>1</v>
      </c>
      <c r="N17" s="153">
        <f t="shared" si="1"/>
        <v>1</v>
      </c>
      <c r="O17" s="153">
        <f t="shared" si="1"/>
        <v>1</v>
      </c>
      <c r="P17" s="387">
        <f t="shared" si="1"/>
        <v>1</v>
      </c>
    </row>
    <row r="18" spans="1:20" ht="13.9" customHeight="1" x14ac:dyDescent="0.2">
      <c r="A18" s="640"/>
      <c r="B18" s="115" t="s">
        <v>5</v>
      </c>
      <c r="C18" s="477">
        <f>Input!F8</f>
        <v>0</v>
      </c>
      <c r="D18" s="477">
        <f>Input!U18</f>
        <v>0</v>
      </c>
      <c r="E18" s="477">
        <f>Input!O44</f>
        <v>0</v>
      </c>
      <c r="F18" s="477">
        <f>Input!A38</f>
        <v>0</v>
      </c>
      <c r="I18" s="555"/>
      <c r="K18" s="640"/>
      <c r="L18" s="214" t="s">
        <v>5</v>
      </c>
      <c r="M18" s="153">
        <f t="shared" si="1"/>
        <v>1</v>
      </c>
      <c r="N18" s="153">
        <f t="shared" si="1"/>
        <v>1</v>
      </c>
      <c r="O18" s="153">
        <f t="shared" si="1"/>
        <v>1</v>
      </c>
      <c r="P18" s="387">
        <f t="shared" si="1"/>
        <v>1</v>
      </c>
    </row>
    <row r="19" spans="1:20" ht="13.9" customHeight="1" thickBot="1" x14ac:dyDescent="0.25">
      <c r="A19" s="641"/>
      <c r="B19" s="116" t="s">
        <v>55</v>
      </c>
      <c r="C19" s="477">
        <f>Input!E8</f>
        <v>0</v>
      </c>
      <c r="D19" s="477">
        <f>Input!U16</f>
        <v>0</v>
      </c>
      <c r="E19" s="477">
        <f>Input!P44</f>
        <v>0</v>
      </c>
      <c r="F19" s="477">
        <f>Input!A32</f>
        <v>0</v>
      </c>
      <c r="K19" s="641"/>
      <c r="L19" s="116" t="s">
        <v>55</v>
      </c>
      <c r="M19" s="388">
        <f t="shared" si="1"/>
        <v>1</v>
      </c>
      <c r="N19" s="388">
        <f t="shared" si="1"/>
        <v>1</v>
      </c>
      <c r="O19" s="388">
        <f t="shared" si="1"/>
        <v>1</v>
      </c>
      <c r="P19" s="389">
        <f t="shared" si="1"/>
        <v>1</v>
      </c>
    </row>
    <row r="20" spans="1:20" x14ac:dyDescent="0.2">
      <c r="A20" s="80" t="s">
        <v>46</v>
      </c>
      <c r="B20" s="83"/>
      <c r="C20" s="108"/>
      <c r="D20" s="104" t="s">
        <v>12</v>
      </c>
      <c r="E20" s="103"/>
      <c r="F20" s="105"/>
      <c r="H20" s="82"/>
      <c r="I20" s="29"/>
      <c r="J20" s="29"/>
      <c r="K20" s="25" t="s">
        <v>25</v>
      </c>
      <c r="L20" s="31"/>
      <c r="M20" s="83"/>
      <c r="N20" s="84" t="s">
        <v>12</v>
      </c>
      <c r="O20" s="83"/>
      <c r="P20" s="71"/>
    </row>
    <row r="21" spans="1:20" ht="13.15" customHeight="1" thickBot="1" x14ac:dyDescent="0.25">
      <c r="A21" s="69" t="s">
        <v>57</v>
      </c>
      <c r="B21" s="81"/>
      <c r="C21" s="109" t="s">
        <v>3</v>
      </c>
      <c r="D21" s="106" t="s">
        <v>4</v>
      </c>
      <c r="E21" s="106" t="s">
        <v>5</v>
      </c>
      <c r="F21" s="107" t="s">
        <v>55</v>
      </c>
      <c r="G21" s="29"/>
      <c r="H21" s="75"/>
      <c r="K21" s="139" t="s">
        <v>26</v>
      </c>
      <c r="L21" s="26"/>
      <c r="M21" s="67" t="s">
        <v>3</v>
      </c>
      <c r="N21" s="67" t="s">
        <v>4</v>
      </c>
      <c r="O21" s="67" t="s">
        <v>5</v>
      </c>
      <c r="P21" s="70" t="s">
        <v>55</v>
      </c>
      <c r="T21" s="18"/>
    </row>
    <row r="22" spans="1:20" ht="13.15" customHeight="1" thickTop="1" x14ac:dyDescent="0.2">
      <c r="A22" s="639" t="s">
        <v>13</v>
      </c>
      <c r="B22" s="112" t="s">
        <v>3</v>
      </c>
      <c r="C22" s="469">
        <f>Input!H14</f>
        <v>0</v>
      </c>
      <c r="D22" s="470">
        <f>Input!R$14</f>
        <v>0</v>
      </c>
      <c r="E22" s="470">
        <f>Input!Q38</f>
        <v>0</v>
      </c>
      <c r="F22" s="471">
        <f>Input!D$34</f>
        <v>0</v>
      </c>
      <c r="G22" s="13"/>
      <c r="H22" s="76"/>
      <c r="K22" s="639" t="s">
        <v>13</v>
      </c>
      <c r="L22" s="115" t="s">
        <v>3</v>
      </c>
      <c r="M22" s="154">
        <f t="shared" ref="M22:P25" si="2">ROUND(IF(C10=0,0,C22/C10),3)</f>
        <v>0</v>
      </c>
      <c r="N22" s="154">
        <f t="shared" si="2"/>
        <v>0</v>
      </c>
      <c r="O22" s="154">
        <f t="shared" si="2"/>
        <v>0</v>
      </c>
      <c r="P22" s="155">
        <f t="shared" si="2"/>
        <v>0</v>
      </c>
    </row>
    <row r="23" spans="1:20" ht="13.15" customHeight="1" x14ac:dyDescent="0.2">
      <c r="A23" s="640"/>
      <c r="B23" s="112" t="s">
        <v>4</v>
      </c>
      <c r="C23" s="472">
        <f>Input!G14</f>
        <v>0</v>
      </c>
      <c r="D23" s="473">
        <f>Input!R$20</f>
        <v>0</v>
      </c>
      <c r="E23" s="473">
        <f>Input!R38</f>
        <v>0</v>
      </c>
      <c r="F23" s="474">
        <f>Input!D$36</f>
        <v>0</v>
      </c>
      <c r="G23" s="15"/>
      <c r="H23" s="79"/>
      <c r="K23" s="640"/>
      <c r="L23" s="115" t="s">
        <v>4</v>
      </c>
      <c r="M23" s="154">
        <f t="shared" si="2"/>
        <v>0</v>
      </c>
      <c r="N23" s="154">
        <f t="shared" si="2"/>
        <v>0</v>
      </c>
      <c r="O23" s="154">
        <f t="shared" si="2"/>
        <v>0</v>
      </c>
      <c r="P23" s="155">
        <f t="shared" si="2"/>
        <v>0</v>
      </c>
    </row>
    <row r="24" spans="1:20" ht="13.9" customHeight="1" x14ac:dyDescent="0.2">
      <c r="A24" s="640"/>
      <c r="B24" s="112" t="s">
        <v>5</v>
      </c>
      <c r="C24" s="472">
        <f>Input!F14</f>
        <v>0</v>
      </c>
      <c r="D24" s="473">
        <f>Input!R$18</f>
        <v>0</v>
      </c>
      <c r="E24" s="473">
        <f>Input!O38</f>
        <v>0</v>
      </c>
      <c r="F24" s="474">
        <f>Input!D$38</f>
        <v>0</v>
      </c>
      <c r="G24" s="23"/>
      <c r="H24" s="79"/>
      <c r="K24" s="640"/>
      <c r="L24" s="115" t="s">
        <v>5</v>
      </c>
      <c r="M24" s="154">
        <f t="shared" si="2"/>
        <v>0</v>
      </c>
      <c r="N24" s="154">
        <f t="shared" si="2"/>
        <v>0</v>
      </c>
      <c r="O24" s="154">
        <f t="shared" si="2"/>
        <v>0</v>
      </c>
      <c r="P24" s="155">
        <f t="shared" si="2"/>
        <v>0</v>
      </c>
    </row>
    <row r="25" spans="1:20" ht="13.9" customHeight="1" thickBot="1" x14ac:dyDescent="0.25">
      <c r="A25" s="641"/>
      <c r="B25" s="113" t="s">
        <v>55</v>
      </c>
      <c r="C25" s="475">
        <f>Input!E14</f>
        <v>0</v>
      </c>
      <c r="D25" s="166">
        <f>Input!R$16</f>
        <v>0</v>
      </c>
      <c r="E25" s="166">
        <f>Input!P38</f>
        <v>0</v>
      </c>
      <c r="F25" s="476">
        <f>Input!D32</f>
        <v>0</v>
      </c>
      <c r="G25" s="23"/>
      <c r="H25" s="79"/>
      <c r="K25" s="641"/>
      <c r="L25" s="116" t="s">
        <v>55</v>
      </c>
      <c r="M25" s="156">
        <f t="shared" si="2"/>
        <v>0</v>
      </c>
      <c r="N25" s="156">
        <f t="shared" si="2"/>
        <v>0</v>
      </c>
      <c r="O25" s="156">
        <f t="shared" si="2"/>
        <v>0</v>
      </c>
      <c r="P25" s="157">
        <f t="shared" si="2"/>
        <v>0</v>
      </c>
    </row>
    <row r="26" spans="1:20" x14ac:dyDescent="0.2">
      <c r="A26" s="25" t="s">
        <v>58</v>
      </c>
      <c r="B26" s="31"/>
      <c r="C26" s="108"/>
      <c r="D26" s="104" t="s">
        <v>12</v>
      </c>
      <c r="E26" s="103"/>
      <c r="F26" s="105"/>
      <c r="G26" s="23"/>
      <c r="H26" s="79"/>
      <c r="I26" s="30"/>
      <c r="J26" s="22"/>
      <c r="K26" s="25" t="s">
        <v>23</v>
      </c>
      <c r="L26" s="31"/>
      <c r="M26" s="83"/>
      <c r="N26" s="84" t="s">
        <v>12</v>
      </c>
      <c r="O26" s="83"/>
      <c r="P26" s="71"/>
    </row>
    <row r="27" spans="1:20" ht="13.15" customHeight="1" thickBot="1" x14ac:dyDescent="0.25">
      <c r="A27" s="69" t="s">
        <v>57</v>
      </c>
      <c r="B27" s="26"/>
      <c r="C27" s="109" t="s">
        <v>3</v>
      </c>
      <c r="D27" s="106" t="s">
        <v>4</v>
      </c>
      <c r="E27" s="106" t="s">
        <v>5</v>
      </c>
      <c r="F27" s="107" t="s">
        <v>55</v>
      </c>
      <c r="G27" s="23"/>
      <c r="H27" s="79"/>
      <c r="K27" s="139" t="s">
        <v>27</v>
      </c>
      <c r="L27" s="26"/>
      <c r="M27" s="67" t="s">
        <v>3</v>
      </c>
      <c r="N27" s="67" t="s">
        <v>4</v>
      </c>
      <c r="O27" s="67" t="s">
        <v>5</v>
      </c>
      <c r="P27" s="70" t="s">
        <v>55</v>
      </c>
    </row>
    <row r="28" spans="1:20" ht="13.15" customHeight="1" thickTop="1" x14ac:dyDescent="0.2">
      <c r="A28" s="639" t="s">
        <v>13</v>
      </c>
      <c r="B28" s="112" t="s">
        <v>3</v>
      </c>
      <c r="C28" s="469">
        <f>Input!H12</f>
        <v>0</v>
      </c>
      <c r="D28" s="470">
        <f>Input!S$14</f>
        <v>0</v>
      </c>
      <c r="E28" s="470">
        <f>Input!Q40</f>
        <v>0</v>
      </c>
      <c r="F28" s="471">
        <f>Input!C$34</f>
        <v>0</v>
      </c>
      <c r="G28" s="23"/>
      <c r="H28" s="79"/>
      <c r="K28" s="639" t="s">
        <v>13</v>
      </c>
      <c r="L28" s="115" t="s">
        <v>3</v>
      </c>
      <c r="M28" s="154">
        <f t="shared" ref="M28:P31" si="3">ROUND(IF(C10=0,0,C28/C10),3)</f>
        <v>0</v>
      </c>
      <c r="N28" s="154">
        <f t="shared" si="3"/>
        <v>0</v>
      </c>
      <c r="O28" s="154">
        <f t="shared" si="3"/>
        <v>0</v>
      </c>
      <c r="P28" s="155">
        <f t="shared" si="3"/>
        <v>0</v>
      </c>
    </row>
    <row r="29" spans="1:20" ht="13.15" customHeight="1" x14ac:dyDescent="0.2">
      <c r="A29" s="640"/>
      <c r="B29" s="112" t="s">
        <v>4</v>
      </c>
      <c r="C29" s="472">
        <f>Input!G12</f>
        <v>0</v>
      </c>
      <c r="D29" s="473">
        <f>Input!S$20</f>
        <v>0</v>
      </c>
      <c r="E29" s="473">
        <f>Input!R40</f>
        <v>0</v>
      </c>
      <c r="F29" s="474">
        <f>Input!C$36</f>
        <v>0</v>
      </c>
      <c r="G29" s="23"/>
      <c r="H29" s="79"/>
      <c r="K29" s="640"/>
      <c r="L29" s="115" t="s">
        <v>4</v>
      </c>
      <c r="M29" s="154">
        <f t="shared" si="3"/>
        <v>0</v>
      </c>
      <c r="N29" s="154">
        <f t="shared" si="3"/>
        <v>0</v>
      </c>
      <c r="O29" s="154">
        <f t="shared" si="3"/>
        <v>0</v>
      </c>
      <c r="P29" s="155">
        <f t="shared" si="3"/>
        <v>0</v>
      </c>
    </row>
    <row r="30" spans="1:20" ht="13.9" customHeight="1" x14ac:dyDescent="0.2">
      <c r="A30" s="640"/>
      <c r="B30" s="112" t="s">
        <v>5</v>
      </c>
      <c r="C30" s="472">
        <f>Input!F12</f>
        <v>0</v>
      </c>
      <c r="D30" s="473">
        <f>Input!S$18</f>
        <v>0</v>
      </c>
      <c r="E30" s="473">
        <f>Input!O40</f>
        <v>0</v>
      </c>
      <c r="F30" s="474">
        <f>Input!C$38</f>
        <v>0</v>
      </c>
      <c r="G30" s="23"/>
      <c r="H30" s="79"/>
      <c r="K30" s="640"/>
      <c r="L30" s="115" t="s">
        <v>5</v>
      </c>
      <c r="M30" s="154">
        <f t="shared" si="3"/>
        <v>0</v>
      </c>
      <c r="N30" s="154">
        <f t="shared" si="3"/>
        <v>0</v>
      </c>
      <c r="O30" s="154">
        <f t="shared" si="3"/>
        <v>0</v>
      </c>
      <c r="P30" s="155">
        <f t="shared" si="3"/>
        <v>0</v>
      </c>
    </row>
    <row r="31" spans="1:20" ht="13.9" customHeight="1" thickBot="1" x14ac:dyDescent="0.25">
      <c r="A31" s="641"/>
      <c r="B31" s="113" t="s">
        <v>55</v>
      </c>
      <c r="C31" s="475">
        <f>Input!E12</f>
        <v>0</v>
      </c>
      <c r="D31" s="166">
        <f>Input!S$16</f>
        <v>0</v>
      </c>
      <c r="E31" s="166">
        <f>Input!P40</f>
        <v>0</v>
      </c>
      <c r="F31" s="476">
        <f>Input!C32</f>
        <v>0</v>
      </c>
      <c r="G31" s="23"/>
      <c r="H31" s="75"/>
      <c r="K31" s="641"/>
      <c r="L31" s="116" t="s">
        <v>55</v>
      </c>
      <c r="M31" s="156">
        <f t="shared" si="3"/>
        <v>0</v>
      </c>
      <c r="N31" s="156">
        <f t="shared" si="3"/>
        <v>0</v>
      </c>
      <c r="O31" s="156">
        <f t="shared" si="3"/>
        <v>0</v>
      </c>
      <c r="P31" s="157">
        <f t="shared" si="3"/>
        <v>0</v>
      </c>
    </row>
    <row r="32" spans="1:20" x14ac:dyDescent="0.2">
      <c r="A32" s="25" t="s">
        <v>45</v>
      </c>
      <c r="B32" s="31"/>
      <c r="C32" s="108"/>
      <c r="D32" s="104" t="s">
        <v>12</v>
      </c>
      <c r="E32" s="103"/>
      <c r="F32" s="105"/>
      <c r="G32" s="15"/>
      <c r="H32" s="79"/>
      <c r="I32" s="30"/>
      <c r="J32" s="22"/>
      <c r="K32" s="25" t="s">
        <v>24</v>
      </c>
      <c r="L32" s="31"/>
      <c r="M32" s="83"/>
      <c r="N32" s="84" t="s">
        <v>12</v>
      </c>
      <c r="O32" s="83"/>
      <c r="P32" s="71"/>
    </row>
    <row r="33" spans="1:21" ht="13.15" customHeight="1" thickBot="1" x14ac:dyDescent="0.25">
      <c r="A33" s="69" t="s">
        <v>57</v>
      </c>
      <c r="B33" s="26"/>
      <c r="C33" s="109" t="s">
        <v>3</v>
      </c>
      <c r="D33" s="106" t="s">
        <v>4</v>
      </c>
      <c r="E33" s="106" t="s">
        <v>5</v>
      </c>
      <c r="F33" s="107" t="s">
        <v>55</v>
      </c>
      <c r="G33" s="23"/>
      <c r="H33" s="79"/>
      <c r="K33" s="139" t="s">
        <v>28</v>
      </c>
      <c r="L33" s="26"/>
      <c r="M33" s="67" t="s">
        <v>3</v>
      </c>
      <c r="N33" s="67" t="s">
        <v>4</v>
      </c>
      <c r="O33" s="67" t="s">
        <v>5</v>
      </c>
      <c r="P33" s="70" t="s">
        <v>55</v>
      </c>
    </row>
    <row r="34" spans="1:21" ht="13.15" customHeight="1" thickTop="1" x14ac:dyDescent="0.2">
      <c r="A34" s="639" t="s">
        <v>13</v>
      </c>
      <c r="B34" s="112" t="s">
        <v>3</v>
      </c>
      <c r="C34" s="469">
        <f>Input!H10</f>
        <v>0</v>
      </c>
      <c r="D34" s="470">
        <f>Input!T$14</f>
        <v>0</v>
      </c>
      <c r="E34" s="470">
        <f>Input!Q42</f>
        <v>0</v>
      </c>
      <c r="F34" s="471">
        <f>Input!B$34</f>
        <v>0</v>
      </c>
      <c r="G34" s="23"/>
      <c r="H34" s="79"/>
      <c r="K34" s="639" t="s">
        <v>13</v>
      </c>
      <c r="L34" s="115" t="s">
        <v>3</v>
      </c>
      <c r="M34" s="154">
        <f t="shared" ref="M34:P37" si="4">ROUND(IF(C10=0,0,C34/C10),3)</f>
        <v>0</v>
      </c>
      <c r="N34" s="154">
        <f t="shared" si="4"/>
        <v>0</v>
      </c>
      <c r="O34" s="154">
        <f t="shared" si="4"/>
        <v>0</v>
      </c>
      <c r="P34" s="155">
        <f t="shared" si="4"/>
        <v>0</v>
      </c>
    </row>
    <row r="35" spans="1:21" ht="13.15" customHeight="1" x14ac:dyDescent="0.2">
      <c r="A35" s="640"/>
      <c r="B35" s="112" t="s">
        <v>4</v>
      </c>
      <c r="C35" s="472">
        <f>Input!G10</f>
        <v>0</v>
      </c>
      <c r="D35" s="473">
        <f>Input!T$20</f>
        <v>0</v>
      </c>
      <c r="E35" s="473">
        <f>Input!R42</f>
        <v>0</v>
      </c>
      <c r="F35" s="474">
        <f>Input!B$36</f>
        <v>0</v>
      </c>
      <c r="G35" s="23"/>
      <c r="H35" s="79"/>
      <c r="K35" s="640"/>
      <c r="L35" s="115" t="s">
        <v>4</v>
      </c>
      <c r="M35" s="154">
        <f t="shared" si="4"/>
        <v>0</v>
      </c>
      <c r="N35" s="154">
        <f t="shared" si="4"/>
        <v>0</v>
      </c>
      <c r="O35" s="154">
        <f t="shared" si="4"/>
        <v>0</v>
      </c>
      <c r="P35" s="155">
        <f t="shared" si="4"/>
        <v>0</v>
      </c>
    </row>
    <row r="36" spans="1:21" ht="13.9" customHeight="1" x14ac:dyDescent="0.2">
      <c r="A36" s="640"/>
      <c r="B36" s="112" t="s">
        <v>5</v>
      </c>
      <c r="C36" s="472">
        <f>Input!F10</f>
        <v>0</v>
      </c>
      <c r="D36" s="473">
        <f>Input!T$18</f>
        <v>0</v>
      </c>
      <c r="E36" s="473">
        <f>Input!O42</f>
        <v>0</v>
      </c>
      <c r="F36" s="474">
        <f>Input!B$38</f>
        <v>0</v>
      </c>
      <c r="G36" s="23"/>
      <c r="H36" s="79"/>
      <c r="K36" s="640"/>
      <c r="L36" s="115" t="s">
        <v>5</v>
      </c>
      <c r="M36" s="154">
        <f t="shared" si="4"/>
        <v>0</v>
      </c>
      <c r="N36" s="154">
        <f t="shared" si="4"/>
        <v>0</v>
      </c>
      <c r="O36" s="154">
        <f t="shared" si="4"/>
        <v>0</v>
      </c>
      <c r="P36" s="155">
        <f t="shared" si="4"/>
        <v>0</v>
      </c>
    </row>
    <row r="37" spans="1:21" ht="13.9" customHeight="1" thickBot="1" x14ac:dyDescent="0.25">
      <c r="A37" s="641"/>
      <c r="B37" s="113" t="s">
        <v>55</v>
      </c>
      <c r="C37" s="475">
        <f>Input!E10</f>
        <v>0</v>
      </c>
      <c r="D37" s="166">
        <f>Input!T$16</f>
        <v>0</v>
      </c>
      <c r="E37" s="166">
        <f>Input!P42</f>
        <v>0</v>
      </c>
      <c r="F37" s="476">
        <f>Input!B32</f>
        <v>0</v>
      </c>
      <c r="G37" s="23"/>
      <c r="H37" s="79"/>
      <c r="K37" s="641"/>
      <c r="L37" s="116" t="s">
        <v>55</v>
      </c>
      <c r="M37" s="156">
        <f t="shared" si="4"/>
        <v>0</v>
      </c>
      <c r="N37" s="156">
        <f t="shared" si="4"/>
        <v>0</v>
      </c>
      <c r="O37" s="156">
        <f t="shared" si="4"/>
        <v>0</v>
      </c>
      <c r="P37" s="157">
        <f t="shared" si="4"/>
        <v>0</v>
      </c>
    </row>
    <row r="38" spans="1:21" ht="13.5" thickBot="1" x14ac:dyDescent="0.25">
      <c r="A38" s="110" t="s">
        <v>56</v>
      </c>
      <c r="B38" s="83"/>
      <c r="C38" s="108"/>
      <c r="D38" s="104" t="s">
        <v>12</v>
      </c>
      <c r="E38" s="103"/>
      <c r="F38" s="105"/>
      <c r="G38" s="23"/>
    </row>
    <row r="39" spans="1:21" ht="13.15" customHeight="1" thickBot="1" x14ac:dyDescent="0.25">
      <c r="A39" s="139" t="s">
        <v>31</v>
      </c>
      <c r="B39" s="81"/>
      <c r="C39" s="109" t="s">
        <v>3</v>
      </c>
      <c r="D39" s="106" t="s">
        <v>4</v>
      </c>
      <c r="E39" s="106" t="s">
        <v>5</v>
      </c>
      <c r="F39" s="107" t="s">
        <v>55</v>
      </c>
      <c r="G39" s="23"/>
      <c r="H39" s="117" t="s">
        <v>43</v>
      </c>
      <c r="I39" s="118"/>
      <c r="J39" s="118"/>
      <c r="K39" s="118"/>
      <c r="L39" s="121"/>
      <c r="M39" s="83"/>
      <c r="N39" s="84" t="s">
        <v>12</v>
      </c>
      <c r="O39" s="83"/>
      <c r="P39" s="71"/>
    </row>
    <row r="40" spans="1:21" ht="14.45" customHeight="1" thickTop="1" thickBot="1" x14ac:dyDescent="0.25">
      <c r="A40" s="647" t="s">
        <v>13</v>
      </c>
      <c r="B40" s="231" t="s">
        <v>3</v>
      </c>
      <c r="C40" s="158">
        <f t="shared" ref="C40:F43" si="5">ROUND(IF(M16=0,0,M10/(M16)),0)</f>
        <v>0</v>
      </c>
      <c r="D40" s="158">
        <f t="shared" si="5"/>
        <v>0</v>
      </c>
      <c r="E40" s="158">
        <f t="shared" si="5"/>
        <v>0</v>
      </c>
      <c r="F40" s="159">
        <f t="shared" si="5"/>
        <v>0</v>
      </c>
      <c r="H40" s="114"/>
      <c r="I40" s="119"/>
      <c r="J40" s="119"/>
      <c r="K40" s="119"/>
      <c r="L40" s="120"/>
      <c r="M40" s="67" t="s">
        <v>3</v>
      </c>
      <c r="N40" s="67" t="s">
        <v>4</v>
      </c>
      <c r="O40" s="67" t="s">
        <v>5</v>
      </c>
      <c r="P40" s="70" t="s">
        <v>55</v>
      </c>
    </row>
    <row r="41" spans="1:21" ht="13.15" customHeight="1" thickTop="1" x14ac:dyDescent="0.3">
      <c r="A41" s="640"/>
      <c r="B41" s="231" t="s">
        <v>4</v>
      </c>
      <c r="C41" s="158">
        <f t="shared" si="5"/>
        <v>0</v>
      </c>
      <c r="D41" s="158">
        <f t="shared" si="5"/>
        <v>0</v>
      </c>
      <c r="E41" s="158">
        <f t="shared" si="5"/>
        <v>0</v>
      </c>
      <c r="F41" s="159">
        <f t="shared" si="5"/>
        <v>0</v>
      </c>
      <c r="G41" s="15"/>
      <c r="H41" s="96" t="s">
        <v>137</v>
      </c>
      <c r="I41" s="89"/>
      <c r="J41" s="89"/>
      <c r="K41" s="89"/>
      <c r="L41" s="163" t="s">
        <v>33</v>
      </c>
      <c r="M41" s="162" t="e">
        <f>ROUND(C45*C50*M44,0)</f>
        <v>#DIV/0!</v>
      </c>
      <c r="N41" s="162" t="e">
        <f>ROUND(D45*D50*N44,0)</f>
        <v>#DIV/0!</v>
      </c>
      <c r="O41" s="162" t="e">
        <f>ROUND(E45*E50*O44,0)</f>
        <v>#DIV/0!</v>
      </c>
      <c r="P41" s="169" t="e">
        <f>ROUND(F45*F50*P44,0)</f>
        <v>#DIV/0!</v>
      </c>
      <c r="R41" s="8"/>
      <c r="S41" s="8"/>
      <c r="T41" s="8"/>
      <c r="U41" s="8"/>
    </row>
    <row r="42" spans="1:21" ht="13.15" customHeight="1" x14ac:dyDescent="0.3">
      <c r="A42" s="640"/>
      <c r="B42" s="231" t="s">
        <v>5</v>
      </c>
      <c r="C42" s="158">
        <f t="shared" si="5"/>
        <v>0</v>
      </c>
      <c r="D42" s="158">
        <f t="shared" si="5"/>
        <v>0</v>
      </c>
      <c r="E42" s="158">
        <f t="shared" si="5"/>
        <v>0</v>
      </c>
      <c r="F42" s="159">
        <f t="shared" si="5"/>
        <v>0</v>
      </c>
      <c r="H42" s="96" t="s">
        <v>72</v>
      </c>
      <c r="I42" s="89"/>
      <c r="J42" s="89"/>
      <c r="K42" s="89"/>
      <c r="L42" s="63" t="s">
        <v>31</v>
      </c>
      <c r="M42" s="162" t="e">
        <f>ROUND(C44*C47,0)</f>
        <v>#DIV/0!</v>
      </c>
      <c r="N42" s="162" t="e">
        <f>ROUND(D44*D47,0)</f>
        <v>#DIV/0!</v>
      </c>
      <c r="O42" s="162" t="e">
        <f>ROUND(E44*E47,0)</f>
        <v>#DIV/0!</v>
      </c>
      <c r="P42" s="169" t="e">
        <f>ROUND(F44*F47,0)</f>
        <v>#DIV/0!</v>
      </c>
      <c r="R42" s="8"/>
      <c r="S42" s="8"/>
      <c r="T42" s="8"/>
      <c r="U42" s="8"/>
    </row>
    <row r="43" spans="1:21" ht="13.15" customHeight="1" thickBot="1" x14ac:dyDescent="0.35">
      <c r="A43" s="641"/>
      <c r="B43" s="232" t="s">
        <v>55</v>
      </c>
      <c r="C43" s="160">
        <f t="shared" si="5"/>
        <v>0</v>
      </c>
      <c r="D43" s="160">
        <f t="shared" si="5"/>
        <v>0</v>
      </c>
      <c r="E43" s="160">
        <f t="shared" si="5"/>
        <v>0</v>
      </c>
      <c r="F43" s="161">
        <f t="shared" si="5"/>
        <v>0</v>
      </c>
      <c r="H43" s="341" t="s">
        <v>66</v>
      </c>
      <c r="I43" s="89"/>
      <c r="J43" s="89"/>
      <c r="K43" s="89"/>
      <c r="L43" s="164" t="s">
        <v>37</v>
      </c>
      <c r="M43" s="170" t="e">
        <f>ROUND((Input!$P$48*EXP((-1*Input!$P$49)*C45))*C47*M44,0)</f>
        <v>#DIV/0!</v>
      </c>
      <c r="N43" s="170" t="e">
        <f>ROUND((Input!$P$48*EXP((-1*Input!$P$49)*D45))*D47*N44,0)</f>
        <v>#DIV/0!</v>
      </c>
      <c r="O43" s="170" t="e">
        <f>ROUND((Input!$P$48*EXP((-1*Input!$P$49)*E45))*E47*O44,0)</f>
        <v>#DIV/0!</v>
      </c>
      <c r="P43" s="171" t="e">
        <f>ROUND((Input!$P$48*EXP((-1*Input!$P$49)*F45))*F47*P44,0)</f>
        <v>#DIV/0!</v>
      </c>
      <c r="R43" s="8"/>
      <c r="S43" s="8"/>
      <c r="T43" s="8"/>
      <c r="U43" s="8"/>
    </row>
    <row r="44" spans="1:21" ht="13.15" customHeight="1" thickBot="1" x14ac:dyDescent="0.25">
      <c r="A44" s="226" t="s">
        <v>67</v>
      </c>
      <c r="B44" s="227"/>
      <c r="C44" s="228">
        <f>SUM(C40:C43)</f>
        <v>0</v>
      </c>
      <c r="D44" s="229">
        <f>SUM(D40:D43)</f>
        <v>0</v>
      </c>
      <c r="E44" s="229">
        <f>SUM(E40:E43)</f>
        <v>0</v>
      </c>
      <c r="F44" s="230">
        <f>SUM(F40:F43)</f>
        <v>0</v>
      </c>
      <c r="H44" s="96" t="s">
        <v>102</v>
      </c>
      <c r="I44" s="89"/>
      <c r="J44" s="89"/>
      <c r="K44" s="89"/>
      <c r="L44" s="165" t="s">
        <v>51</v>
      </c>
      <c r="M44" s="162">
        <f>ROUND(IF(C45&gt;881,1,IF(M7&lt;=101,1-(0.000137*(M7)),(1119.5-(0.715*C45)-(0.644*M7)+(0.00073*C45*M7))/((1068.6-(0.654*C45))))),3)</f>
        <v>1</v>
      </c>
      <c r="N44" s="162">
        <f>ROUND(IF(D45&gt;881,1,IF(N7&lt;=101,1-(0.000137*(N7)),(1119.5-(0.715*D45)-(0.644*N7)+(0.00073*D45*N7))/((1068.6-(0.654*D45))))),3)</f>
        <v>1</v>
      </c>
      <c r="O44" s="162">
        <f>ROUND(IF(E45&gt;881,1,IF(O7&lt;=101,1-(0.000137*(O7)),(1119.5-(0.715*E45)-(0.644*O7)+(0.00073*E45*O7))/((1068.6-(0.654*E45))))),3)</f>
        <v>1</v>
      </c>
      <c r="P44" s="169">
        <f>ROUND(IF(F45&gt;881,1,IF(P7&lt;=101,1-(0.000137*(P7)),(1119.5-(0.715*F45)-(0.644*P7)+(0.00073*F45*P7))/((1068.6-(0.654*F45))))),3)</f>
        <v>1</v>
      </c>
      <c r="R44" s="8"/>
      <c r="S44" s="9"/>
      <c r="T44" s="8"/>
      <c r="U44" s="8"/>
    </row>
    <row r="45" spans="1:21" ht="13.15" customHeight="1" thickBot="1" x14ac:dyDescent="0.25">
      <c r="A45" s="412" t="s">
        <v>134</v>
      </c>
      <c r="B45" s="200"/>
      <c r="C45" s="201">
        <f>D41+D42+D43+E42+E43+F43</f>
        <v>0</v>
      </c>
      <c r="D45" s="201">
        <f>E40+E42+E43+F40+F43+C40</f>
        <v>0</v>
      </c>
      <c r="E45" s="201">
        <f>F40+F41+F43+C40+C41+D41</f>
        <v>0</v>
      </c>
      <c r="F45" s="202">
        <f>C40+C41+C42+D41+D42+E42</f>
        <v>0</v>
      </c>
      <c r="H45" s="285" t="s">
        <v>6</v>
      </c>
      <c r="I45" s="89"/>
      <c r="J45" s="89"/>
      <c r="K45" s="89"/>
      <c r="L45" s="248" t="s">
        <v>36</v>
      </c>
      <c r="M45" s="249" t="e">
        <f>ROUND((M42)/(M43),2)</f>
        <v>#DIV/0!</v>
      </c>
      <c r="N45" s="249" t="e">
        <f t="shared" ref="N45:P45" si="6">ROUND((N42)/(N43),2)</f>
        <v>#DIV/0!</v>
      </c>
      <c r="O45" s="249" t="e">
        <f t="shared" si="6"/>
        <v>#DIV/0!</v>
      </c>
      <c r="P45" s="247" t="e">
        <f t="shared" si="6"/>
        <v>#DIV/0!</v>
      </c>
      <c r="R45" s="8"/>
      <c r="S45" s="8"/>
      <c r="T45" s="8"/>
      <c r="U45" s="8"/>
    </row>
    <row r="46" spans="1:21" ht="13.15" customHeight="1" thickBot="1" x14ac:dyDescent="0.25">
      <c r="A46" s="221" t="s">
        <v>142</v>
      </c>
      <c r="B46" s="222"/>
      <c r="C46" s="288" t="s">
        <v>135</v>
      </c>
      <c r="D46" s="141"/>
      <c r="E46" s="142"/>
      <c r="F46" s="137"/>
      <c r="H46" s="96" t="s">
        <v>52</v>
      </c>
      <c r="I46" s="89"/>
      <c r="J46" s="89"/>
      <c r="K46" s="89"/>
      <c r="L46" s="138" t="s">
        <v>38</v>
      </c>
      <c r="M46" s="172" t="e">
        <f>ROUND((3600/(M43))+((900*$N$3)*(M45-1+((M45-1)^2+((3600/(M43))*M45)/(450*$N$3))^(1/2)))+(5*MIN(M45,1)),1)</f>
        <v>#DIV/0!</v>
      </c>
      <c r="N46" s="172" t="e">
        <f>ROUND((3600/(N43))+((900*$N$3)*(N45-1+((N45-1)^2+((3600/(N43))*N45)/(450*$N$3))^(1/2)))+(5*MIN(N45,1)),1)</f>
        <v>#DIV/0!</v>
      </c>
      <c r="O46" s="172" t="e">
        <f>ROUND((3600/(O43))+((900*$N$3)*(O45-1+((O45-1)^2+((3600/(O43))*O45)/(450*$N$3))^(1/2)))+(5*MIN(O45,1)),1)</f>
        <v>#DIV/0!</v>
      </c>
      <c r="P46" s="173" t="e">
        <f>ROUND((3600/(P43))+((900*$N$3)*(P45-1+((P45-1)^2+((3600/(P43))*P45)/(450*$N$3))^(1/2)))+(5*MIN(P45,1)),1)</f>
        <v>#DIV/0!</v>
      </c>
      <c r="R46" s="8"/>
      <c r="S46" s="8"/>
      <c r="T46" s="8"/>
      <c r="U46" s="8"/>
    </row>
    <row r="47" spans="1:21" s="64" customFormat="1" ht="13.15" customHeight="1" thickTop="1" thickBot="1" x14ac:dyDescent="0.25">
      <c r="A47" s="223" t="s">
        <v>3</v>
      </c>
      <c r="B47" s="418">
        <f>C40+E40+F40</f>
        <v>0</v>
      </c>
      <c r="C47" s="287" t="e">
        <f>ROUND(1/(1+(((C22+C23+C24+C25)/(C10+C11+C12+C13))*($G$2-1))+(((C28+C29+C30+C31)/(C10+C11+C12+C13))*($G$3-1))+(((C34+C35+C36+C37)/(C10+C11+C12+C13))*($G$4-1))),3)</f>
        <v>#DIV/0!</v>
      </c>
      <c r="D47" s="535" t="e">
        <f>ROUND(1/(1+(((D22+D23+D24+D25)/(D10+D11+D12+D13))*($G$2-1))+(((D28+D29+D30+D31)/(D10+D11+D12+D13))*($G$3-1))+(((D34+D35+D36+D37)/(D10+D11+D12+D13))*($G$4-1))),3)</f>
        <v>#DIV/0!</v>
      </c>
      <c r="E47" s="535" t="e">
        <f>ROUND(1/(1+(((E22+E23+E24+E25)/(E10+E11+E12+E13))*($G$2-1))+(((E28+E29+E30+E31)/(E10+E11+E12+E13))*($G$3-1))+(((E34+E35+E36+E37)/(E10+E11+E12+E13))*($G$4-1))),3)</f>
        <v>#DIV/0!</v>
      </c>
      <c r="F47" s="535" t="e">
        <f>ROUND(1/(1+(((F22+F23+F24+F25)/(F10+F11+F12+F13))*($G$2-1))+(((F28+F29+F30+F31)/(F10+F11+F12+F13))*($G$3-1))+(((F34+F35+F36+F37)/(F10+F11+F12+F13))*($G$4-1))),3)</f>
        <v>#DIV/0!</v>
      </c>
      <c r="H47" s="92" t="s">
        <v>7</v>
      </c>
      <c r="I47" s="90"/>
      <c r="J47" s="90"/>
      <c r="K47" s="90"/>
      <c r="L47" s="166" t="s">
        <v>34</v>
      </c>
      <c r="M47" s="174" t="e">
        <f>IF(M45&gt;1,"F",IF(M46&gt;50,"F",IF(M46&gt;35,"E",IF(M46&gt;25,"D",IF(M46&gt;15,"C",IF(M46&gt;10,"B","A"))))))</f>
        <v>#DIV/0!</v>
      </c>
      <c r="N47" s="174" t="e">
        <f t="shared" ref="N47:P47" si="7">IF(N45&gt;1,"F",IF(N46&gt;50,"F",IF(N46&gt;35,"E",IF(N46&gt;25,"D",IF(N46&gt;15,"C",IF(N46&gt;10,"B","A"))))))</f>
        <v>#DIV/0!</v>
      </c>
      <c r="O47" s="174" t="e">
        <f t="shared" si="7"/>
        <v>#DIV/0!</v>
      </c>
      <c r="P47" s="175" t="e">
        <f t="shared" si="7"/>
        <v>#DIV/0!</v>
      </c>
      <c r="R47" s="68"/>
      <c r="S47" s="68"/>
      <c r="T47" s="68"/>
      <c r="U47" s="68"/>
    </row>
    <row r="48" spans="1:21" ht="14.45" customHeight="1" thickBot="1" x14ac:dyDescent="0.25">
      <c r="A48" s="223" t="s">
        <v>4</v>
      </c>
      <c r="B48" s="377">
        <f>D41+C41+F41</f>
        <v>0</v>
      </c>
      <c r="C48" s="378"/>
      <c r="D48" s="376"/>
      <c r="E48" s="375"/>
      <c r="F48" s="374"/>
      <c r="H48" s="253" t="s">
        <v>172</v>
      </c>
      <c r="I48" s="93"/>
      <c r="J48" s="93"/>
      <c r="K48" s="127"/>
      <c r="L48" s="167" t="s">
        <v>147</v>
      </c>
      <c r="M48" s="176" t="e">
        <f>ROUND(((900*$N$3)*(M45-1+((1-M45)^2+((3600/(M43))*M45)/(150*$N$3))^(1/2)))*(M43/3600),0)</f>
        <v>#DIV/0!</v>
      </c>
      <c r="N48" s="176" t="e">
        <f>ROUND(((900*$N$3)*(N45-1+((1-N45)^2+((3600/(N43))*N45)/(150*$N$3))^(1/2)))*(N43/3600),0)</f>
        <v>#DIV/0!</v>
      </c>
      <c r="O48" s="176" t="e">
        <f>ROUND(((900*$N$3)*(O45-1+((1-O45)^2+((3600/(O43))*O45)/(150*$N$3))^(1/2)))*(O43/3600),0)</f>
        <v>#DIV/0!</v>
      </c>
      <c r="P48" s="289" t="e">
        <f>ROUND(((900*$N$3)*(P45-1+((1-P45)^2+((3600/(P43))*P45)/(150*$N$3))^(1/2)))*(P43/3600),0)</f>
        <v>#DIV/0!</v>
      </c>
    </row>
    <row r="49" spans="1:21" ht="13.15" customHeight="1" thickBot="1" x14ac:dyDescent="0.3">
      <c r="A49" s="223" t="s">
        <v>5</v>
      </c>
      <c r="B49" s="417">
        <f>E42+D42+C42</f>
        <v>0</v>
      </c>
      <c r="C49" s="286" t="s">
        <v>136</v>
      </c>
      <c r="D49" s="141"/>
      <c r="E49" s="142"/>
      <c r="F49" s="137"/>
      <c r="G49" s="73"/>
      <c r="R49" s="333"/>
      <c r="S49" s="333"/>
      <c r="T49" s="333"/>
      <c r="U49" s="333"/>
    </row>
    <row r="50" spans="1:21" ht="13.15" customHeight="1" thickTop="1" thickBot="1" x14ac:dyDescent="0.25">
      <c r="A50" s="224" t="s">
        <v>55</v>
      </c>
      <c r="B50" s="225">
        <f>F43+E43+D43</f>
        <v>0</v>
      </c>
      <c r="C50" s="408" t="e">
        <f>ROUND(1/(1+(((F25+D23+D24+D25+E25+E24)/(F13+D11+D12+D13+E13+E12))*($G$2-1))+(((F31+D29+D30+D31+E31+E30)/(F13+D11+D12+D13+E13+E12))*($G$3-1))+(((F37+D35+D36+D37+E36+E37)/(F13+D11+D12+D13+E13+E12))*($G$4-1))),3)</f>
        <v>#DIV/0!</v>
      </c>
      <c r="D50" s="409" t="e">
        <f>ROUND(1/(1+(((E22+E24+E25+F22+F25+C22)/(E10+E12+E13+F10+F13+C10))*($G$2-1))+(((E28+E30+E31+F28+F31+C28)/(E10+E12+E13+F10+F13+C10))*($G$3-1))+(((E34+E36+E37+F34+F37+C34)/(E10+E12+E13+F10+F13+C10))*($G$4-1))),3)</f>
        <v>#DIV/0!</v>
      </c>
      <c r="E50" s="410" t="e">
        <f>ROUND(1/(1+(((F22+F23+F25+D23+C23+C22)/(F10+F11+F13+D11+C11+C10))*($G$2-1))+(((F28+F29+F31+D29+C29+C28)/(F10+F11+F13+D11+C11+C10))*($G$3-1))+(((F34+F35+F37+D35+C34+C35)/(F10+F11+F13+D11+C11+C10))*($G$4-1))),3)</f>
        <v>#DIV/0!</v>
      </c>
      <c r="F50" s="411" t="e">
        <f>ROUND(1/(1+(((C22+C23+C24+D23+D24+E24)/(C10+C11+C12+D11+D12+E12))*($G$2-1))+(((C28+C29+C30+D29+D30+E30)/(C10+C11+C12+D11+D12+E12))*($G$3-1))+(((C34+C35+C36+D35+D36+E36)/(C10+C11+C12+D11+D12+E12))*($G$4-1))),3)</f>
        <v>#DIV/0!</v>
      </c>
      <c r="G50" s="73"/>
      <c r="H50" s="130" t="s">
        <v>59</v>
      </c>
      <c r="I50" s="91"/>
      <c r="J50" s="91"/>
      <c r="K50" s="128"/>
      <c r="L50" s="435" t="s">
        <v>35</v>
      </c>
      <c r="M50" s="642" t="e">
        <f>IF(SUM(C10:C13)=0,(N46*D44+O46*E44+P46*F44)/(D44+E44+F44),IF(SUM(D10:D13)=0,(M46*C44+O46*E44+P46*F44)/(C44+E44+F44),IF(SUM(E10:E13)=0,(M46*C44+N46*D44+P46*F44)/(C44+D44+F44),IF(SUM(F10:F13)=0,(M46*C44+N46*D44+O46*E44)/(C44+D44+E44),(M46*C44+N46*D44+O46*E44+P46*F44)/(C44+D44+E44+F44)))))</f>
        <v>#DIV/0!</v>
      </c>
      <c r="N50" s="643"/>
      <c r="O50" s="643"/>
      <c r="P50" s="644"/>
    </row>
    <row r="51" spans="1:21" ht="13.9" customHeight="1" thickBot="1" x14ac:dyDescent="0.25">
      <c r="G51" s="73"/>
      <c r="H51" s="92" t="s">
        <v>40</v>
      </c>
      <c r="I51" s="90"/>
      <c r="J51" s="90"/>
      <c r="K51" s="129"/>
      <c r="L51" s="398" t="s">
        <v>34</v>
      </c>
      <c r="M51" s="629" t="e">
        <f>IF(M50&gt;50,"F",IF(M50&gt;35,"E",IF(M50&gt;25,"D",IF(M50&gt;15,"C",IF(M50&gt;10,"B","A")))))</f>
        <v>#DIV/0!</v>
      </c>
      <c r="N51" s="630"/>
      <c r="O51" s="630"/>
      <c r="P51" s="631"/>
    </row>
    <row r="52" spans="1:21" ht="13.15" customHeight="1" x14ac:dyDescent="0.2">
      <c r="G52" s="73"/>
    </row>
    <row r="53" spans="1:21" ht="4.1500000000000004" customHeight="1" x14ac:dyDescent="0.2">
      <c r="H53" s="68"/>
      <c r="I53" s="30"/>
      <c r="J53" s="8"/>
    </row>
    <row r="54" spans="1:21" ht="12.95" customHeight="1" x14ac:dyDescent="0.2">
      <c r="B54" s="8"/>
      <c r="C54" s="8"/>
      <c r="D54" s="8"/>
      <c r="E54" s="8"/>
      <c r="F54" s="8"/>
      <c r="G54" s="290" t="str">
        <f>B6</f>
        <v>Project Name</v>
      </c>
      <c r="H54" s="68"/>
      <c r="I54" s="8"/>
      <c r="J54" s="8"/>
      <c r="O54" s="11"/>
    </row>
    <row r="55" spans="1:21" ht="12.95" customHeight="1" x14ac:dyDescent="0.2">
      <c r="B55" s="8"/>
      <c r="C55" s="8"/>
      <c r="D55" s="8"/>
      <c r="E55" s="8"/>
      <c r="F55" s="8"/>
      <c r="G55" s="8"/>
      <c r="M55" s="334"/>
    </row>
    <row r="56" spans="1:21" ht="12.95" customHeight="1" x14ac:dyDescent="0.2">
      <c r="B56" s="35"/>
      <c r="C56" s="8"/>
      <c r="D56" s="8"/>
      <c r="E56" s="35"/>
      <c r="M56" s="335"/>
    </row>
    <row r="57" spans="1:21" ht="12" customHeight="1" x14ac:dyDescent="0.2">
      <c r="B57" s="52"/>
      <c r="C57" s="8"/>
      <c r="D57" s="8"/>
      <c r="E57" s="35"/>
      <c r="F57" s="5"/>
      <c r="H57" s="68"/>
      <c r="I57" s="64"/>
      <c r="J57" s="8"/>
      <c r="M57" s="64"/>
      <c r="N57" s="64"/>
      <c r="O57" s="64"/>
      <c r="P57" s="64"/>
    </row>
    <row r="58" spans="1:21" ht="12.95" customHeight="1" x14ac:dyDescent="0.2">
      <c r="B58" s="50"/>
      <c r="C58" s="8"/>
      <c r="D58" s="8"/>
      <c r="E58" s="8"/>
      <c r="F58" s="50"/>
      <c r="G58" s="8"/>
      <c r="H58" s="79"/>
      <c r="I58" s="64"/>
      <c r="J58" s="8"/>
      <c r="N58" s="64"/>
      <c r="O58" s="64"/>
      <c r="P58" s="64"/>
    </row>
    <row r="59" spans="1:21" ht="12.95" customHeight="1" x14ac:dyDescent="0.2">
      <c r="A59" s="30"/>
      <c r="B59" s="51"/>
      <c r="C59" s="8"/>
      <c r="D59" s="8"/>
      <c r="E59" s="8"/>
      <c r="F59" s="23"/>
      <c r="G59" s="23"/>
      <c r="H59" s="79"/>
      <c r="I59" s="23"/>
      <c r="J59" s="23"/>
      <c r="K59" s="23"/>
      <c r="L59" s="23"/>
      <c r="M59" s="11"/>
      <c r="N59" s="12"/>
      <c r="O59" s="11"/>
    </row>
    <row r="60" spans="1:21" ht="12.95" customHeight="1" x14ac:dyDescent="0.2">
      <c r="B60" s="8"/>
      <c r="C60" s="8"/>
      <c r="D60" s="8"/>
      <c r="E60" s="23"/>
      <c r="F60" s="23"/>
      <c r="G60" s="23"/>
      <c r="H60" s="68"/>
      <c r="I60" s="30"/>
      <c r="J60" s="8"/>
      <c r="O60" s="11"/>
    </row>
    <row r="61" spans="1:21" ht="12.95" customHeight="1" x14ac:dyDescent="0.2">
      <c r="B61" s="8"/>
      <c r="C61" s="8"/>
      <c r="D61" s="8"/>
      <c r="E61" s="8"/>
      <c r="F61" s="8"/>
      <c r="G61" s="8"/>
      <c r="H61" s="79"/>
      <c r="I61" s="23"/>
      <c r="J61" s="8"/>
      <c r="O61" s="11"/>
    </row>
    <row r="62" spans="1:21" ht="12.95" customHeight="1" x14ac:dyDescent="0.2">
      <c r="B62" s="8"/>
      <c r="C62" s="8"/>
      <c r="D62" s="8"/>
      <c r="E62" s="8"/>
      <c r="F62" s="23"/>
      <c r="G62" s="23"/>
      <c r="H62" s="79"/>
      <c r="I62" s="23"/>
      <c r="J62" s="23"/>
      <c r="O62" s="11"/>
    </row>
    <row r="63" spans="1:21" ht="12.95" customHeight="1" x14ac:dyDescent="0.2">
      <c r="B63" s="8"/>
      <c r="C63" s="8"/>
      <c r="D63" s="8"/>
      <c r="E63" s="23"/>
      <c r="F63" s="23"/>
      <c r="G63" s="23"/>
      <c r="H63" s="68"/>
      <c r="I63" s="8"/>
      <c r="J63" s="8"/>
      <c r="O63" s="11"/>
    </row>
    <row r="64" spans="1:21" ht="12.95" customHeight="1" x14ac:dyDescent="0.2">
      <c r="B64" s="8"/>
      <c r="C64" s="8"/>
      <c r="D64" s="8"/>
      <c r="E64" s="8"/>
      <c r="F64" s="8"/>
      <c r="G64" s="8"/>
      <c r="H64" s="68"/>
      <c r="I64" s="8"/>
      <c r="J64" s="8"/>
      <c r="O64" s="11"/>
    </row>
    <row r="65" spans="1:18" ht="12.95" customHeight="1" x14ac:dyDescent="0.2">
      <c r="B65" s="8"/>
      <c r="C65" s="8"/>
      <c r="D65" s="8"/>
      <c r="E65" s="8"/>
      <c r="F65" s="8"/>
      <c r="G65" s="8"/>
      <c r="H65" s="68"/>
      <c r="I65" s="8"/>
      <c r="J65" s="8"/>
      <c r="O65" s="11"/>
    </row>
    <row r="66" spans="1:18" ht="12.95" customHeight="1" x14ac:dyDescent="0.2">
      <c r="B66" s="8"/>
      <c r="C66" s="32"/>
      <c r="D66" s="32"/>
      <c r="E66" s="29"/>
      <c r="F66" s="8"/>
      <c r="G66" s="8"/>
      <c r="H66" s="68"/>
      <c r="I66" s="8"/>
      <c r="J66" s="8"/>
      <c r="O66" s="11"/>
    </row>
    <row r="67" spans="1:18" x14ac:dyDescent="0.2">
      <c r="B67" s="8"/>
      <c r="C67" s="8"/>
      <c r="D67" s="8"/>
      <c r="E67" s="8"/>
      <c r="F67" s="8"/>
      <c r="G67" s="8"/>
      <c r="H67" s="68"/>
      <c r="I67" s="8"/>
      <c r="J67" s="8"/>
      <c r="O67" s="11"/>
    </row>
    <row r="68" spans="1:18" x14ac:dyDescent="0.2">
      <c r="B68" s="8"/>
      <c r="C68" s="8"/>
      <c r="D68" s="8"/>
      <c r="E68" s="8"/>
      <c r="F68" s="8"/>
      <c r="G68" s="8"/>
      <c r="H68" s="68"/>
      <c r="I68" s="8"/>
      <c r="J68" s="8"/>
      <c r="O68" s="11"/>
    </row>
    <row r="69" spans="1:18" x14ac:dyDescent="0.2">
      <c r="B69" s="8"/>
      <c r="C69" s="8"/>
      <c r="D69" s="8"/>
      <c r="E69" s="8"/>
      <c r="F69" s="8"/>
      <c r="G69" s="8"/>
      <c r="N69" s="12"/>
      <c r="O69" s="11"/>
    </row>
    <row r="70" spans="1:18" x14ac:dyDescent="0.2">
      <c r="N70" s="12"/>
      <c r="O70" s="11"/>
    </row>
    <row r="71" spans="1:18" x14ac:dyDescent="0.2">
      <c r="N71" s="12"/>
      <c r="O71" s="11"/>
    </row>
    <row r="72" spans="1:18" x14ac:dyDescent="0.2">
      <c r="N72" s="12"/>
      <c r="O72" s="11"/>
    </row>
    <row r="73" spans="1:18" x14ac:dyDescent="0.2">
      <c r="A73" s="16"/>
      <c r="B73" s="22"/>
      <c r="C73" s="23"/>
      <c r="N73" s="12"/>
      <c r="O73" s="11"/>
    </row>
    <row r="74" spans="1:18" x14ac:dyDescent="0.2">
      <c r="A74" s="16"/>
      <c r="B74" s="22"/>
      <c r="C74" s="23"/>
      <c r="N74" s="12"/>
      <c r="O74" s="11"/>
    </row>
    <row r="75" spans="1:18" x14ac:dyDescent="0.2">
      <c r="A75" s="11"/>
      <c r="B75" s="22"/>
      <c r="K75" s="15"/>
      <c r="L75" s="19"/>
      <c r="M75" s="12"/>
      <c r="N75" s="10"/>
      <c r="O75" s="11"/>
    </row>
    <row r="76" spans="1:18" x14ac:dyDescent="0.2">
      <c r="A76" s="14"/>
      <c r="B76" s="14"/>
      <c r="K76" s="10"/>
      <c r="L76" s="11"/>
      <c r="M76" s="10"/>
      <c r="N76" s="12"/>
      <c r="O76" s="11"/>
    </row>
    <row r="77" spans="1:18" x14ac:dyDescent="0.2">
      <c r="A77" s="22"/>
      <c r="B77" s="22"/>
      <c r="H77" s="79"/>
      <c r="I77" s="23"/>
      <c r="J77" s="10"/>
      <c r="K77" s="10"/>
      <c r="L77" s="13"/>
      <c r="M77" s="11"/>
      <c r="N77" s="11"/>
      <c r="O77" s="11"/>
    </row>
    <row r="78" spans="1:18" x14ac:dyDescent="0.2">
      <c r="A78" s="22"/>
      <c r="B78" s="22"/>
      <c r="C78" s="23"/>
      <c r="D78" s="23"/>
      <c r="E78" s="23"/>
      <c r="F78" s="23"/>
      <c r="G78" s="23"/>
      <c r="H78" s="72"/>
      <c r="I78" s="10"/>
      <c r="J78" s="10"/>
      <c r="K78" s="10"/>
      <c r="L78" s="16"/>
      <c r="M78" s="10"/>
      <c r="N78" s="11"/>
      <c r="O78" s="11"/>
    </row>
    <row r="79" spans="1:18" x14ac:dyDescent="0.2">
      <c r="A79" s="22"/>
      <c r="B79" s="22"/>
      <c r="C79" s="10"/>
      <c r="D79" s="10"/>
      <c r="E79" s="10"/>
      <c r="F79" s="10"/>
      <c r="G79" s="10"/>
      <c r="H79" s="72"/>
      <c r="I79" s="10"/>
      <c r="J79" s="10"/>
      <c r="K79" s="10"/>
      <c r="L79" s="16"/>
      <c r="M79" s="20"/>
      <c r="N79" s="11"/>
      <c r="O79" s="11"/>
      <c r="Q79" s="2"/>
      <c r="R79" s="2"/>
    </row>
    <row r="80" spans="1:18" x14ac:dyDescent="0.2">
      <c r="A80" s="22"/>
      <c r="B80" s="22"/>
      <c r="C80" s="10"/>
      <c r="D80" s="10"/>
      <c r="E80" s="10"/>
      <c r="F80" s="10"/>
      <c r="G80" s="10"/>
      <c r="H80" s="72"/>
      <c r="I80" s="10"/>
      <c r="J80" s="10"/>
      <c r="K80" s="10"/>
      <c r="L80" s="16"/>
      <c r="M80" s="21"/>
      <c r="N80" s="11"/>
      <c r="O80" s="11"/>
      <c r="Q80" s="2"/>
      <c r="R80" s="2"/>
    </row>
    <row r="81" spans="1:24" x14ac:dyDescent="0.2">
      <c r="A81" s="22"/>
      <c r="B81" s="22"/>
      <c r="C81" s="10"/>
      <c r="D81" s="10"/>
      <c r="E81" s="10"/>
      <c r="F81" s="10"/>
      <c r="G81" s="10"/>
      <c r="H81" s="72"/>
      <c r="I81" s="10"/>
      <c r="J81" s="10"/>
      <c r="K81" s="10"/>
      <c r="L81" s="16"/>
      <c r="M81" s="12"/>
      <c r="N81" s="11"/>
      <c r="O81" s="11"/>
      <c r="Q81" s="2"/>
      <c r="R81" s="2"/>
    </row>
    <row r="82" spans="1:24" x14ac:dyDescent="0.2">
      <c r="A82" s="22"/>
      <c r="B82" s="22"/>
      <c r="C82" s="10"/>
      <c r="D82" s="10"/>
      <c r="E82" s="10"/>
      <c r="F82" s="10"/>
      <c r="G82" s="10"/>
      <c r="H82" s="72"/>
      <c r="I82" s="10"/>
      <c r="J82" s="10"/>
      <c r="K82" s="10"/>
      <c r="L82" s="16"/>
      <c r="M82" s="10"/>
      <c r="N82" s="11"/>
      <c r="O82" s="11"/>
      <c r="Q82" s="2"/>
      <c r="R82" s="2"/>
    </row>
    <row r="83" spans="1:24" x14ac:dyDescent="0.2">
      <c r="A83" s="22"/>
      <c r="B83" s="22"/>
      <c r="C83" s="10"/>
      <c r="D83" s="10"/>
      <c r="E83" s="10"/>
      <c r="F83" s="10"/>
      <c r="G83" s="10"/>
      <c r="H83" s="72"/>
      <c r="I83" s="10"/>
      <c r="J83" s="10"/>
      <c r="K83" s="10"/>
      <c r="L83" s="11"/>
      <c r="M83" s="11"/>
      <c r="N83" s="11"/>
      <c r="O83" s="11"/>
      <c r="Q83" s="2"/>
      <c r="R83" s="2"/>
    </row>
    <row r="84" spans="1:24" x14ac:dyDescent="0.2">
      <c r="A84" s="22"/>
      <c r="B84" s="22"/>
      <c r="C84" s="10"/>
      <c r="D84" s="10"/>
      <c r="E84" s="10"/>
      <c r="F84" s="10"/>
      <c r="G84" s="10"/>
      <c r="H84" s="72"/>
      <c r="I84" s="10"/>
      <c r="J84" s="10"/>
      <c r="K84" s="10"/>
      <c r="L84" s="11"/>
      <c r="M84" s="11"/>
      <c r="Q84" s="2"/>
      <c r="R84" s="2"/>
    </row>
    <row r="85" spans="1:24" x14ac:dyDescent="0.2">
      <c r="A85" s="22"/>
      <c r="B85" s="22"/>
      <c r="C85" s="10"/>
      <c r="D85" s="10"/>
      <c r="E85" s="10"/>
      <c r="F85" s="10"/>
      <c r="G85" s="10"/>
      <c r="H85" s="72"/>
      <c r="I85" s="10"/>
      <c r="J85" s="10"/>
      <c r="K85" s="10"/>
      <c r="L85" s="11"/>
      <c r="M85" s="11"/>
      <c r="Q85" s="2"/>
      <c r="R85" s="2"/>
    </row>
    <row r="86" spans="1:24" x14ac:dyDescent="0.2">
      <c r="A86" s="22"/>
      <c r="B86" s="22"/>
      <c r="C86" s="10"/>
      <c r="D86" s="10"/>
      <c r="E86" s="10"/>
      <c r="F86" s="10"/>
      <c r="G86" s="10"/>
      <c r="H86" s="73"/>
      <c r="I86" s="11"/>
      <c r="J86" s="11"/>
      <c r="K86" s="11"/>
      <c r="L86" s="11"/>
      <c r="M86" s="11"/>
    </row>
    <row r="87" spans="1:24" x14ac:dyDescent="0.2">
      <c r="A87" s="11"/>
      <c r="B87" s="11"/>
      <c r="C87" s="11"/>
      <c r="D87" s="11"/>
      <c r="E87" s="11"/>
      <c r="F87" s="11"/>
      <c r="G87" s="11"/>
      <c r="H87" s="76"/>
      <c r="I87" s="15"/>
      <c r="J87" s="15"/>
      <c r="K87" s="15"/>
      <c r="L87" s="11"/>
      <c r="M87" s="11"/>
    </row>
    <row r="88" spans="1:24" x14ac:dyDescent="0.2">
      <c r="A88" s="13"/>
      <c r="B88" s="13"/>
      <c r="C88" s="15"/>
      <c r="D88" s="15"/>
      <c r="E88" s="15"/>
      <c r="F88" s="15"/>
      <c r="G88" s="15"/>
      <c r="H88" s="72"/>
      <c r="I88" s="10"/>
      <c r="J88" s="10"/>
      <c r="K88" s="10"/>
      <c r="L88" s="11"/>
      <c r="M88" s="11"/>
    </row>
    <row r="89" spans="1:24" x14ac:dyDescent="0.2">
      <c r="A89" s="11"/>
      <c r="B89" s="16"/>
      <c r="C89" s="10"/>
      <c r="D89" s="10"/>
      <c r="E89" s="10"/>
      <c r="F89" s="10"/>
      <c r="G89" s="10"/>
      <c r="H89" s="77"/>
      <c r="I89" s="20"/>
      <c r="J89" s="20"/>
      <c r="K89" s="20"/>
      <c r="L89" s="11"/>
      <c r="M89" s="11"/>
      <c r="Q89" s="64"/>
    </row>
    <row r="90" spans="1:24" x14ac:dyDescent="0.2">
      <c r="A90" s="11"/>
      <c r="B90" s="16"/>
      <c r="C90" s="20"/>
      <c r="D90" s="20"/>
      <c r="E90" s="20"/>
      <c r="F90" s="20"/>
      <c r="G90" s="20"/>
      <c r="H90" s="78"/>
      <c r="I90" s="21"/>
      <c r="J90" s="21"/>
      <c r="K90" s="21"/>
      <c r="L90" s="11"/>
      <c r="M90" s="11"/>
      <c r="Q90" s="2"/>
      <c r="R90" s="2"/>
      <c r="S90" s="2"/>
      <c r="T90" s="2"/>
      <c r="U90" s="2"/>
      <c r="V90" s="2"/>
      <c r="W90" s="2"/>
      <c r="X90" s="4"/>
    </row>
    <row r="91" spans="1:24" x14ac:dyDescent="0.2">
      <c r="A91" s="16"/>
      <c r="B91" s="16"/>
      <c r="C91" s="21"/>
      <c r="D91" s="21"/>
      <c r="E91" s="21"/>
      <c r="F91" s="21"/>
      <c r="G91" s="21"/>
      <c r="H91" s="74"/>
      <c r="I91" s="12"/>
      <c r="J91" s="12"/>
      <c r="K91" s="12"/>
      <c r="L91" s="11"/>
      <c r="M91" s="11"/>
      <c r="Q91" s="2"/>
      <c r="R91" s="2"/>
      <c r="S91" s="2"/>
      <c r="T91" s="2"/>
      <c r="U91" s="2"/>
      <c r="V91" s="2"/>
      <c r="W91" s="2"/>
      <c r="X91" s="3"/>
    </row>
    <row r="92" spans="1:24" x14ac:dyDescent="0.2">
      <c r="A92" s="16"/>
      <c r="B92" s="16"/>
      <c r="C92" s="12"/>
      <c r="D92" s="12"/>
      <c r="E92" s="12"/>
      <c r="F92" s="12"/>
      <c r="G92" s="12"/>
      <c r="H92" s="72"/>
      <c r="I92" s="10"/>
      <c r="J92" s="10"/>
      <c r="K92" s="10"/>
      <c r="L92" s="11"/>
      <c r="M92" s="11"/>
      <c r="Q92" s="2"/>
      <c r="R92" s="2"/>
      <c r="S92" s="2"/>
      <c r="T92" s="2"/>
      <c r="U92" s="2"/>
      <c r="V92" s="2"/>
      <c r="W92" s="2"/>
      <c r="X92" s="3"/>
    </row>
    <row r="93" spans="1:24" x14ac:dyDescent="0.2">
      <c r="A93" s="11"/>
      <c r="B93" s="16"/>
      <c r="C93" s="10"/>
      <c r="D93" s="10"/>
      <c r="E93" s="10"/>
      <c r="F93" s="10"/>
      <c r="G93" s="10"/>
      <c r="H93" s="73"/>
      <c r="I93" s="11"/>
      <c r="J93" s="11"/>
      <c r="K93" s="11"/>
      <c r="L93" s="11"/>
      <c r="M93" s="11"/>
      <c r="Q93" s="2"/>
      <c r="R93" s="2"/>
      <c r="S93" s="2"/>
      <c r="T93" s="2"/>
      <c r="U93" s="2"/>
      <c r="V93" s="2"/>
      <c r="W93" s="2"/>
      <c r="X93" s="3"/>
    </row>
    <row r="94" spans="1:24" x14ac:dyDescent="0.2">
      <c r="A94" s="11"/>
      <c r="B94" s="11"/>
      <c r="C94" s="11"/>
      <c r="D94" s="11"/>
      <c r="E94" s="11"/>
      <c r="F94" s="11"/>
      <c r="G94" s="11"/>
      <c r="H94" s="73"/>
      <c r="I94" s="11"/>
      <c r="J94" s="11"/>
      <c r="K94" s="11"/>
      <c r="L94" s="11"/>
      <c r="M94" s="11"/>
      <c r="Q94" s="2"/>
      <c r="R94" s="2"/>
      <c r="S94" s="2"/>
      <c r="T94" s="2"/>
      <c r="U94" s="2"/>
      <c r="V94" s="2"/>
      <c r="W94" s="2"/>
      <c r="X94" s="3"/>
    </row>
    <row r="95" spans="1:24" x14ac:dyDescent="0.2">
      <c r="A95" s="11"/>
      <c r="B95" s="11"/>
      <c r="C95" s="11"/>
      <c r="D95" s="11"/>
      <c r="E95" s="11"/>
      <c r="F95" s="11"/>
      <c r="G95" s="11"/>
      <c r="H95" s="73"/>
      <c r="I95" s="11"/>
      <c r="J95" s="11"/>
      <c r="K95" s="11"/>
      <c r="L95" s="11"/>
      <c r="M95" s="11"/>
      <c r="Q95" s="2"/>
      <c r="R95" s="2"/>
      <c r="S95" s="2"/>
      <c r="T95" s="2"/>
      <c r="U95" s="2"/>
      <c r="V95" s="2"/>
      <c r="W95" s="2"/>
      <c r="X95" s="3"/>
    </row>
    <row r="96" spans="1:24" x14ac:dyDescent="0.2">
      <c r="A96" s="11"/>
      <c r="B96" s="11"/>
      <c r="C96" s="11"/>
      <c r="D96" s="11"/>
      <c r="E96" s="11"/>
      <c r="F96" s="11"/>
      <c r="G96" s="11"/>
      <c r="Q96" s="2"/>
      <c r="R96" s="2"/>
      <c r="S96" s="2"/>
      <c r="T96" s="2"/>
      <c r="U96" s="2"/>
      <c r="V96" s="2"/>
      <c r="W96" s="2"/>
      <c r="X96" s="3"/>
    </row>
    <row r="97" spans="17:24" x14ac:dyDescent="0.2">
      <c r="Q97" s="2"/>
      <c r="R97" s="2"/>
      <c r="S97" s="2"/>
      <c r="T97" s="2"/>
      <c r="U97" s="2"/>
      <c r="V97" s="2"/>
      <c r="W97" s="2"/>
      <c r="X97" s="3"/>
    </row>
    <row r="98" spans="17:24" x14ac:dyDescent="0.2">
      <c r="Q98" s="2"/>
      <c r="R98" s="2"/>
      <c r="S98" s="2"/>
      <c r="T98" s="2"/>
      <c r="U98" s="2"/>
      <c r="V98" s="2"/>
      <c r="W98" s="2"/>
      <c r="X98" s="3"/>
    </row>
    <row r="99" spans="17:24" x14ac:dyDescent="0.2">
      <c r="Q99" s="2"/>
      <c r="R99" s="2"/>
      <c r="S99" s="2"/>
      <c r="T99" s="2"/>
      <c r="U99" s="2"/>
      <c r="V99" s="2"/>
      <c r="W99" s="2"/>
      <c r="X99" s="3"/>
    </row>
    <row r="100" spans="17:24" x14ac:dyDescent="0.2">
      <c r="Q100" s="2"/>
      <c r="R100" s="2"/>
      <c r="S100" s="2"/>
      <c r="T100" s="2"/>
      <c r="U100" s="2"/>
      <c r="V100" s="2"/>
      <c r="W100" s="2"/>
      <c r="X100" s="3"/>
    </row>
    <row r="101" spans="17:24" x14ac:dyDescent="0.2">
      <c r="Q101" s="2"/>
      <c r="R101" s="2"/>
      <c r="S101" s="2"/>
      <c r="T101" s="2"/>
      <c r="U101" s="2"/>
      <c r="V101" s="2"/>
      <c r="W101" s="2"/>
      <c r="X101" s="3"/>
    </row>
    <row r="102" spans="17:24" x14ac:dyDescent="0.2">
      <c r="Q102" s="2"/>
      <c r="R102" s="2"/>
      <c r="S102" s="2"/>
      <c r="T102" s="2"/>
      <c r="U102" s="2"/>
      <c r="V102" s="2"/>
      <c r="W102" s="2"/>
      <c r="X102" s="3"/>
    </row>
    <row r="103" spans="17:24" x14ac:dyDescent="0.2">
      <c r="Q103" s="2"/>
      <c r="R103" s="2"/>
      <c r="S103" s="2"/>
      <c r="T103" s="2"/>
      <c r="U103" s="2"/>
      <c r="V103" s="2"/>
      <c r="W103" s="2"/>
      <c r="X103" s="3"/>
    </row>
    <row r="104" spans="17:24" x14ac:dyDescent="0.2">
      <c r="Q104" s="2"/>
      <c r="R104" s="2"/>
      <c r="S104" s="2"/>
      <c r="T104" s="2"/>
      <c r="U104" s="2"/>
      <c r="V104" s="2"/>
      <c r="W104" s="2"/>
      <c r="X104" s="3"/>
    </row>
    <row r="105" spans="17:24" x14ac:dyDescent="0.2">
      <c r="Q105" s="2"/>
      <c r="R105" s="2"/>
      <c r="S105" s="2"/>
      <c r="T105" s="2"/>
      <c r="U105" s="2"/>
      <c r="V105" s="2"/>
      <c r="W105" s="2"/>
      <c r="X105" s="3"/>
    </row>
    <row r="106" spans="17:24" x14ac:dyDescent="0.2">
      <c r="Q106" s="2"/>
      <c r="R106" s="2"/>
      <c r="S106" s="2"/>
      <c r="T106" s="2"/>
      <c r="U106" s="2"/>
      <c r="V106" s="2"/>
      <c r="W106" s="2"/>
      <c r="X106" s="3"/>
    </row>
    <row r="107" spans="17:24" x14ac:dyDescent="0.2">
      <c r="Q107" s="2"/>
      <c r="R107" s="2"/>
      <c r="S107" s="2"/>
      <c r="T107" s="2"/>
      <c r="U107" s="2"/>
      <c r="V107" s="2"/>
      <c r="W107" s="2"/>
      <c r="X107" s="3"/>
    </row>
    <row r="108" spans="17:24" x14ac:dyDescent="0.2">
      <c r="Q108" s="2"/>
      <c r="R108" s="2"/>
      <c r="S108" s="2"/>
      <c r="T108" s="2"/>
      <c r="U108" s="2"/>
      <c r="V108" s="2"/>
      <c r="W108" s="2"/>
      <c r="X108" s="3"/>
    </row>
    <row r="109" spans="17:24" x14ac:dyDescent="0.2">
      <c r="Q109" s="2"/>
      <c r="R109" s="2"/>
      <c r="S109" s="2"/>
      <c r="T109" s="2"/>
      <c r="U109" s="2"/>
      <c r="V109" s="2"/>
      <c r="W109" s="2"/>
      <c r="X109" s="3"/>
    </row>
    <row r="110" spans="17:24" x14ac:dyDescent="0.2">
      <c r="Q110" s="2"/>
      <c r="R110" s="2"/>
      <c r="S110" s="2"/>
      <c r="T110" s="2"/>
      <c r="U110" s="2"/>
      <c r="V110" s="2"/>
      <c r="W110" s="2"/>
      <c r="X110" s="3"/>
    </row>
    <row r="111" spans="17:24" x14ac:dyDescent="0.2">
      <c r="Q111" s="2"/>
      <c r="R111" s="2"/>
      <c r="S111" s="2"/>
      <c r="T111" s="2"/>
      <c r="U111" s="2"/>
      <c r="V111" s="2"/>
      <c r="W111" s="2"/>
      <c r="X111" s="3"/>
    </row>
    <row r="112" spans="17:24" x14ac:dyDescent="0.2">
      <c r="Q112" s="2"/>
      <c r="R112" s="2"/>
      <c r="S112" s="2"/>
      <c r="T112" s="2"/>
      <c r="U112" s="2"/>
      <c r="V112" s="2"/>
      <c r="W112" s="2"/>
      <c r="X112" s="3"/>
    </row>
    <row r="113" spans="17:24" x14ac:dyDescent="0.2">
      <c r="Q113" s="2"/>
      <c r="R113" s="2"/>
      <c r="S113" s="2"/>
      <c r="T113" s="2"/>
      <c r="U113" s="2"/>
      <c r="V113" s="2"/>
      <c r="W113" s="2"/>
      <c r="X113" s="3"/>
    </row>
    <row r="114" spans="17:24" x14ac:dyDescent="0.2">
      <c r="Q114" s="2"/>
      <c r="R114" s="2"/>
      <c r="S114" s="2"/>
      <c r="T114" s="2"/>
      <c r="U114" s="2"/>
      <c r="V114" s="2"/>
      <c r="W114" s="2"/>
      <c r="X114" s="3"/>
    </row>
    <row r="115" spans="17:24" x14ac:dyDescent="0.2">
      <c r="Q115" s="2"/>
      <c r="R115" s="2"/>
      <c r="S115" s="2"/>
      <c r="T115" s="2"/>
      <c r="U115" s="2"/>
      <c r="V115" s="2"/>
      <c r="W115" s="2"/>
      <c r="X115" s="3"/>
    </row>
    <row r="116" spans="17:24" x14ac:dyDescent="0.2">
      <c r="Q116" s="2"/>
      <c r="R116" s="2"/>
      <c r="S116" s="2"/>
      <c r="T116" s="2"/>
      <c r="U116" s="2"/>
      <c r="V116" s="2"/>
      <c r="W116" s="2"/>
      <c r="X116" s="3"/>
    </row>
  </sheetData>
  <dataConsolidate/>
  <mergeCells count="18">
    <mergeCell ref="A28:A31"/>
    <mergeCell ref="A34:A37"/>
    <mergeCell ref="A40:A43"/>
    <mergeCell ref="A10:A13"/>
    <mergeCell ref="A22:A25"/>
    <mergeCell ref="B5:C5"/>
    <mergeCell ref="A16:A19"/>
    <mergeCell ref="K10:K13"/>
    <mergeCell ref="K16:K19"/>
    <mergeCell ref="K22:K25"/>
    <mergeCell ref="M51:P51"/>
    <mergeCell ref="G2:H2"/>
    <mergeCell ref="G3:H3"/>
    <mergeCell ref="G4:H4"/>
    <mergeCell ref="E5:H5"/>
    <mergeCell ref="K28:K31"/>
    <mergeCell ref="K34:K37"/>
    <mergeCell ref="M50:P50"/>
  </mergeCells>
  <phoneticPr fontId="2" type="noConversion"/>
  <conditionalFormatting sqref="M79:M81 C90:G92 H89:K91">
    <cfRule type="expression" dxfId="70" priority="10" stopIfTrue="1">
      <formula>ISERROR(C79)</formula>
    </cfRule>
  </conditionalFormatting>
  <conditionalFormatting sqref="M78 C89:G89 H88:K88">
    <cfRule type="cellIs" dxfId="69" priority="11" stopIfTrue="1" operator="equal">
      <formula>FALSE</formula>
    </cfRule>
  </conditionalFormatting>
  <conditionalFormatting sqref="N3">
    <cfRule type="cellIs" dxfId="68" priority="46" stopIfTrue="1" operator="notBetween">
      <formula>0</formula>
      <formula>1</formula>
    </cfRule>
  </conditionalFormatting>
  <conditionalFormatting sqref="M7:P7 G2:G3">
    <cfRule type="cellIs" dxfId="67" priority="47" stopIfTrue="1" operator="lessThan">
      <formula>0</formula>
    </cfRule>
  </conditionalFormatting>
  <conditionalFormatting sqref="G4">
    <cfRule type="cellIs" priority="48" stopIfTrue="1" operator="lessThan">
      <formula>0</formula>
    </cfRule>
  </conditionalFormatting>
  <conditionalFormatting sqref="C16:F19">
    <cfRule type="cellIs" dxfId="66" priority="50" stopIfTrue="1" operator="greaterThan">
      <formula>1</formula>
    </cfRule>
  </conditionalFormatting>
  <conditionalFormatting sqref="M45">
    <cfRule type="cellIs" dxfId="65" priority="5" operator="greaterThan">
      <formula>1</formula>
    </cfRule>
  </conditionalFormatting>
  <conditionalFormatting sqref="N45">
    <cfRule type="cellIs" dxfId="64" priority="4" operator="greaterThan">
      <formula>1</formula>
    </cfRule>
  </conditionalFormatting>
  <conditionalFormatting sqref="O45">
    <cfRule type="cellIs" dxfId="63" priority="3" operator="greaterThan">
      <formula>1</formula>
    </cfRule>
  </conditionalFormatting>
  <conditionalFormatting sqref="P45">
    <cfRule type="cellIs" dxfId="62" priority="2" operator="greaterThan">
      <formula>1</formula>
    </cfRule>
  </conditionalFormatting>
  <conditionalFormatting sqref="N2">
    <cfRule type="cellIs" dxfId="61" priority="51" stopIfTrue="1" operator="equal">
      <formula>$P$3</formula>
    </cfRule>
    <cfRule type="cellIs" dxfId="60" priority="53" stopIfTrue="1" operator="notBetween">
      <formula>2.9</formula>
      <formula>4.1</formula>
    </cfRule>
  </conditionalFormatting>
  <conditionalFormatting sqref="I17">
    <cfRule type="colorScale" priority="1">
      <colorScale>
        <cfvo type="num" val="-100000000"/>
        <cfvo type="num" val="10000000000"/>
        <color rgb="FFFF0000"/>
        <color rgb="FFFF0000"/>
      </colorScale>
    </cfRule>
  </conditionalFormatting>
  <dataValidations disablePrompts="1" count="3">
    <dataValidation type="list" allowBlank="1" showInputMessage="1" showErrorMessage="1" sqref="N4">
      <formula1>"AM,PM"</formula1>
    </dataValidation>
    <dataValidation type="list" allowBlank="1" showInputMessage="1" showErrorMessage="1" sqref="N2">
      <formula1>"3,4"</formula1>
    </dataValidation>
    <dataValidation type="decimal" allowBlank="1" showInputMessage="1" showErrorMessage="1" sqref="N3">
      <formula1>0</formula1>
      <formula2>1</formula2>
    </dataValidation>
  </dataValidations>
  <pageMargins left="0.7" right="0.7" top="0.75" bottom="0.75" header="0.3" footer="0.3"/>
  <pageSetup scale="90" orientation="portrait" r:id="rId1"/>
  <headerFooter>
    <oddHeader>&amp;CSingle Lane Roundabout Input Sheet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F113"/>
  <sheetViews>
    <sheetView showGridLines="0" view="pageBreakPreview" topLeftCell="C1" zoomScale="60" zoomScaleNormal="100" zoomScalePageLayoutView="90" workbookViewId="0">
      <selection activeCell="D59" sqref="D59"/>
    </sheetView>
  </sheetViews>
  <sheetFormatPr defaultRowHeight="12.75" x14ac:dyDescent="0.2"/>
  <cols>
    <col min="1" max="1" width="10.5703125" customWidth="1"/>
    <col min="2" max="2" width="9.7109375" customWidth="1"/>
    <col min="3" max="3" width="7.85546875" customWidth="1"/>
    <col min="4" max="4" width="8.140625" customWidth="1"/>
    <col min="5" max="5" width="7.140625" customWidth="1"/>
    <col min="6" max="6" width="7.7109375" customWidth="1"/>
    <col min="7" max="7" width="0.7109375" customWidth="1"/>
    <col min="8" max="9" width="8.85546875" customWidth="1"/>
    <col min="10" max="10" width="10.28515625" customWidth="1"/>
    <col min="11" max="11" width="7.85546875" customWidth="1"/>
    <col min="12" max="12" width="9.7109375" customWidth="1"/>
    <col min="13" max="16" width="7.28515625" customWidth="1"/>
    <col min="17" max="17" width="0.7109375" customWidth="1"/>
    <col min="18" max="18" width="5.7109375" customWidth="1"/>
    <col min="19" max="19" width="4.85546875" customWidth="1"/>
    <col min="20" max="20" width="0.85546875" customWidth="1"/>
    <col min="21" max="21" width="7.140625" customWidth="1"/>
    <col min="22" max="22" width="5" customWidth="1"/>
    <col min="23" max="26" width="7.28515625" customWidth="1"/>
    <col min="28" max="31" width="8.85546875" hidden="1" customWidth="1"/>
  </cols>
  <sheetData>
    <row r="1" spans="1:26" ht="13.5" thickBot="1" x14ac:dyDescent="0.25">
      <c r="A1" s="1" t="s">
        <v>10</v>
      </c>
      <c r="B1" s="1"/>
      <c r="C1" s="1"/>
      <c r="D1" s="1"/>
      <c r="E1" s="11"/>
      <c r="F1" s="11"/>
      <c r="G1" s="11"/>
      <c r="H1" s="11"/>
      <c r="I1" s="11"/>
      <c r="K1" s="505" t="s">
        <v>11</v>
      </c>
      <c r="L1" s="507"/>
      <c r="M1" s="497"/>
      <c r="N1" s="506"/>
      <c r="O1" s="534" t="s">
        <v>20</v>
      </c>
      <c r="P1" s="498"/>
      <c r="Q1" s="508"/>
      <c r="R1" s="508"/>
      <c r="S1" s="530" t="s">
        <v>44</v>
      </c>
      <c r="T1" s="494"/>
      <c r="U1" s="502" t="s">
        <v>42</v>
      </c>
      <c r="V1" s="497"/>
      <c r="W1" s="497"/>
      <c r="X1" s="506"/>
      <c r="Y1" s="499"/>
      <c r="Z1" s="494"/>
    </row>
    <row r="2" spans="1:26" ht="13.9" customHeight="1" thickTop="1" x14ac:dyDescent="0.2">
      <c r="A2" s="66" t="s">
        <v>198</v>
      </c>
      <c r="E2" s="11"/>
      <c r="F2" s="11"/>
      <c r="G2" s="11"/>
      <c r="H2" s="11"/>
      <c r="I2" s="11"/>
      <c r="K2" s="515" t="s">
        <v>0</v>
      </c>
      <c r="L2" s="544" t="str">
        <f>Singlelane!B2</f>
        <v>Pat Stoplight PE</v>
      </c>
      <c r="M2" s="531"/>
      <c r="N2" s="504"/>
      <c r="O2" s="537" t="s">
        <v>15</v>
      </c>
      <c r="P2" s="533" t="s">
        <v>16</v>
      </c>
      <c r="Q2" s="648">
        <f>Singlelane!G2</f>
        <v>1</v>
      </c>
      <c r="R2" s="649"/>
      <c r="S2" s="528">
        <v>1</v>
      </c>
      <c r="T2" s="494"/>
      <c r="U2" s="512" t="s">
        <v>39</v>
      </c>
      <c r="V2" s="513"/>
      <c r="W2" s="514"/>
      <c r="X2" s="468">
        <f>Singlelane!N2</f>
        <v>4</v>
      </c>
      <c r="Y2" s="509" t="s">
        <v>48</v>
      </c>
      <c r="Z2" s="510"/>
    </row>
    <row r="3" spans="1:26" ht="13.9" customHeight="1" thickBot="1" x14ac:dyDescent="0.25">
      <c r="E3" s="11"/>
      <c r="F3" s="11"/>
      <c r="G3" s="11"/>
      <c r="H3" s="11"/>
      <c r="I3" s="11"/>
      <c r="K3" s="516" t="s">
        <v>19</v>
      </c>
      <c r="L3" s="511" t="str">
        <f>Singlelane!B3</f>
        <v>Safety City</v>
      </c>
      <c r="M3" s="499"/>
      <c r="N3" s="526"/>
      <c r="O3" s="538" t="s">
        <v>21</v>
      </c>
      <c r="P3" s="532" t="s">
        <v>14</v>
      </c>
      <c r="Q3" s="656">
        <f>Singlelane!G3</f>
        <v>1.5</v>
      </c>
      <c r="R3" s="657"/>
      <c r="S3" s="529">
        <v>1.5</v>
      </c>
      <c r="T3" s="494"/>
      <c r="U3" s="512" t="s">
        <v>29</v>
      </c>
      <c r="V3" s="513"/>
      <c r="W3" s="514"/>
      <c r="X3" s="547">
        <f>Singlelane!N3</f>
        <v>0.25</v>
      </c>
      <c r="Y3" s="499"/>
      <c r="Z3" s="495"/>
    </row>
    <row r="4" spans="1:26" ht="13.9" customHeight="1" thickBot="1" x14ac:dyDescent="0.25">
      <c r="A4" s="66" t="s">
        <v>88</v>
      </c>
      <c r="E4" s="11"/>
      <c r="F4" s="11"/>
      <c r="G4" s="11"/>
      <c r="H4" s="64"/>
      <c r="I4" s="64"/>
      <c r="J4" s="64"/>
      <c r="K4" s="100" t="s">
        <v>1</v>
      </c>
      <c r="L4" s="215">
        <f>Singlelane!B4</f>
        <v>42269</v>
      </c>
      <c r="M4" s="242"/>
      <c r="N4" s="136"/>
      <c r="O4" s="60" t="s">
        <v>22</v>
      </c>
      <c r="P4" s="246" t="s">
        <v>17</v>
      </c>
      <c r="Q4" s="650">
        <f>Singlelane!G4</f>
        <v>2</v>
      </c>
      <c r="R4" s="651"/>
      <c r="S4" s="218">
        <v>2</v>
      </c>
      <c r="T4" s="64"/>
      <c r="U4" s="350" t="s">
        <v>49</v>
      </c>
      <c r="V4" s="548">
        <f>Singlelane!L4</f>
        <v>0</v>
      </c>
      <c r="W4" s="548" t="str">
        <f>Singlelane!M4</f>
        <v>00</v>
      </c>
      <c r="X4" s="352" t="str">
        <f>Singlelane!N4</f>
        <v>PM</v>
      </c>
      <c r="Y4" s="44" t="s">
        <v>48</v>
      </c>
      <c r="Z4" s="262">
        <f>IF(M12&gt;0,IF(N13&gt;0,IF(O10&gt;0,IF(P12&gt;0,4,3),3),3),3)</f>
        <v>3</v>
      </c>
    </row>
    <row r="5" spans="1:26" ht="13.5" thickBot="1" x14ac:dyDescent="0.25">
      <c r="A5" s="500" t="s">
        <v>41</v>
      </c>
      <c r="B5" s="122"/>
      <c r="C5" s="178"/>
      <c r="D5" s="179" t="s">
        <v>12</v>
      </c>
      <c r="E5" s="180"/>
      <c r="F5" s="181"/>
      <c r="G5" s="11"/>
      <c r="H5" s="64"/>
      <c r="I5" s="64"/>
      <c r="J5" s="64"/>
      <c r="K5" s="328" t="s">
        <v>192</v>
      </c>
      <c r="L5" s="457">
        <f>Singlelane!B5</f>
        <v>0</v>
      </c>
      <c r="M5" s="380"/>
      <c r="N5" s="419"/>
      <c r="O5" s="460" t="s">
        <v>193</v>
      </c>
      <c r="P5" s="425">
        <f>Singlelane!E5</f>
        <v>0</v>
      </c>
      <c r="Q5" s="426"/>
      <c r="R5" s="426"/>
      <c r="S5" s="427"/>
      <c r="T5" s="68"/>
      <c r="U5" s="500" t="s">
        <v>206</v>
      </c>
      <c r="V5" s="503"/>
      <c r="W5" s="522"/>
      <c r="X5" s="518" t="s">
        <v>12</v>
      </c>
      <c r="Y5" s="517"/>
      <c r="Z5" s="519"/>
    </row>
    <row r="6" spans="1:26" ht="13.5" thickBot="1" x14ac:dyDescent="0.25">
      <c r="A6" s="69" t="s">
        <v>57</v>
      </c>
      <c r="B6" s="111"/>
      <c r="C6" s="182" t="s">
        <v>3</v>
      </c>
      <c r="D6" s="183" t="s">
        <v>4</v>
      </c>
      <c r="E6" s="183" t="s">
        <v>5</v>
      </c>
      <c r="F6" s="184" t="s">
        <v>55</v>
      </c>
      <c r="G6" s="11"/>
      <c r="H6" s="64"/>
      <c r="I6" s="64"/>
      <c r="J6" s="64"/>
      <c r="K6" s="415" t="s">
        <v>18</v>
      </c>
      <c r="L6" s="458" t="str">
        <f>Singlelane!B6</f>
        <v>Project Name</v>
      </c>
      <c r="M6" s="416"/>
      <c r="N6" s="292"/>
      <c r="P6" s="399" t="s">
        <v>2</v>
      </c>
      <c r="Q6" s="413" t="str">
        <f>Singlelane!F6</f>
        <v>20yrs &gt; build</v>
      </c>
      <c r="R6" s="414"/>
      <c r="S6" s="401"/>
      <c r="T6" s="68"/>
      <c r="U6" s="539" t="s">
        <v>205</v>
      </c>
      <c r="V6" s="501"/>
      <c r="W6" s="523" t="s">
        <v>3</v>
      </c>
      <c r="X6" s="520" t="s">
        <v>4</v>
      </c>
      <c r="Y6" s="520" t="s">
        <v>5</v>
      </c>
      <c r="Z6" s="521" t="s">
        <v>55</v>
      </c>
    </row>
    <row r="7" spans="1:26" ht="13.9" customHeight="1" thickTop="1" thickBot="1" x14ac:dyDescent="0.25">
      <c r="A7" s="639" t="s">
        <v>13</v>
      </c>
      <c r="B7" s="524" t="s">
        <v>3</v>
      </c>
      <c r="C7" s="177">
        <f>Singlelane!C10</f>
        <v>0</v>
      </c>
      <c r="D7" s="233">
        <f>Singlelane!D10</f>
        <v>0</v>
      </c>
      <c r="E7" s="177">
        <f>Singlelane!E10</f>
        <v>0</v>
      </c>
      <c r="F7" s="549">
        <f>Singlelane!F10</f>
        <v>0</v>
      </c>
      <c r="G7" s="11"/>
      <c r="H7" s="64"/>
      <c r="I7" s="64"/>
      <c r="J7" s="64"/>
      <c r="O7" s="347"/>
      <c r="P7" s="348"/>
      <c r="Q7" s="652"/>
      <c r="R7" s="653"/>
      <c r="S7" s="349"/>
      <c r="T7" s="64"/>
      <c r="U7" s="540" t="s">
        <v>207</v>
      </c>
      <c r="V7" s="541"/>
      <c r="W7" s="542">
        <f>Singlelane!M7</f>
        <v>0</v>
      </c>
      <c r="X7" s="542">
        <f>Singlelane!N7</f>
        <v>0</v>
      </c>
      <c r="Y7" s="542">
        <f>Singlelane!O7</f>
        <v>0</v>
      </c>
      <c r="Z7" s="543">
        <f>Singlelane!P7</f>
        <v>0</v>
      </c>
    </row>
    <row r="8" spans="1:26" ht="13.9" customHeight="1" x14ac:dyDescent="0.2">
      <c r="A8" s="654"/>
      <c r="B8" s="524" t="s">
        <v>4</v>
      </c>
      <c r="C8" s="177">
        <f>Singlelane!C11</f>
        <v>0</v>
      </c>
      <c r="D8" s="177">
        <f>Singlelane!D11</f>
        <v>0</v>
      </c>
      <c r="E8" s="233">
        <f>Singlelane!E11</f>
        <v>0</v>
      </c>
      <c r="F8" s="549">
        <f>Singlelane!F11</f>
        <v>0</v>
      </c>
      <c r="G8" s="11"/>
      <c r="H8" s="64"/>
      <c r="I8" s="64"/>
      <c r="J8" s="64"/>
      <c r="K8" s="80" t="s">
        <v>41</v>
      </c>
      <c r="L8" s="83"/>
      <c r="M8" s="108"/>
      <c r="N8" s="104" t="s">
        <v>12</v>
      </c>
      <c r="O8" s="103"/>
      <c r="P8" s="105"/>
      <c r="Q8" s="68"/>
      <c r="R8" s="73"/>
      <c r="S8" s="467"/>
      <c r="T8" s="64"/>
      <c r="U8" s="80" t="s">
        <v>30</v>
      </c>
      <c r="V8" s="83"/>
      <c r="W8" s="83"/>
      <c r="X8" s="84" t="s">
        <v>12</v>
      </c>
      <c r="Y8" s="83"/>
      <c r="Z8" s="71"/>
    </row>
    <row r="9" spans="1:26" ht="13.9" customHeight="1" thickBot="1" x14ac:dyDescent="0.25">
      <c r="A9" s="654"/>
      <c r="B9" s="524" t="s">
        <v>5</v>
      </c>
      <c r="C9" s="177">
        <f>Singlelane!C12</f>
        <v>0</v>
      </c>
      <c r="D9" s="177">
        <f>Singlelane!D12</f>
        <v>0</v>
      </c>
      <c r="E9" s="177">
        <f>Singlelane!E12</f>
        <v>0</v>
      </c>
      <c r="F9" s="550">
        <f>Singlelane!F12</f>
        <v>0</v>
      </c>
      <c r="G9" s="11"/>
      <c r="H9" s="64"/>
      <c r="I9" s="64"/>
      <c r="J9" s="64"/>
      <c r="K9" s="69" t="s">
        <v>57</v>
      </c>
      <c r="L9" s="111"/>
      <c r="M9" s="206" t="s">
        <v>3</v>
      </c>
      <c r="N9" s="207" t="s">
        <v>4</v>
      </c>
      <c r="O9" s="207" t="s">
        <v>5</v>
      </c>
      <c r="P9" s="208" t="s">
        <v>55</v>
      </c>
      <c r="Q9" s="65"/>
      <c r="R9" s="75"/>
      <c r="S9" s="75"/>
      <c r="T9" s="64"/>
      <c r="U9" s="139" t="s">
        <v>31</v>
      </c>
      <c r="V9" s="81"/>
      <c r="W9" s="209" t="s">
        <v>3</v>
      </c>
      <c r="X9" s="209" t="s">
        <v>4</v>
      </c>
      <c r="Y9" s="209" t="s">
        <v>5</v>
      </c>
      <c r="Z9" s="210" t="s">
        <v>55</v>
      </c>
    </row>
    <row r="10" spans="1:26" s="1" customFormat="1" ht="13.15" customHeight="1" thickTop="1" thickBot="1" x14ac:dyDescent="0.25">
      <c r="A10" s="655"/>
      <c r="B10" s="525" t="s">
        <v>55</v>
      </c>
      <c r="C10" s="551">
        <f>Singlelane!C13</f>
        <v>0</v>
      </c>
      <c r="D10" s="552">
        <f>Singlelane!D13</f>
        <v>0</v>
      </c>
      <c r="E10" s="552">
        <f>Singlelane!E13</f>
        <v>0</v>
      </c>
      <c r="F10" s="553">
        <f>Singlelane!F13</f>
        <v>0</v>
      </c>
      <c r="G10" s="13"/>
      <c r="H10" s="64"/>
      <c r="I10" s="64"/>
      <c r="J10" s="64"/>
      <c r="K10" s="639" t="s">
        <v>13</v>
      </c>
      <c r="L10" s="112" t="s">
        <v>3</v>
      </c>
      <c r="M10" s="294">
        <f>Singlelane!C10</f>
        <v>0</v>
      </c>
      <c r="N10" s="295">
        <f>IF($E$13="East",0,Singlelane!D10)</f>
        <v>0</v>
      </c>
      <c r="O10" s="296">
        <f>Singlelane!E10</f>
        <v>0</v>
      </c>
      <c r="P10" s="297">
        <f>Singlelane!F10</f>
        <v>0</v>
      </c>
      <c r="Q10" s="65"/>
      <c r="R10" s="65"/>
      <c r="S10" s="65"/>
      <c r="T10" s="68"/>
      <c r="U10" s="639" t="s">
        <v>13</v>
      </c>
      <c r="V10" s="214" t="s">
        <v>3</v>
      </c>
      <c r="W10" s="149">
        <f t="shared" ref="W10:Z13" si="0">ROUND(IF(M16=0,0,M10/M16),0)</f>
        <v>0</v>
      </c>
      <c r="X10" s="527">
        <f t="shared" si="0"/>
        <v>0</v>
      </c>
      <c r="Y10" s="527">
        <f t="shared" si="0"/>
        <v>0</v>
      </c>
      <c r="Z10" s="527">
        <f t="shared" si="0"/>
        <v>0</v>
      </c>
    </row>
    <row r="11" spans="1:26" ht="13.15" customHeight="1" x14ac:dyDescent="0.2">
      <c r="H11" s="64"/>
      <c r="I11" s="64"/>
      <c r="J11" s="64"/>
      <c r="K11" s="640"/>
      <c r="L11" s="112" t="s">
        <v>4</v>
      </c>
      <c r="M11" s="298">
        <f>Singlelane!C11</f>
        <v>0</v>
      </c>
      <c r="N11" s="299">
        <f>Singlelane!D11</f>
        <v>0</v>
      </c>
      <c r="O11" s="300">
        <f>IF($E$13="South",0,Singlelane!E11)</f>
        <v>0</v>
      </c>
      <c r="P11" s="301">
        <f>Singlelane!F11</f>
        <v>0</v>
      </c>
      <c r="Q11" s="64"/>
      <c r="R11" s="147" t="s">
        <v>174</v>
      </c>
      <c r="S11" s="64"/>
      <c r="T11" s="65"/>
      <c r="U11" s="640"/>
      <c r="V11" s="214" t="s">
        <v>4</v>
      </c>
      <c r="W11" s="149">
        <f t="shared" si="0"/>
        <v>0</v>
      </c>
      <c r="X11" s="527">
        <f t="shared" si="0"/>
        <v>0</v>
      </c>
      <c r="Y11" s="527">
        <f t="shared" si="0"/>
        <v>0</v>
      </c>
      <c r="Z11" s="527">
        <f t="shared" si="0"/>
        <v>0</v>
      </c>
    </row>
    <row r="12" spans="1:26" ht="12.6" customHeight="1" x14ac:dyDescent="0.2">
      <c r="A12" s="95"/>
      <c r="B12" s="95"/>
      <c r="C12" s="95"/>
      <c r="D12" s="95"/>
      <c r="E12" s="95"/>
      <c r="F12" s="95"/>
      <c r="H12" s="64"/>
      <c r="I12" s="64"/>
      <c r="J12" s="64"/>
      <c r="K12" s="640"/>
      <c r="L12" s="112" t="s">
        <v>5</v>
      </c>
      <c r="M12" s="302">
        <f>Singlelane!C12</f>
        <v>0</v>
      </c>
      <c r="N12" s="294">
        <f>Singlelane!D12</f>
        <v>0</v>
      </c>
      <c r="O12" s="303">
        <f>Singlelane!E12</f>
        <v>0</v>
      </c>
      <c r="P12" s="304">
        <f>IF($E$13="West",0,Singlelane!F12)</f>
        <v>0</v>
      </c>
      <c r="Q12" s="64"/>
      <c r="R12" s="146" t="s">
        <v>175</v>
      </c>
      <c r="S12" s="64"/>
      <c r="T12" s="65"/>
      <c r="U12" s="640"/>
      <c r="V12" s="214" t="s">
        <v>5</v>
      </c>
      <c r="W12" s="527">
        <f t="shared" si="0"/>
        <v>0</v>
      </c>
      <c r="X12" s="527">
        <f t="shared" si="0"/>
        <v>0</v>
      </c>
      <c r="Y12" s="527">
        <f t="shared" si="0"/>
        <v>0</v>
      </c>
      <c r="Z12" s="527">
        <f t="shared" si="0"/>
        <v>0</v>
      </c>
    </row>
    <row r="13" spans="1:26" ht="13.5" thickBot="1" x14ac:dyDescent="0.25">
      <c r="A13" s="94" t="s">
        <v>107</v>
      </c>
      <c r="B13" s="95"/>
      <c r="C13" s="95"/>
      <c r="D13" s="95"/>
      <c r="E13" s="143" t="s">
        <v>89</v>
      </c>
      <c r="F13" s="94" t="s">
        <v>85</v>
      </c>
      <c r="H13" s="64"/>
      <c r="I13" s="64"/>
      <c r="J13" s="64"/>
      <c r="K13" s="641"/>
      <c r="L13" s="113" t="s">
        <v>55</v>
      </c>
      <c r="M13" s="305">
        <f>IF($E$13="North",0,Singlelane!C13)</f>
        <v>0</v>
      </c>
      <c r="N13" s="305">
        <f>Singlelane!D13</f>
        <v>0</v>
      </c>
      <c r="O13" s="305">
        <f>Singlelane!E13</f>
        <v>0</v>
      </c>
      <c r="P13" s="306">
        <f>Singlelane!F13</f>
        <v>0</v>
      </c>
      <c r="Q13" s="64"/>
      <c r="R13" s="64"/>
      <c r="S13" s="64"/>
      <c r="T13" s="64"/>
      <c r="U13" s="641"/>
      <c r="V13" s="116" t="s">
        <v>55</v>
      </c>
      <c r="W13" s="527">
        <f t="shared" si="0"/>
        <v>0</v>
      </c>
      <c r="X13" s="527">
        <f t="shared" si="0"/>
        <v>0</v>
      </c>
      <c r="Y13" s="527">
        <f t="shared" si="0"/>
        <v>0</v>
      </c>
      <c r="Z13" s="527">
        <f t="shared" si="0"/>
        <v>0</v>
      </c>
    </row>
    <row r="14" spans="1:26" x14ac:dyDescent="0.2">
      <c r="A14" s="94" t="s">
        <v>54</v>
      </c>
      <c r="B14" s="95"/>
      <c r="C14" s="95"/>
      <c r="D14" s="95"/>
      <c r="E14" s="95" t="str">
        <f>IF(E13="South","East",IF(E13="West","South",IF(E13="North","West",IF(E13="East","North",use pull down))))</f>
        <v>East</v>
      </c>
      <c r="F14" s="94" t="s">
        <v>85</v>
      </c>
      <c r="H14" s="64"/>
      <c r="I14" s="64"/>
      <c r="J14" s="64"/>
      <c r="K14" s="500" t="s">
        <v>47</v>
      </c>
      <c r="L14" s="83"/>
      <c r="M14" s="108"/>
      <c r="N14" s="104" t="s">
        <v>12</v>
      </c>
      <c r="O14" s="103"/>
      <c r="P14" s="105"/>
      <c r="Q14" s="64"/>
      <c r="R14" s="64"/>
      <c r="S14" s="79"/>
      <c r="T14" s="135"/>
      <c r="U14" s="80" t="s">
        <v>84</v>
      </c>
      <c r="V14" s="83"/>
      <c r="W14" s="83"/>
      <c r="X14" s="84" t="s">
        <v>12</v>
      </c>
      <c r="Y14" s="83"/>
      <c r="Z14" s="71"/>
    </row>
    <row r="15" spans="1:26" ht="13.15" customHeight="1" thickBot="1" x14ac:dyDescent="0.25">
      <c r="A15" s="95"/>
      <c r="B15" s="95"/>
      <c r="C15" s="95"/>
      <c r="D15" s="95"/>
      <c r="E15" s="95"/>
      <c r="F15" s="95"/>
      <c r="K15" s="536" t="s">
        <v>9</v>
      </c>
      <c r="L15" s="49"/>
      <c r="M15" s="206" t="s">
        <v>3</v>
      </c>
      <c r="N15" s="207" t="s">
        <v>4</v>
      </c>
      <c r="O15" s="207" t="s">
        <v>5</v>
      </c>
      <c r="P15" s="208" t="s">
        <v>55</v>
      </c>
      <c r="Q15" s="64"/>
      <c r="R15" s="14"/>
      <c r="S15" s="73"/>
      <c r="T15" s="73"/>
      <c r="U15" s="211" t="s">
        <v>138</v>
      </c>
      <c r="V15" s="81"/>
      <c r="W15" s="209" t="s">
        <v>3</v>
      </c>
      <c r="X15" s="209" t="s">
        <v>4</v>
      </c>
      <c r="Y15" s="209" t="s">
        <v>5</v>
      </c>
      <c r="Z15" s="210" t="s">
        <v>55</v>
      </c>
    </row>
    <row r="16" spans="1:26" ht="13.9" customHeight="1" thickTop="1" x14ac:dyDescent="0.2">
      <c r="K16" s="639" t="s">
        <v>13</v>
      </c>
      <c r="L16" s="112" t="s">
        <v>3</v>
      </c>
      <c r="M16" s="485">
        <f>Singlelane!C16</f>
        <v>0</v>
      </c>
      <c r="N16" s="487">
        <f>IF($E$13="East",0,Singlelane!D16)</f>
        <v>0</v>
      </c>
      <c r="O16" s="486">
        <f>Singlelane!E16</f>
        <v>0</v>
      </c>
      <c r="P16" s="489">
        <f>Singlelane!F16</f>
        <v>0</v>
      </c>
      <c r="Q16" s="64"/>
      <c r="R16" s="140"/>
      <c r="S16" s="73"/>
      <c r="T16" s="64"/>
      <c r="U16" s="639" t="s">
        <v>13</v>
      </c>
      <c r="V16" s="214" t="s">
        <v>3</v>
      </c>
      <c r="W16" s="153">
        <f t="shared" ref="W16:Z19" si="1">ROUND(1/(1+(W22*($Q$2-1))+(W28*($Q$3-1))+(W34*($Q$4-1))),3)</f>
        <v>1</v>
      </c>
      <c r="X16" s="153">
        <f t="shared" si="1"/>
        <v>1</v>
      </c>
      <c r="Y16" s="153">
        <f t="shared" si="1"/>
        <v>1</v>
      </c>
      <c r="Z16" s="153">
        <f t="shared" si="1"/>
        <v>1</v>
      </c>
    </row>
    <row r="17" spans="1:28" ht="13.9" customHeight="1" x14ac:dyDescent="0.2">
      <c r="K17" s="640"/>
      <c r="L17" s="112" t="s">
        <v>4</v>
      </c>
      <c r="M17" s="485">
        <f>Singlelane!C17</f>
        <v>0</v>
      </c>
      <c r="N17" s="488">
        <f>Singlelane!D17</f>
        <v>0</v>
      </c>
      <c r="O17" s="488">
        <f>IF($E$13="South",0,Singlelane!E17)</f>
        <v>0</v>
      </c>
      <c r="P17" s="492">
        <f>Singlelane!F17</f>
        <v>0</v>
      </c>
      <c r="Q17" s="64"/>
      <c r="R17" s="73"/>
      <c r="S17" s="73"/>
      <c r="T17" s="64"/>
      <c r="U17" s="640"/>
      <c r="V17" s="214" t="s">
        <v>4</v>
      </c>
      <c r="W17" s="153">
        <f t="shared" si="1"/>
        <v>1</v>
      </c>
      <c r="X17" s="153">
        <f t="shared" si="1"/>
        <v>1</v>
      </c>
      <c r="Y17" s="153">
        <f t="shared" si="1"/>
        <v>1</v>
      </c>
      <c r="Z17" s="153">
        <f t="shared" si="1"/>
        <v>1</v>
      </c>
    </row>
    <row r="18" spans="1:28" x14ac:dyDescent="0.2">
      <c r="A18" s="4"/>
      <c r="B18" s="8"/>
      <c r="E18" s="23"/>
      <c r="F18" s="23"/>
      <c r="G18" s="23"/>
      <c r="H18" s="23"/>
      <c r="I18" s="23"/>
      <c r="K18" s="640"/>
      <c r="L18" s="112" t="s">
        <v>5</v>
      </c>
      <c r="M18" s="485">
        <f>Singlelane!C18</f>
        <v>0</v>
      </c>
      <c r="N18" s="485">
        <f>Singlelane!D18</f>
        <v>0</v>
      </c>
      <c r="O18" s="493">
        <f>Singlelane!E18</f>
        <v>0</v>
      </c>
      <c r="P18" s="491">
        <f>IF($E$13="West",0,Singlelane!F18)</f>
        <v>0</v>
      </c>
      <c r="Q18" s="64"/>
      <c r="R18" s="557"/>
      <c r="S18" s="560"/>
      <c r="T18" s="64"/>
      <c r="U18" s="640"/>
      <c r="V18" s="214" t="s">
        <v>5</v>
      </c>
      <c r="W18" s="153">
        <f t="shared" si="1"/>
        <v>1</v>
      </c>
      <c r="X18" s="153">
        <f t="shared" si="1"/>
        <v>1</v>
      </c>
      <c r="Y18" s="153">
        <f t="shared" si="1"/>
        <v>1</v>
      </c>
      <c r="Z18" s="153">
        <f t="shared" si="1"/>
        <v>1</v>
      </c>
    </row>
    <row r="19" spans="1:28" ht="13.5" thickBot="1" x14ac:dyDescent="0.25">
      <c r="C19" s="190" t="s">
        <v>260</v>
      </c>
      <c r="E19" s="23"/>
      <c r="F19" s="23"/>
      <c r="G19" s="23"/>
      <c r="H19" s="23"/>
      <c r="I19" s="23" t="s">
        <v>258</v>
      </c>
      <c r="K19" s="641"/>
      <c r="L19" s="113" t="s">
        <v>55</v>
      </c>
      <c r="M19" s="484">
        <f>IF($E$13="North",0,Singlelane!C19)</f>
        <v>0</v>
      </c>
      <c r="N19" s="488">
        <f>Singlelane!D19</f>
        <v>0</v>
      </c>
      <c r="O19" s="484">
        <f>Singlelane!E19</f>
        <v>0</v>
      </c>
      <c r="P19" s="490">
        <f>Singlelane!F19</f>
        <v>0</v>
      </c>
      <c r="Q19" s="64"/>
      <c r="R19" s="64"/>
      <c r="S19" s="64"/>
      <c r="T19" s="64"/>
      <c r="U19" s="641"/>
      <c r="V19" s="116" t="s">
        <v>55</v>
      </c>
      <c r="W19" s="153">
        <f t="shared" si="1"/>
        <v>1</v>
      </c>
      <c r="X19" s="153">
        <f t="shared" si="1"/>
        <v>1</v>
      </c>
      <c r="Y19" s="153">
        <f t="shared" si="1"/>
        <v>1</v>
      </c>
      <c r="Z19" s="153">
        <f t="shared" si="1"/>
        <v>1</v>
      </c>
    </row>
    <row r="20" spans="1:28" x14ac:dyDescent="0.2">
      <c r="C20" t="s">
        <v>261</v>
      </c>
      <c r="E20" s="23"/>
      <c r="F20" s="23"/>
      <c r="G20" s="23"/>
      <c r="H20" s="79"/>
      <c r="I20" s="23" t="s">
        <v>259</v>
      </c>
      <c r="K20" s="80" t="s">
        <v>46</v>
      </c>
      <c r="L20" s="83"/>
      <c r="M20" s="108"/>
      <c r="N20" s="104" t="s">
        <v>12</v>
      </c>
      <c r="O20" s="103"/>
      <c r="P20" s="105"/>
      <c r="Q20" s="82"/>
      <c r="R20" s="82"/>
      <c r="S20" s="82"/>
      <c r="T20" s="64"/>
      <c r="U20" s="80" t="s">
        <v>25</v>
      </c>
      <c r="V20" s="83"/>
      <c r="W20" s="83"/>
      <c r="X20" s="84" t="s">
        <v>12</v>
      </c>
      <c r="Y20" s="83"/>
      <c r="Z20" s="71"/>
    </row>
    <row r="21" spans="1:28" ht="13.5" thickBot="1" x14ac:dyDescent="0.25">
      <c r="E21" s="23"/>
      <c r="F21" s="23"/>
      <c r="G21" s="23"/>
      <c r="H21" s="23"/>
      <c r="I21" s="23"/>
      <c r="K21" s="69" t="s">
        <v>57</v>
      </c>
      <c r="L21" s="81"/>
      <c r="M21" s="206" t="s">
        <v>3</v>
      </c>
      <c r="N21" s="207" t="s">
        <v>4</v>
      </c>
      <c r="O21" s="207" t="s">
        <v>5</v>
      </c>
      <c r="P21" s="208" t="s">
        <v>55</v>
      </c>
      <c r="Q21" s="75"/>
      <c r="R21" s="75"/>
      <c r="S21" s="64"/>
      <c r="T21" s="82"/>
      <c r="U21" s="212" t="s">
        <v>139</v>
      </c>
      <c r="V21" s="81"/>
      <c r="W21" s="209" t="s">
        <v>3</v>
      </c>
      <c r="X21" s="209" t="s">
        <v>4</v>
      </c>
      <c r="Y21" s="209" t="s">
        <v>5</v>
      </c>
      <c r="Z21" s="210" t="s">
        <v>55</v>
      </c>
    </row>
    <row r="22" spans="1:28" ht="13.5" thickTop="1" x14ac:dyDescent="0.2">
      <c r="E22" s="23"/>
      <c r="F22" s="23"/>
      <c r="G22" s="23"/>
      <c r="H22" s="23"/>
      <c r="I22" s="23"/>
      <c r="K22" s="639" t="s">
        <v>13</v>
      </c>
      <c r="L22" s="112" t="s">
        <v>3</v>
      </c>
      <c r="M22" s="294">
        <f>Singlelane!C22</f>
        <v>0</v>
      </c>
      <c r="N22" s="295">
        <f>IF($E$13="East",0,Singlelane!D22)</f>
        <v>0</v>
      </c>
      <c r="O22" s="296">
        <f>Singlelane!E22</f>
        <v>0</v>
      </c>
      <c r="P22" s="297">
        <f>Singlelane!F22</f>
        <v>0</v>
      </c>
      <c r="Q22" s="76"/>
      <c r="R22" s="76"/>
      <c r="S22" s="64"/>
      <c r="T22" s="64"/>
      <c r="U22" s="639" t="s">
        <v>13</v>
      </c>
      <c r="V22" s="214" t="s">
        <v>3</v>
      </c>
      <c r="W22" s="154">
        <f t="shared" ref="W22:Z25" si="2">ROUND(IF(M10=0,0,M22/M10),3)</f>
        <v>0</v>
      </c>
      <c r="X22" s="154">
        <f t="shared" si="2"/>
        <v>0</v>
      </c>
      <c r="Y22" s="154">
        <f t="shared" si="2"/>
        <v>0</v>
      </c>
      <c r="Z22" s="155">
        <f t="shared" si="2"/>
        <v>0</v>
      </c>
    </row>
    <row r="23" spans="1:28" x14ac:dyDescent="0.2">
      <c r="E23" s="23"/>
      <c r="F23" s="23"/>
      <c r="G23" s="23"/>
      <c r="H23" s="23"/>
      <c r="I23" s="23"/>
      <c r="K23" s="640"/>
      <c r="L23" s="112" t="s">
        <v>4</v>
      </c>
      <c r="M23" s="298">
        <f>Singlelane!C23</f>
        <v>0</v>
      </c>
      <c r="N23" s="299">
        <f>Singlelane!D23</f>
        <v>0</v>
      </c>
      <c r="O23" s="299">
        <f>IF($E$13="South",0,Singlelane!E23)</f>
        <v>0</v>
      </c>
      <c r="P23" s="301">
        <f>Singlelane!F23</f>
        <v>0</v>
      </c>
      <c r="Q23" s="79"/>
      <c r="R23" s="79"/>
      <c r="S23" s="64"/>
      <c r="T23" s="64"/>
      <c r="U23" s="640"/>
      <c r="V23" s="214" t="s">
        <v>4</v>
      </c>
      <c r="W23" s="154">
        <f t="shared" si="2"/>
        <v>0</v>
      </c>
      <c r="X23" s="154">
        <f t="shared" si="2"/>
        <v>0</v>
      </c>
      <c r="Y23" s="154">
        <f t="shared" si="2"/>
        <v>0</v>
      </c>
      <c r="Z23" s="155">
        <f t="shared" si="2"/>
        <v>0</v>
      </c>
    </row>
    <row r="24" spans="1:28" ht="13.9" customHeight="1" x14ac:dyDescent="0.2">
      <c r="E24" s="11"/>
      <c r="F24" s="11"/>
      <c r="G24" s="11"/>
      <c r="H24" s="11"/>
      <c r="I24" s="11"/>
      <c r="K24" s="640"/>
      <c r="L24" s="112" t="s">
        <v>5</v>
      </c>
      <c r="M24" s="302">
        <f>Singlelane!C24</f>
        <v>0</v>
      </c>
      <c r="N24" s="294">
        <f>Singlelane!D24</f>
        <v>0</v>
      </c>
      <c r="O24" s="303">
        <f>Singlelane!E24</f>
        <v>0</v>
      </c>
      <c r="P24" s="304">
        <f>IF($E$13="West",0,Singlelane!F24)</f>
        <v>0</v>
      </c>
      <c r="Q24" s="79"/>
      <c r="R24" s="79"/>
      <c r="S24" s="64"/>
      <c r="T24" s="64"/>
      <c r="U24" s="640"/>
      <c r="V24" s="214" t="s">
        <v>5</v>
      </c>
      <c r="W24" s="154">
        <f t="shared" si="2"/>
        <v>0</v>
      </c>
      <c r="X24" s="154">
        <f t="shared" si="2"/>
        <v>0</v>
      </c>
      <c r="Y24" s="154">
        <f t="shared" si="2"/>
        <v>0</v>
      </c>
      <c r="Z24" s="155">
        <f t="shared" si="2"/>
        <v>0</v>
      </c>
    </row>
    <row r="25" spans="1:28" ht="13.5" thickBot="1" x14ac:dyDescent="0.25">
      <c r="E25" s="15"/>
      <c r="F25" s="15"/>
      <c r="G25" s="15"/>
      <c r="H25" s="15"/>
      <c r="I25" s="15"/>
      <c r="K25" s="641"/>
      <c r="L25" s="113" t="s">
        <v>55</v>
      </c>
      <c r="M25" s="305">
        <f>IF($E$13="North",0,Singlelane!C25)</f>
        <v>0</v>
      </c>
      <c r="N25" s="305">
        <f>Singlelane!D25</f>
        <v>0</v>
      </c>
      <c r="O25" s="305">
        <f>Singlelane!E25</f>
        <v>0</v>
      </c>
      <c r="P25" s="306">
        <f>Singlelane!F25</f>
        <v>0</v>
      </c>
      <c r="Q25" s="79"/>
      <c r="R25" s="79"/>
      <c r="S25" s="64"/>
      <c r="T25" s="64"/>
      <c r="U25" s="641"/>
      <c r="V25" s="116" t="s">
        <v>55</v>
      </c>
      <c r="W25" s="156">
        <f t="shared" si="2"/>
        <v>0</v>
      </c>
      <c r="X25" s="156">
        <f t="shared" si="2"/>
        <v>0</v>
      </c>
      <c r="Y25" s="156">
        <f t="shared" si="2"/>
        <v>0</v>
      </c>
      <c r="Z25" s="157">
        <f t="shared" si="2"/>
        <v>0</v>
      </c>
    </row>
    <row r="26" spans="1:28" x14ac:dyDescent="0.2">
      <c r="E26" s="17"/>
      <c r="F26" s="17"/>
      <c r="G26" s="17"/>
      <c r="H26" s="17"/>
      <c r="I26" s="17"/>
      <c r="K26" s="80" t="s">
        <v>58</v>
      </c>
      <c r="L26" s="83"/>
      <c r="M26" s="108"/>
      <c r="N26" s="104" t="s">
        <v>12</v>
      </c>
      <c r="O26" s="103"/>
      <c r="P26" s="105"/>
      <c r="Q26" s="79"/>
      <c r="R26" s="79"/>
      <c r="S26" s="30"/>
      <c r="T26" s="64"/>
      <c r="U26" s="80" t="s">
        <v>23</v>
      </c>
      <c r="V26" s="83"/>
      <c r="W26" s="83"/>
      <c r="X26" s="84" t="s">
        <v>12</v>
      </c>
      <c r="Y26" s="83"/>
      <c r="Z26" s="71"/>
    </row>
    <row r="27" spans="1:28" ht="13.5" thickBot="1" x14ac:dyDescent="0.25">
      <c r="E27" s="23"/>
      <c r="F27" s="23"/>
      <c r="G27" s="23"/>
      <c r="I27" s="23"/>
      <c r="K27" s="69" t="s">
        <v>57</v>
      </c>
      <c r="L27" s="81"/>
      <c r="M27" s="206" t="s">
        <v>3</v>
      </c>
      <c r="N27" s="207" t="s">
        <v>4</v>
      </c>
      <c r="O27" s="207" t="s">
        <v>5</v>
      </c>
      <c r="P27" s="208" t="s">
        <v>55</v>
      </c>
      <c r="Q27" s="79"/>
      <c r="R27" s="79"/>
      <c r="S27" s="64"/>
      <c r="T27" s="22"/>
      <c r="U27" s="212" t="s">
        <v>140</v>
      </c>
      <c r="V27" s="81"/>
      <c r="W27" s="209" t="s">
        <v>3</v>
      </c>
      <c r="X27" s="209" t="s">
        <v>4</v>
      </c>
      <c r="Y27" s="209" t="s">
        <v>5</v>
      </c>
      <c r="Z27" s="210" t="s">
        <v>55</v>
      </c>
    </row>
    <row r="28" spans="1:28" ht="13.5" thickTop="1" x14ac:dyDescent="0.2">
      <c r="E28" s="10"/>
      <c r="F28" s="10"/>
      <c r="G28" s="10"/>
      <c r="H28" s="10"/>
      <c r="I28" s="10"/>
      <c r="K28" s="639" t="s">
        <v>13</v>
      </c>
      <c r="L28" s="112" t="s">
        <v>3</v>
      </c>
      <c r="M28" s="294">
        <f>Singlelane!C28</f>
        <v>0</v>
      </c>
      <c r="N28" s="295">
        <f>IF($E$13="East",0,Singlelane!D28)</f>
        <v>0</v>
      </c>
      <c r="O28" s="296">
        <f>Singlelane!E28</f>
        <v>0</v>
      </c>
      <c r="P28" s="297">
        <f>Singlelane!F28</f>
        <v>0</v>
      </c>
      <c r="Q28" s="79"/>
      <c r="R28" s="79"/>
      <c r="S28" s="64"/>
      <c r="T28" s="64"/>
      <c r="U28" s="639" t="s">
        <v>13</v>
      </c>
      <c r="V28" s="214" t="s">
        <v>3</v>
      </c>
      <c r="W28" s="154">
        <f t="shared" ref="W28:Z31" si="3">ROUND(IF(M10=0,0,M28/M10),3)</f>
        <v>0</v>
      </c>
      <c r="X28" s="154">
        <f t="shared" si="3"/>
        <v>0</v>
      </c>
      <c r="Y28" s="154">
        <f t="shared" si="3"/>
        <v>0</v>
      </c>
      <c r="Z28" s="155">
        <f t="shared" si="3"/>
        <v>0</v>
      </c>
    </row>
    <row r="29" spans="1:28" s="64" customFormat="1" ht="13.5" thickBot="1" x14ac:dyDescent="0.25">
      <c r="A29" s="125"/>
      <c r="B29" s="124" t="s">
        <v>104</v>
      </c>
      <c r="C29" s="125"/>
      <c r="D29" s="125"/>
      <c r="E29" s="126"/>
      <c r="F29" s="126"/>
      <c r="G29" s="126"/>
      <c r="H29" s="126"/>
      <c r="I29" s="126"/>
      <c r="J29" s="125"/>
      <c r="K29" s="640"/>
      <c r="L29" s="112" t="s">
        <v>4</v>
      </c>
      <c r="M29" s="298">
        <f>Singlelane!C29</f>
        <v>0</v>
      </c>
      <c r="N29" s="299">
        <f>Singlelane!D29</f>
        <v>0</v>
      </c>
      <c r="O29" s="299">
        <f>IF($E$13="South",0,Singlelane!E29)</f>
        <v>0</v>
      </c>
      <c r="P29" s="301">
        <f>Singlelane!F29</f>
        <v>0</v>
      </c>
      <c r="Q29" s="79"/>
      <c r="R29" s="79"/>
      <c r="U29" s="640"/>
      <c r="V29" s="214" t="s">
        <v>4</v>
      </c>
      <c r="W29" s="154">
        <f t="shared" si="3"/>
        <v>0</v>
      </c>
      <c r="X29" s="154">
        <f t="shared" si="3"/>
        <v>0</v>
      </c>
      <c r="Y29" s="154">
        <f t="shared" si="3"/>
        <v>0</v>
      </c>
      <c r="Z29" s="155">
        <f t="shared" si="3"/>
        <v>0</v>
      </c>
    </row>
    <row r="30" spans="1:28" ht="13.5" thickTop="1" x14ac:dyDescent="0.2">
      <c r="A30" s="66" t="s">
        <v>145</v>
      </c>
      <c r="E30" s="10"/>
      <c r="F30" s="10"/>
      <c r="G30" s="10"/>
      <c r="H30" s="10"/>
      <c r="I30" s="10"/>
      <c r="K30" s="640"/>
      <c r="L30" s="112" t="s">
        <v>5</v>
      </c>
      <c r="M30" s="302">
        <f>Singlelane!C30</f>
        <v>0</v>
      </c>
      <c r="N30" s="294">
        <f>Singlelane!D30</f>
        <v>0</v>
      </c>
      <c r="O30" s="303">
        <f>Singlelane!E30</f>
        <v>0</v>
      </c>
      <c r="P30" s="304">
        <f>IF($E$13="West",0,Singlelane!F30)</f>
        <v>0</v>
      </c>
      <c r="Q30" s="79"/>
      <c r="R30" s="79"/>
      <c r="S30" s="64"/>
      <c r="T30" s="64"/>
      <c r="U30" s="640"/>
      <c r="V30" s="214" t="s">
        <v>5</v>
      </c>
      <c r="W30" s="154">
        <f t="shared" si="3"/>
        <v>0</v>
      </c>
      <c r="X30" s="154">
        <f t="shared" si="3"/>
        <v>0</v>
      </c>
      <c r="Y30" s="154">
        <f t="shared" si="3"/>
        <v>0</v>
      </c>
      <c r="Z30" s="155">
        <f t="shared" si="3"/>
        <v>0</v>
      </c>
    </row>
    <row r="31" spans="1:28" ht="13.9" customHeight="1" thickBot="1" x14ac:dyDescent="0.3">
      <c r="A31" s="66" t="s">
        <v>123</v>
      </c>
      <c r="E31" s="10"/>
      <c r="F31" s="10"/>
      <c r="G31" s="10"/>
      <c r="H31" s="10"/>
      <c r="I31" s="10"/>
      <c r="K31" s="641"/>
      <c r="L31" s="113" t="s">
        <v>55</v>
      </c>
      <c r="M31" s="305">
        <f>IF($E$13="North",0,Singlelane!C31)</f>
        <v>0</v>
      </c>
      <c r="N31" s="305">
        <f>Singlelane!D31</f>
        <v>0</v>
      </c>
      <c r="O31" s="305">
        <f>Singlelane!E31</f>
        <v>0</v>
      </c>
      <c r="P31" s="306">
        <f>Singlelane!F31</f>
        <v>0</v>
      </c>
      <c r="Q31" s="75"/>
      <c r="R31" s="75"/>
      <c r="S31" s="64"/>
      <c r="T31" s="64"/>
      <c r="U31" s="641"/>
      <c r="V31" s="116" t="s">
        <v>55</v>
      </c>
      <c r="W31" s="156">
        <f t="shared" si="3"/>
        <v>0</v>
      </c>
      <c r="X31" s="156">
        <f t="shared" si="3"/>
        <v>0</v>
      </c>
      <c r="Y31" s="156">
        <f t="shared" si="3"/>
        <v>0</v>
      </c>
      <c r="Z31" s="157">
        <f t="shared" si="3"/>
        <v>0</v>
      </c>
      <c r="AB31" s="144" t="s">
        <v>90</v>
      </c>
    </row>
    <row r="32" spans="1:28" ht="15" x14ac:dyDescent="0.25">
      <c r="A32" s="66" t="s">
        <v>108</v>
      </c>
      <c r="E32" s="10"/>
      <c r="F32" s="10"/>
      <c r="G32" s="10"/>
      <c r="H32" s="10"/>
      <c r="I32" s="10"/>
      <c r="K32" s="80" t="s">
        <v>45</v>
      </c>
      <c r="L32" s="83"/>
      <c r="M32" s="108"/>
      <c r="N32" s="104" t="s">
        <v>12</v>
      </c>
      <c r="O32" s="103"/>
      <c r="P32" s="105"/>
      <c r="Q32" s="79"/>
      <c r="R32" s="79"/>
      <c r="S32" s="30"/>
      <c r="T32" s="64"/>
      <c r="U32" s="80" t="s">
        <v>24</v>
      </c>
      <c r="V32" s="83"/>
      <c r="W32" s="83"/>
      <c r="X32" s="84" t="s">
        <v>12</v>
      </c>
      <c r="Y32" s="83"/>
      <c r="Z32" s="71"/>
      <c r="AB32" s="144" t="s">
        <v>89</v>
      </c>
    </row>
    <row r="33" spans="1:28" ht="15.75" thickBot="1" x14ac:dyDescent="0.3">
      <c r="A33" s="123" t="s">
        <v>109</v>
      </c>
      <c r="E33" s="10"/>
      <c r="F33" s="10"/>
      <c r="G33" s="10"/>
      <c r="H33" s="10"/>
      <c r="I33" s="10"/>
      <c r="K33" s="69" t="s">
        <v>57</v>
      </c>
      <c r="L33" s="81"/>
      <c r="M33" s="206" t="s">
        <v>3</v>
      </c>
      <c r="N33" s="207" t="s">
        <v>4</v>
      </c>
      <c r="O33" s="207" t="s">
        <v>5</v>
      </c>
      <c r="P33" s="208" t="s">
        <v>55</v>
      </c>
      <c r="Q33" s="79"/>
      <c r="R33" s="79"/>
      <c r="S33" s="64"/>
      <c r="T33" s="22"/>
      <c r="U33" s="212" t="s">
        <v>141</v>
      </c>
      <c r="V33" s="81"/>
      <c r="W33" s="209" t="s">
        <v>3</v>
      </c>
      <c r="X33" s="209" t="s">
        <v>4</v>
      </c>
      <c r="Y33" s="209" t="s">
        <v>5</v>
      </c>
      <c r="Z33" s="210" t="s">
        <v>55</v>
      </c>
      <c r="AB33" s="144" t="s">
        <v>91</v>
      </c>
    </row>
    <row r="34" spans="1:28" ht="15.75" thickTop="1" x14ac:dyDescent="0.25">
      <c r="A34" s="123" t="s">
        <v>110</v>
      </c>
      <c r="E34" s="10"/>
      <c r="F34" s="10"/>
      <c r="G34" s="10"/>
      <c r="H34" s="10"/>
      <c r="I34" s="10"/>
      <c r="K34" s="639" t="s">
        <v>13</v>
      </c>
      <c r="L34" s="112" t="s">
        <v>3</v>
      </c>
      <c r="M34" s="294">
        <f>Singlelane!C34</f>
        <v>0</v>
      </c>
      <c r="N34" s="295">
        <f>IF($E$13="East",0,Singlelane!D34)</f>
        <v>0</v>
      </c>
      <c r="O34" s="296">
        <f>Singlelane!E34</f>
        <v>0</v>
      </c>
      <c r="P34" s="297">
        <f>Singlelane!F34</f>
        <v>0</v>
      </c>
      <c r="Q34" s="79"/>
      <c r="R34" s="79"/>
      <c r="S34" s="64"/>
      <c r="T34" s="64"/>
      <c r="U34" s="639" t="s">
        <v>13</v>
      </c>
      <c r="V34" s="214" t="s">
        <v>3</v>
      </c>
      <c r="W34" s="154">
        <f t="shared" ref="W34:Z37" si="4">ROUND(IF(M10=0,0,M34/M10),3)</f>
        <v>0</v>
      </c>
      <c r="X34" s="154">
        <f t="shared" si="4"/>
        <v>0</v>
      </c>
      <c r="Y34" s="154">
        <f t="shared" si="4"/>
        <v>0</v>
      </c>
      <c r="Z34" s="155">
        <f t="shared" si="4"/>
        <v>0</v>
      </c>
      <c r="AB34" s="144" t="s">
        <v>86</v>
      </c>
    </row>
    <row r="35" spans="1:28" x14ac:dyDescent="0.2">
      <c r="A35" s="123" t="s">
        <v>111</v>
      </c>
      <c r="E35" s="10"/>
      <c r="F35" s="10"/>
      <c r="G35" s="10"/>
      <c r="H35" s="10"/>
      <c r="I35" s="10"/>
      <c r="K35" s="640"/>
      <c r="L35" s="112" t="s">
        <v>4</v>
      </c>
      <c r="M35" s="298">
        <f>Singlelane!C35</f>
        <v>0</v>
      </c>
      <c r="N35" s="299">
        <f>Singlelane!D35</f>
        <v>0</v>
      </c>
      <c r="O35" s="299">
        <f>IF($E$13="South",0,Singlelane!E35)</f>
        <v>0</v>
      </c>
      <c r="P35" s="301">
        <f>Singlelane!F35</f>
        <v>0</v>
      </c>
      <c r="Q35" s="79"/>
      <c r="R35" s="79"/>
      <c r="S35" s="64"/>
      <c r="T35" s="64"/>
      <c r="U35" s="640"/>
      <c r="V35" s="214" t="s">
        <v>4</v>
      </c>
      <c r="W35" s="154">
        <f t="shared" si="4"/>
        <v>0</v>
      </c>
      <c r="X35" s="154">
        <f t="shared" si="4"/>
        <v>0</v>
      </c>
      <c r="Y35" s="154">
        <f t="shared" si="4"/>
        <v>0</v>
      </c>
      <c r="Z35" s="155">
        <f t="shared" si="4"/>
        <v>0</v>
      </c>
    </row>
    <row r="36" spans="1:28" x14ac:dyDescent="0.2">
      <c r="E36" s="10"/>
      <c r="F36" s="10"/>
      <c r="G36" s="10"/>
      <c r="H36" s="10"/>
      <c r="I36" s="10"/>
      <c r="K36" s="640"/>
      <c r="L36" s="112" t="s">
        <v>5</v>
      </c>
      <c r="M36" s="302">
        <f>Singlelane!C36</f>
        <v>0</v>
      </c>
      <c r="N36" s="294">
        <f>Singlelane!D36</f>
        <v>0</v>
      </c>
      <c r="O36" s="303">
        <f>Singlelane!E36</f>
        <v>0</v>
      </c>
      <c r="P36" s="304">
        <f>IF($E$13="West",0,Singlelane!F36)</f>
        <v>0</v>
      </c>
      <c r="Q36" s="79"/>
      <c r="R36" s="79"/>
      <c r="S36" s="64"/>
      <c r="T36" s="64"/>
      <c r="U36" s="640"/>
      <c r="V36" s="214" t="s">
        <v>5</v>
      </c>
      <c r="W36" s="154">
        <f t="shared" si="4"/>
        <v>0</v>
      </c>
      <c r="X36" s="154">
        <f t="shared" si="4"/>
        <v>0</v>
      </c>
      <c r="Y36" s="154">
        <f t="shared" si="4"/>
        <v>0</v>
      </c>
      <c r="Z36" s="155">
        <f t="shared" si="4"/>
        <v>0</v>
      </c>
    </row>
    <row r="37" spans="1:28" ht="13.5" thickBot="1" x14ac:dyDescent="0.25">
      <c r="A37" s="125"/>
      <c r="B37" s="124" t="s">
        <v>103</v>
      </c>
      <c r="C37" s="125"/>
      <c r="D37" s="125"/>
      <c r="E37" s="126"/>
      <c r="F37" s="126"/>
      <c r="G37" s="126"/>
      <c r="H37" s="126"/>
      <c r="I37" s="126"/>
      <c r="J37" s="125"/>
      <c r="K37" s="641"/>
      <c r="L37" s="113" t="s">
        <v>55</v>
      </c>
      <c r="M37" s="305">
        <f>IF($E$13="North",0,Singlelane!C37)</f>
        <v>0</v>
      </c>
      <c r="N37" s="305">
        <f>Singlelane!D37</f>
        <v>0</v>
      </c>
      <c r="O37" s="305">
        <f>Singlelane!E37</f>
        <v>0</v>
      </c>
      <c r="P37" s="306">
        <f>Singlelane!F37</f>
        <v>0</v>
      </c>
      <c r="Q37" s="79"/>
      <c r="R37" s="79"/>
      <c r="S37" s="64"/>
      <c r="T37" s="64"/>
      <c r="U37" s="641"/>
      <c r="V37" s="116" t="s">
        <v>55</v>
      </c>
      <c r="W37" s="156">
        <f t="shared" si="4"/>
        <v>0</v>
      </c>
      <c r="X37" s="156">
        <f t="shared" si="4"/>
        <v>0</v>
      </c>
      <c r="Y37" s="156">
        <f t="shared" si="4"/>
        <v>0</v>
      </c>
      <c r="Z37" s="157">
        <f t="shared" si="4"/>
        <v>0</v>
      </c>
    </row>
    <row r="38" spans="1:28" ht="13.9" customHeight="1" thickTop="1" thickBot="1" x14ac:dyDescent="0.25">
      <c r="A38" s="66" t="s">
        <v>105</v>
      </c>
      <c r="E38" s="10"/>
      <c r="F38" s="10"/>
      <c r="G38" s="10"/>
      <c r="H38" s="10"/>
      <c r="I38" s="10"/>
      <c r="K38" s="110" t="s">
        <v>56</v>
      </c>
      <c r="L38" s="83"/>
      <c r="M38" s="108"/>
      <c r="N38" s="104" t="s">
        <v>12</v>
      </c>
      <c r="O38" s="103"/>
      <c r="P38" s="105"/>
    </row>
    <row r="39" spans="1:28" ht="16.5" thickBot="1" x14ac:dyDescent="0.25">
      <c r="A39" s="123" t="s">
        <v>114</v>
      </c>
      <c r="E39" s="11"/>
      <c r="F39" s="11"/>
      <c r="G39" s="11"/>
      <c r="H39" s="11"/>
      <c r="I39" s="11"/>
      <c r="K39" s="139" t="s">
        <v>31</v>
      </c>
      <c r="L39" s="81"/>
      <c r="M39" s="206" t="s">
        <v>3</v>
      </c>
      <c r="N39" s="207" t="s">
        <v>4</v>
      </c>
      <c r="O39" s="207" t="s">
        <v>5</v>
      </c>
      <c r="P39" s="208" t="s">
        <v>55</v>
      </c>
      <c r="Q39" s="79"/>
      <c r="R39" s="117" t="s">
        <v>43</v>
      </c>
      <c r="S39" s="118"/>
      <c r="T39" s="118"/>
      <c r="U39" s="118"/>
      <c r="V39" s="121"/>
      <c r="W39" s="83"/>
      <c r="X39" s="84" t="s">
        <v>12</v>
      </c>
      <c r="Y39" s="83"/>
      <c r="Z39" s="71"/>
    </row>
    <row r="40" spans="1:28" ht="14.25" thickTop="1" thickBot="1" x14ac:dyDescent="0.25">
      <c r="A40" s="123" t="s">
        <v>112</v>
      </c>
      <c r="E40" s="15"/>
      <c r="F40" s="15"/>
      <c r="G40" s="15"/>
      <c r="H40" s="15"/>
      <c r="I40" s="15"/>
      <c r="K40" s="647" t="s">
        <v>13</v>
      </c>
      <c r="L40" s="231" t="s">
        <v>3</v>
      </c>
      <c r="M40" s="236">
        <f t="shared" ref="M40:P43" si="5">ROUND(IF(W16=0,0,W10/(W16)),0)</f>
        <v>0</v>
      </c>
      <c r="N40" s="236">
        <f t="shared" si="5"/>
        <v>0</v>
      </c>
      <c r="O40" s="236">
        <f t="shared" si="5"/>
        <v>0</v>
      </c>
      <c r="P40" s="237">
        <f t="shared" si="5"/>
        <v>0</v>
      </c>
      <c r="Q40" s="64"/>
      <c r="R40" s="114"/>
      <c r="S40" s="119"/>
      <c r="T40" s="119"/>
      <c r="U40" s="119"/>
      <c r="V40" s="120"/>
      <c r="W40" s="209" t="s">
        <v>3</v>
      </c>
      <c r="X40" s="209" t="s">
        <v>4</v>
      </c>
      <c r="Y40" s="209" t="s">
        <v>5</v>
      </c>
      <c r="Z40" s="210" t="s">
        <v>55</v>
      </c>
    </row>
    <row r="41" spans="1:28" ht="16.5" thickTop="1" x14ac:dyDescent="0.3">
      <c r="A41" s="123" t="s">
        <v>113</v>
      </c>
      <c r="E41" s="10"/>
      <c r="F41" s="10"/>
      <c r="G41" s="10"/>
      <c r="H41" s="10"/>
      <c r="I41" s="10"/>
      <c r="K41" s="640"/>
      <c r="L41" s="231" t="s">
        <v>4</v>
      </c>
      <c r="M41" s="236">
        <f t="shared" si="5"/>
        <v>0</v>
      </c>
      <c r="N41" s="236">
        <f t="shared" si="5"/>
        <v>0</v>
      </c>
      <c r="O41" s="236">
        <f t="shared" si="5"/>
        <v>0</v>
      </c>
      <c r="P41" s="237">
        <f t="shared" si="5"/>
        <v>0</v>
      </c>
      <c r="Q41" s="76"/>
      <c r="R41" s="96" t="s">
        <v>137</v>
      </c>
      <c r="S41" s="89"/>
      <c r="T41" s="89"/>
      <c r="U41" s="89"/>
      <c r="V41" s="163" t="s">
        <v>33</v>
      </c>
      <c r="W41" s="162" t="e">
        <f>ROUND(M45*M49*W44,0)</f>
        <v>#DIV/0!</v>
      </c>
      <c r="X41" s="162" t="e">
        <f>ROUND(N45*N49*X44,0)</f>
        <v>#DIV/0!</v>
      </c>
      <c r="Y41" s="162" t="e">
        <f>ROUND(O45*O49*Y44,0)</f>
        <v>#DIV/0!</v>
      </c>
      <c r="Z41" s="169" t="e">
        <f>ROUND(P45*P49*Z44,0)</f>
        <v>#DIV/0!</v>
      </c>
    </row>
    <row r="42" spans="1:28" ht="13.9" customHeight="1" x14ac:dyDescent="0.3">
      <c r="E42" s="12"/>
      <c r="F42" s="12"/>
      <c r="G42" s="12"/>
      <c r="H42" s="12"/>
      <c r="I42" s="12"/>
      <c r="K42" s="640"/>
      <c r="L42" s="231" t="s">
        <v>5</v>
      </c>
      <c r="M42" s="236">
        <f t="shared" si="5"/>
        <v>0</v>
      </c>
      <c r="N42" s="236">
        <f t="shared" si="5"/>
        <v>0</v>
      </c>
      <c r="O42" s="236">
        <f t="shared" si="5"/>
        <v>0</v>
      </c>
      <c r="P42" s="237">
        <f t="shared" si="5"/>
        <v>0</v>
      </c>
      <c r="Q42" s="64"/>
      <c r="R42" s="96" t="s">
        <v>72</v>
      </c>
      <c r="S42" s="89"/>
      <c r="T42" s="89"/>
      <c r="U42" s="89"/>
      <c r="V42" s="63" t="s">
        <v>31</v>
      </c>
      <c r="W42" s="311" t="e">
        <f>ROUND(M44*M47,0)</f>
        <v>#DIV/0!</v>
      </c>
      <c r="X42" s="162" t="e">
        <f>ROUND(N44*N47,0)</f>
        <v>#DIV/0!</v>
      </c>
      <c r="Y42" s="162" t="e">
        <f>ROUND(O44*O47,0)</f>
        <v>#DIV/0!</v>
      </c>
      <c r="Z42" s="169" t="e">
        <f>ROUND(P44*P47,0)</f>
        <v>#DIV/0!</v>
      </c>
    </row>
    <row r="43" spans="1:28" ht="13.9" customHeight="1" thickBot="1" x14ac:dyDescent="0.35">
      <c r="D43" s="97">
        <f>ROUND((Input!$P$51*EXP((-1*Input!$P$52)*IF(E13="South",Singlelane!B48,IF(E13="North",Singlelane!B50,IF(E13="East",Singlelane!B47,Singlelane!B49))))),0)</f>
        <v>1130</v>
      </c>
      <c r="E43" s="132" t="s">
        <v>60</v>
      </c>
      <c r="F43" s="10"/>
      <c r="G43" s="133"/>
      <c r="H43" s="10"/>
      <c r="I43" s="10"/>
      <c r="K43" s="641"/>
      <c r="L43" s="232" t="s">
        <v>55</v>
      </c>
      <c r="M43" s="238">
        <f t="shared" si="5"/>
        <v>0</v>
      </c>
      <c r="N43" s="238">
        <f t="shared" si="5"/>
        <v>0</v>
      </c>
      <c r="O43" s="238">
        <f t="shared" si="5"/>
        <v>0</v>
      </c>
      <c r="P43" s="239">
        <f t="shared" si="5"/>
        <v>0</v>
      </c>
      <c r="Q43" s="64"/>
      <c r="R43" s="341" t="s">
        <v>66</v>
      </c>
      <c r="S43" s="89"/>
      <c r="T43" s="89"/>
      <c r="U43" s="89"/>
      <c r="V43" s="164" t="s">
        <v>37</v>
      </c>
      <c r="W43" s="170" t="e">
        <f>ROUND((Input!$P$48*EXP((-1*Input!$P$49)*M45))*M47*W44,0)</f>
        <v>#DIV/0!</v>
      </c>
      <c r="X43" s="170" t="e">
        <f>ROUND((Input!$P$48*EXP((-1*Input!$P$49)*N45))*N47*X44,0)</f>
        <v>#DIV/0!</v>
      </c>
      <c r="Y43" s="170" t="e">
        <f>ROUND((Input!$P$48*EXP((-1*Input!$P$49)*O45))*O47*Y44,0)</f>
        <v>#DIV/0!</v>
      </c>
      <c r="Z43" s="171" t="e">
        <f>ROUND((Input!$P$48*EXP((-1*Input!$P$49)*P45))*P47*Z44,0)</f>
        <v>#DIV/0!</v>
      </c>
    </row>
    <row r="44" spans="1:28" ht="13.9" customHeight="1" thickBot="1" x14ac:dyDescent="0.25">
      <c r="A44" t="s">
        <v>65</v>
      </c>
      <c r="C44" s="189" t="s">
        <v>61</v>
      </c>
      <c r="D44" s="97">
        <f>ROUND(D43*(IF(E13="South",Singlelane!O17*Singlelane!O44,IF(E13="North",Singlelane!M19*Singlelane!M44,IF(E13="East",Singlelane!N16*Singlelane!N44,Singlelane!P18*Singlelane!P44)))),0)</f>
        <v>1130</v>
      </c>
      <c r="E44" t="s">
        <v>63</v>
      </c>
      <c r="G44" s="134"/>
      <c r="K44" s="269" t="s">
        <v>67</v>
      </c>
      <c r="L44" s="270"/>
      <c r="M44" s="266">
        <f>SUM(M40:M43)</f>
        <v>0</v>
      </c>
      <c r="N44" s="267">
        <f>SUM(N40:N43)</f>
        <v>0</v>
      </c>
      <c r="O44" s="267">
        <f>SUM(O40:O43)</f>
        <v>0</v>
      </c>
      <c r="P44" s="268">
        <f>SUM(P40:P43)</f>
        <v>0</v>
      </c>
      <c r="Q44" s="64"/>
      <c r="R44" s="96" t="s">
        <v>102</v>
      </c>
      <c r="S44" s="89"/>
      <c r="T44" s="89"/>
      <c r="U44" s="89"/>
      <c r="V44" s="165" t="s">
        <v>51</v>
      </c>
      <c r="W44" s="162">
        <f>ROUND(IF(M45&gt;881,1,IF(W7&lt;=101,1-(0.000137*(W7)),(1119.5-(0.715*M45)-(0.644*W7)+(0.00073*M45*W7))/((1068.6-(0.654*M45))))),3)</f>
        <v>1</v>
      </c>
      <c r="X44" s="162">
        <f>ROUND(IF(N45&gt;881,1,IF(X7&lt;=101,1-(0.000137*(X7)),(1119.5-(0.715*N45)-(0.644*X7)+(0.00073*N45*X7))/((1068.6-(0.654*N45))))),3)</f>
        <v>1</v>
      </c>
      <c r="Y44" s="162">
        <f>ROUND(IF(O45&gt;881,1,IF(Y7&lt;=101,1-(0.000137*(Y7)),(1119.5-(0.715*O45)-(0.644*Y7)+(0.00073*O45*Y7))/((1068.6-(0.654*O45))))),3)</f>
        <v>1</v>
      </c>
      <c r="Z44" s="169">
        <f>ROUND(IF(P45&gt;881,1,IF(Z7&lt;=101,1-(0.000137*(Z7)),(1119.5-(0.715*P45)-(0.644*Z7)+(0.00073*P45*Z7))/((1068.6-(0.654*P45))))),3)</f>
        <v>1</v>
      </c>
    </row>
    <row r="45" spans="1:28" ht="13.9" customHeight="1" thickBot="1" x14ac:dyDescent="0.25">
      <c r="A45" t="s">
        <v>64</v>
      </c>
      <c r="C45" s="189" t="s">
        <v>62</v>
      </c>
      <c r="D45" s="97">
        <f>ROUND(IF(E13="South",Singlelane!O11,IF(E13="North",Singlelane!M13,IF(E13="East",Singlelane!N10,Singlelane!P12))),0)</f>
        <v>0</v>
      </c>
      <c r="E45" s="64" t="s">
        <v>63</v>
      </c>
      <c r="G45" s="134"/>
      <c r="H45" s="66"/>
      <c r="K45" s="273" t="s">
        <v>134</v>
      </c>
      <c r="L45" s="274"/>
      <c r="M45" s="307">
        <f>N41+N42+N43+O42+O43+P43</f>
        <v>0</v>
      </c>
      <c r="N45" s="307">
        <f>O40+O42+O43+P40+P43+M40</f>
        <v>0</v>
      </c>
      <c r="O45" s="307">
        <f>P40+P41+P43+M40+M41+N41</f>
        <v>0</v>
      </c>
      <c r="P45" s="308">
        <f>M40+M41+M42+N41+N42+O42</f>
        <v>0</v>
      </c>
      <c r="Q45" s="64"/>
      <c r="R45" s="285" t="s">
        <v>6</v>
      </c>
      <c r="S45" s="89"/>
      <c r="T45" s="89"/>
      <c r="U45" s="89"/>
      <c r="V45" s="248" t="s">
        <v>36</v>
      </c>
      <c r="W45" s="249" t="e">
        <f>ROUND((W42)/(W43),2)</f>
        <v>#DIV/0!</v>
      </c>
      <c r="X45" s="249" t="e">
        <f t="shared" ref="X45:Z45" si="6">ROUND((X42)/(X43),2)</f>
        <v>#DIV/0!</v>
      </c>
      <c r="Y45" s="249" t="e">
        <f t="shared" si="6"/>
        <v>#DIV/0!</v>
      </c>
      <c r="Z45" s="247" t="e">
        <f t="shared" si="6"/>
        <v>#DIV/0!</v>
      </c>
    </row>
    <row r="46" spans="1:28" ht="16.5" thickBot="1" x14ac:dyDescent="0.25">
      <c r="A46" s="66" t="s">
        <v>69</v>
      </c>
      <c r="C46" s="189" t="s">
        <v>68</v>
      </c>
      <c r="D46" s="131">
        <f>ROUND(D45/D44,2)</f>
        <v>0</v>
      </c>
      <c r="G46" s="134"/>
      <c r="K46" s="96" t="s">
        <v>186</v>
      </c>
      <c r="L46" s="89"/>
      <c r="M46" s="396">
        <f>IF($E$13="North",IF($B$59=1,(0*$D$45+W46*W42)/($D$45+W42),($D$47*$D$45+W46*W42)/($D$45+W42)),0)</f>
        <v>0</v>
      </c>
      <c r="N46" s="396">
        <f>IF($E$13="East",IF($B$59=1,(0*$D$45+X46*X42)/($D$45+X42),($D$47*$D$45+X46*X42)/($D$45+X42)),0)</f>
        <v>0</v>
      </c>
      <c r="O46" s="396" t="e">
        <f>IF($E$13="South",IF($B$59=1,(0*$D$45+Y46*Y42)/($D$45+Y42),($D$47*$D$45+Y46*Y42)/($D$45+Y42)),0)</f>
        <v>#DIV/0!</v>
      </c>
      <c r="P46" s="397">
        <f>IF($E$13="West",IF($B$59=1,(0*$D$45+Z46*Z42)/($D$45+Z42),($D$47*$D$45+Z46*Z42)/($D$45+Z42)),0)</f>
        <v>0</v>
      </c>
      <c r="Q46" s="64"/>
      <c r="R46" s="282" t="s">
        <v>149</v>
      </c>
      <c r="S46" s="89"/>
      <c r="T46" s="89"/>
      <c r="U46" s="89"/>
      <c r="V46" s="138" t="s">
        <v>38</v>
      </c>
      <c r="W46" s="172" t="e">
        <f>ROUND((3600/(W43))+((900*$X$3)*(W45-1+((W45-1)^2+((3600/(W43))*W45)/(450*$X$3))^(1/2)))+(5*MIN(W45,1)),1)</f>
        <v>#DIV/0!</v>
      </c>
      <c r="X46" s="172" t="e">
        <f>ROUND((3600/(X43))+((900*$X$3)*(X45-1+((X45-1)^2+((3600/(X43))*X45)/(450*$X$3))^(1/2)))+(5*MIN(X45,1)),1)</f>
        <v>#DIV/0!</v>
      </c>
      <c r="Y46" s="172" t="e">
        <f>ROUND((3600/(Y43))+((900*$X$3)*(Y45-1+((Y45-1)^2+((3600/(Y43))*Y45)/(450*$X$3))^(1/2)))+(5*MIN(Y45,1)),1)</f>
        <v>#DIV/0!</v>
      </c>
      <c r="Z46" s="173" t="e">
        <f>ROUND((3600/(Z43))+((900*$X$3)*(Z45-1+((Z45-1)^2+((3600/(Z43))*Z45)/(450*$X$3))^(1/2)))+(5*MIN(Z45,1)),1)</f>
        <v>#DIV/0!</v>
      </c>
    </row>
    <row r="47" spans="1:28" ht="13.5" thickBot="1" x14ac:dyDescent="0.25">
      <c r="A47" s="66" t="s">
        <v>70</v>
      </c>
      <c r="D47" s="63">
        <f>ROUND((3600/(D44))+((900*Singlelane!$N$3)*(D46-1+((D46-1)^2+((3600/(D44))*D46)/(450*Singlelane!$N$3))^(1/2)))+(5*MIN(D46,1)),1)</f>
        <v>3.2</v>
      </c>
      <c r="E47" s="66" t="s">
        <v>71</v>
      </c>
      <c r="G47" s="134"/>
      <c r="K47" s="283" t="s">
        <v>150</v>
      </c>
      <c r="L47" s="275"/>
      <c r="M47" s="394" t="e">
        <f>ROUND(1/(1+(((M22+M23+M24+M25)/(M10+M11+M12+M13))*($Q$2-1))+(((M28+M29+M30+M31)/(M10+M11+M12+M13))*($Q$3-1))+(((M34+M35+M36+M37)/(M10+M11+M12+M13))*($Q$4-1))),3)</f>
        <v>#DIV/0!</v>
      </c>
      <c r="N47" s="394" t="e">
        <f>ROUND(1/(1+(((N22+N23+N24+N25)/(N10+N11+N12+N13))*($Q$2-1))+(((N28+N29+N30+N31)/(N10+N11+N12+N13))*($Q$3-1))+(((N34+N35+N36+N37)/(N10+N11+N12+N13))*($Q$4-1))),3)</f>
        <v>#DIV/0!</v>
      </c>
      <c r="O47" s="394" t="e">
        <f>ROUND(1/(1+(((O22+O23+O24+O25)/(O10+O11+O12+O13))*($Q$2-1))+(((O28+O29+O30+O31)/(O10+O11+O12+O13))*($Q$3-1))+(((O34+O35+O36+O37)/(O10+O11+O12+O13))*($Q$4-1))),3)</f>
        <v>#DIV/0!</v>
      </c>
      <c r="P47" s="395" t="e">
        <f>ROUND(1/(1+(((P22+P23+P24+P25)/(P10+P11+P12+P13))*($Q$2-1))+(((P28+P29+P30+P31)/(P10+P11+P12+P13))*($Q$3-1))+(((P34+P35+P36+P37)/(P10+P11+P12+P13))*($Q$4-1))),3)</f>
        <v>#DIV/0!</v>
      </c>
      <c r="Q47" s="64"/>
      <c r="R47" s="92" t="s">
        <v>7</v>
      </c>
      <c r="S47" s="90"/>
      <c r="T47" s="90"/>
      <c r="U47" s="90"/>
      <c r="V47" s="166" t="s">
        <v>34</v>
      </c>
      <c r="W47" s="174" t="e">
        <f>IF(W45&gt;1,"F",IF(W46&gt;50,"F",IF(W46&gt;35,"E",IF(W46&gt;25,"D",IF(W46&gt;15,"C",IF(W46&gt;10,"B","A"))))))</f>
        <v>#DIV/0!</v>
      </c>
      <c r="X47" s="174" t="e">
        <f t="shared" ref="X47:Z47" si="7">IF(X45&gt;1,"F",IF(X46&gt;50,"F",IF(X46&gt;35,"E",IF(X46&gt;25,"D",IF(X46&gt;15,"C",IF(X46&gt;10,"B","A"))))))</f>
        <v>#DIV/0!</v>
      </c>
      <c r="Y47" s="174" t="e">
        <f t="shared" si="7"/>
        <v>#DIV/0!</v>
      </c>
      <c r="Z47" s="175" t="e">
        <f t="shared" si="7"/>
        <v>#DIV/0!</v>
      </c>
    </row>
    <row r="48" spans="1:28" ht="15.6" customHeight="1" thickBot="1" x14ac:dyDescent="0.25">
      <c r="A48" s="66" t="s">
        <v>7</v>
      </c>
      <c r="D48" s="85" t="str">
        <f>IF(D46&gt;1,"F",IF(D47&gt;50,"F",IF(D47&gt;35,"E",IF(D47&gt;25,"D",IF(D47&gt;15,"C",IF(D47&gt;10,"B","A"))))))</f>
        <v>A</v>
      </c>
      <c r="G48" s="134"/>
      <c r="K48" s="546" t="s">
        <v>183</v>
      </c>
      <c r="L48" s="381"/>
      <c r="M48" s="382">
        <f>IF($E$13="North",$D$45,0)</f>
        <v>0</v>
      </c>
      <c r="N48" s="382">
        <f>IF($E$13="East",$D$45,0)</f>
        <v>0</v>
      </c>
      <c r="O48" s="382">
        <f>IF($E$13="South",$D$45,0)</f>
        <v>0</v>
      </c>
      <c r="P48" s="383">
        <f>IF($E$13="West",$D$45,0)</f>
        <v>0</v>
      </c>
      <c r="Q48" s="64"/>
      <c r="R48" s="253" t="s">
        <v>173</v>
      </c>
      <c r="S48" s="420"/>
      <c r="T48" s="420"/>
      <c r="U48" s="421"/>
      <c r="V48" s="167" t="s">
        <v>147</v>
      </c>
      <c r="W48" s="176" t="e">
        <f>ROUND(((900*$X$3)*(W45-1+((1-W45)^2+((3600/(W43))*W45)/(150*$X$3))^(1/2)))*(W43/3600),0)</f>
        <v>#DIV/0!</v>
      </c>
      <c r="X48" s="176" t="e">
        <f>ROUND(((900*$X$3)*(X45-1+((1-X45)^2+((3600/(X43))*X45)/(150*$X$3))^(1/2)))*(X43/3600),0)</f>
        <v>#DIV/0!</v>
      </c>
      <c r="Y48" s="176" t="e">
        <f>ROUND(((900*$X$3)*(Y45-1+((1-Y45)^2+((3600/(Y43))*Y45)/(150*$X$3))^(1/2)))*(Y43/3600),0)</f>
        <v>#DIV/0!</v>
      </c>
      <c r="Z48" s="289" t="e">
        <f>ROUND(((900*$X$3)*(Z45-1+((1-Z45)^2+((3600/(Z43))*Z45)/(150*$X$3))^(1/2)))*(Z43/3600),0)</f>
        <v>#DIV/0!</v>
      </c>
    </row>
    <row r="49" spans="1:32" ht="13.9" customHeight="1" thickBot="1" x14ac:dyDescent="0.25">
      <c r="A49" s="342" t="s">
        <v>213</v>
      </c>
      <c r="D49" s="85">
        <f>ROUND(((900*Singlelane!$N$3)*(D46-1+((1-D46)^2+((3600/(D44))*D46)/(150*Singlelane!$N$3))^(1/2)))*(D44/3600),0)</f>
        <v>0</v>
      </c>
      <c r="E49" s="371" t="s">
        <v>214</v>
      </c>
      <c r="K49" s="276" t="s">
        <v>146</v>
      </c>
      <c r="L49" s="277"/>
      <c r="M49" s="278" t="e">
        <f>ROUND(1/(1+(((P25+N23+N24+N25+O25+O24)/(P13+N11+N12+N13+O13+O12))*($Q$2-1))+(((P31+N29+N30+N31+O31+O30)/(P13+N11+N12+N13+O13+O12))*($Q$3-1))+(((P37+N35+N36+N37+O36+O37)/(P13+N11+N12+N13+O13+O12))*($Q$4-1))),3)</f>
        <v>#DIV/0!</v>
      </c>
      <c r="N49" s="278" t="e">
        <f>ROUND(1/(1+(((O22+O24+O25+P22+P25+M22)/(O10+O12+O13+P10+P13+M10))*($Q$2-1))+(((O28+O30+O31+P28+P31+M28)/(O10+O12+O13+P10+P13+M10))*($Q$3-1))+(((O34+O36+O37+P34+P37+M34)/(O10+O12+O13+P10+P13+M10))*($Q$4-1))),3)</f>
        <v>#DIV/0!</v>
      </c>
      <c r="O49" s="279" t="e">
        <f>ROUND(1/(1+(((P22+P23+P25+N23+M23+M22)/(P10+P11+P13+N11+M11+M10))*($Q$2-1))+(((P28+P29+P31+N29+M29+M28)/(P10+P11+P13+N11+M11+M10))*($Q$3-1))+(((P34+P35+P37+N35+M34+M35)/(P10+P11+P13+N11+M11+M10))*($Q$4-1))),3)</f>
        <v>#DIV/0!</v>
      </c>
      <c r="P49" s="280" t="e">
        <f>ROUND(1/(1+(((M22+M23+M24+N23+N24+O24)/(M10+M11+M12+N11+N12+O12))*($Q$2-1))+(((M28+M29+M30+N29+N30+O30)/(M10+M11+M12+N11+N12+O12))*($Q$3-1))+(((M34+M35+M36+N35+N36+O36)/(M10+M11+M12+N11+N12+O12))*($Q$4-1))),3)</f>
        <v>#DIV/0!</v>
      </c>
      <c r="Q49" s="73"/>
    </row>
    <row r="50" spans="1:32" ht="13.15" customHeight="1" thickBot="1" x14ac:dyDescent="0.25">
      <c r="K50" s="271"/>
      <c r="L50" s="272"/>
      <c r="M50" s="250"/>
      <c r="N50" s="250"/>
      <c r="O50" s="250"/>
      <c r="P50" s="251"/>
      <c r="Q50" s="73"/>
      <c r="R50" s="281" t="s">
        <v>148</v>
      </c>
      <c r="S50" s="91"/>
      <c r="T50" s="91"/>
      <c r="U50" s="128"/>
      <c r="V50" s="452" t="s">
        <v>35</v>
      </c>
      <c r="W50" s="642" t="e">
        <f>IF(SUM(M10:M13)=0,(X46*(X42+N48)+Y46*(Y42+O48)+Z46*(Z42+P48))/(X42+N48+Y42+O48+Z42+P48),IF(SUM(N10:N13)=0,(W46*(W42+M48)+Y46*(Y42+O48)+Z46*(Z42+P48))/(W42+M48+Y42+O48+Z42+P48),IF(SUM(O10:O13)=0,(W46*(W42+M48)+X46*(X42+N48)+Z46*(Z42+P48))/(W42+M48+X42+N48+Z42+P48),IF(SUM(P10:P13)=0,(W46*(W42+M48)+X46*(X42+N48)+Y46*(Y42+O48))/(W42+M48+X42+N48+Y42+O48),(W46*(W42+M48)+X46*(X42+N48)+Y46*(Y42+O48)+Z46*(Z42+P48))/(W42+M48+X42+N48+Y42+O48+Z42+P48)))))</f>
        <v>#DIV/0!</v>
      </c>
      <c r="X50" s="643"/>
      <c r="Y50" s="643"/>
      <c r="Z50" s="644"/>
    </row>
    <row r="51" spans="1:32" ht="13.5" thickBot="1" x14ac:dyDescent="0.25">
      <c r="C51" s="186" t="s">
        <v>151</v>
      </c>
      <c r="D51" t="str">
        <f>CONCATENATE(E13," approach to the ",E14)</f>
        <v>South approach to the East</v>
      </c>
      <c r="G51" s="66" t="s">
        <v>87</v>
      </c>
      <c r="Q51" s="73"/>
      <c r="R51" s="422" t="s">
        <v>40</v>
      </c>
      <c r="S51" s="423"/>
      <c r="T51" s="423"/>
      <c r="U51" s="424"/>
      <c r="V51" s="168" t="s">
        <v>34</v>
      </c>
      <c r="W51" s="629" t="e">
        <f>IF(W50&gt;50,"F",IF(W50&gt;35,"E",IF(W50&gt;25,"D",IF(W50&gt;15,"C",IF(W50&gt;10,"B","A")))))</f>
        <v>#DIV/0!</v>
      </c>
      <c r="X51" s="630"/>
      <c r="Y51" s="630"/>
      <c r="Z51" s="631"/>
    </row>
    <row r="52" spans="1:32" ht="13.15" customHeight="1" x14ac:dyDescent="0.2">
      <c r="A52" s="545" t="s">
        <v>234</v>
      </c>
      <c r="Q52" s="73"/>
    </row>
    <row r="53" spans="1:32" ht="13.15" customHeight="1" x14ac:dyDescent="0.2">
      <c r="A53" s="66"/>
      <c r="L53" s="66"/>
      <c r="Q53" s="290" t="str">
        <f>Singlelane!B6</f>
        <v>Project Name</v>
      </c>
    </row>
    <row r="54" spans="1:32" x14ac:dyDescent="0.2">
      <c r="D54" s="73" t="str">
        <f>Singlelane!B6</f>
        <v>Project Name</v>
      </c>
    </row>
    <row r="55" spans="1:32" x14ac:dyDescent="0.2">
      <c r="A55" s="75"/>
      <c r="B55" s="75"/>
      <c r="C55" s="75"/>
    </row>
    <row r="56" spans="1:32" ht="13.15" customHeight="1" x14ac:dyDescent="0.2">
      <c r="A56" s="75"/>
      <c r="B56" s="75"/>
      <c r="C56" s="75"/>
      <c r="D56" s="73"/>
      <c r="AA56" s="64"/>
      <c r="AB56" s="64"/>
      <c r="AC56" s="64"/>
      <c r="AD56" s="64"/>
      <c r="AE56" s="64"/>
    </row>
    <row r="57" spans="1:32" ht="13.9" customHeight="1" x14ac:dyDescent="0.2">
      <c r="A57" s="75"/>
      <c r="B57" s="75"/>
      <c r="C57" s="75"/>
      <c r="D57" s="73"/>
      <c r="AA57" s="64"/>
      <c r="AB57" s="64"/>
      <c r="AC57" s="64"/>
      <c r="AD57" s="64"/>
      <c r="AE57" s="64"/>
    </row>
    <row r="58" spans="1:32" ht="13.9" customHeight="1" x14ac:dyDescent="0.2">
      <c r="A58" s="73"/>
      <c r="B58" s="74"/>
      <c r="C58" s="74"/>
      <c r="D58" s="73"/>
      <c r="AA58" s="64"/>
      <c r="AB58" s="64"/>
      <c r="AC58" s="64"/>
      <c r="AD58" s="64"/>
      <c r="AE58" s="64"/>
    </row>
    <row r="59" spans="1:32" ht="13.9" customHeight="1" x14ac:dyDescent="0.2">
      <c r="A59" s="14"/>
      <c r="B59" s="331">
        <v>2</v>
      </c>
      <c r="C59" s="76"/>
      <c r="D59" s="18"/>
      <c r="AA59" s="64"/>
      <c r="AB59" s="64"/>
      <c r="AC59" s="64"/>
      <c r="AD59" s="64"/>
      <c r="AE59" s="64"/>
      <c r="AF59" s="367"/>
    </row>
    <row r="60" spans="1:32" ht="13.15" customHeight="1" x14ac:dyDescent="0.2">
      <c r="A60" s="16"/>
      <c r="B60" s="24"/>
      <c r="C60" s="24"/>
      <c r="D60" s="76"/>
      <c r="AA60" s="64"/>
      <c r="AB60" s="64"/>
      <c r="AC60" s="64"/>
      <c r="AD60" s="64"/>
      <c r="AE60" s="64"/>
    </row>
    <row r="61" spans="1:32" x14ac:dyDescent="0.2">
      <c r="A61" s="16"/>
      <c r="B61" s="17"/>
      <c r="C61" s="17"/>
      <c r="D61" s="72"/>
      <c r="AA61" s="64"/>
      <c r="AB61" s="64"/>
      <c r="AC61" s="64"/>
      <c r="AD61" s="64"/>
      <c r="AE61" s="64"/>
    </row>
    <row r="62" spans="1:32" ht="13.9" customHeight="1" x14ac:dyDescent="0.2">
      <c r="A62" s="73"/>
      <c r="B62" s="72"/>
      <c r="C62" s="74"/>
      <c r="D62" s="72"/>
      <c r="AA62" s="64"/>
      <c r="AB62" s="64"/>
      <c r="AC62" s="64"/>
      <c r="AD62" s="64"/>
      <c r="AE62" s="64"/>
    </row>
    <row r="63" spans="1:32" ht="13.15" customHeight="1" x14ac:dyDescent="0.2">
      <c r="A63" s="75"/>
      <c r="B63" s="73"/>
      <c r="C63" s="73"/>
      <c r="D63" s="72"/>
      <c r="AA63" s="64"/>
      <c r="AB63" s="64"/>
      <c r="AC63" s="64"/>
      <c r="AD63" s="64"/>
      <c r="AE63" s="64"/>
    </row>
    <row r="64" spans="1:32" ht="13.15" customHeight="1" x14ac:dyDescent="0.2">
      <c r="A64" s="16"/>
      <c r="B64" s="72"/>
      <c r="C64" s="73"/>
      <c r="D64" s="72"/>
      <c r="AA64" s="64"/>
      <c r="AB64" s="64"/>
      <c r="AC64" s="64"/>
      <c r="AD64" s="64"/>
      <c r="AE64" s="64"/>
    </row>
    <row r="65" spans="1:31" ht="13.15" customHeight="1" x14ac:dyDescent="0.2">
      <c r="A65" s="16"/>
      <c r="B65" s="77"/>
      <c r="C65" s="73"/>
      <c r="D65" s="72"/>
      <c r="AA65" s="64"/>
      <c r="AB65" s="64"/>
      <c r="AC65" s="64"/>
      <c r="AD65" s="64"/>
      <c r="AE65" s="64"/>
    </row>
    <row r="66" spans="1:31" ht="12.6" customHeight="1" x14ac:dyDescent="0.2">
      <c r="A66" s="16"/>
      <c r="B66" s="78"/>
      <c r="C66" s="73"/>
      <c r="D66" s="72"/>
      <c r="AA66" s="65"/>
      <c r="AB66" s="65"/>
      <c r="AC66" s="65"/>
      <c r="AD66" s="65"/>
      <c r="AE66" s="65"/>
    </row>
    <row r="67" spans="1:31" ht="13.15" customHeight="1" x14ac:dyDescent="0.2">
      <c r="A67" s="16"/>
      <c r="B67" s="74"/>
      <c r="C67" s="73"/>
      <c r="D67" s="73"/>
      <c r="AA67" s="65"/>
      <c r="AB67" s="65"/>
      <c r="AC67" s="65"/>
      <c r="AD67" s="65"/>
      <c r="AE67" s="65"/>
    </row>
    <row r="68" spans="1:31" x14ac:dyDescent="0.2">
      <c r="A68" s="16"/>
      <c r="B68" s="72"/>
      <c r="C68" s="73"/>
      <c r="D68" s="76"/>
      <c r="AA68" s="64"/>
      <c r="AB68" s="64"/>
      <c r="AC68" s="64"/>
      <c r="AD68" s="64"/>
      <c r="AE68" s="64"/>
    </row>
    <row r="69" spans="1:31" ht="2.4500000000000002" customHeight="1" x14ac:dyDescent="0.2">
      <c r="AA69" s="64"/>
      <c r="AB69" s="64"/>
      <c r="AC69" s="64"/>
      <c r="AD69" s="64"/>
      <c r="AE69" s="64"/>
    </row>
    <row r="70" spans="1:31" x14ac:dyDescent="0.2">
      <c r="AA70" s="64"/>
      <c r="AB70" s="64"/>
      <c r="AC70" s="64"/>
      <c r="AD70" s="64"/>
      <c r="AE70" s="64"/>
    </row>
    <row r="71" spans="1:31" ht="13.15" customHeight="1" x14ac:dyDescent="0.2">
      <c r="AA71" s="64"/>
      <c r="AB71" s="64"/>
      <c r="AC71" s="64"/>
      <c r="AD71" s="64"/>
      <c r="AE71" s="64"/>
    </row>
    <row r="72" spans="1:31" ht="13.15" customHeight="1" x14ac:dyDescent="0.2">
      <c r="AA72" s="64"/>
      <c r="AB72" s="64"/>
      <c r="AC72" s="64"/>
      <c r="AD72" s="64"/>
      <c r="AE72" s="64"/>
    </row>
    <row r="73" spans="1:31" ht="12.6" customHeight="1" x14ac:dyDescent="0.2">
      <c r="AA73" s="64"/>
      <c r="AB73" s="64"/>
      <c r="AC73" s="64"/>
      <c r="AD73" s="64"/>
      <c r="AE73" s="64"/>
    </row>
    <row r="74" spans="1:31" ht="13.15" customHeight="1" x14ac:dyDescent="0.2">
      <c r="AA74" s="64"/>
      <c r="AB74" s="64"/>
      <c r="AC74" s="64"/>
      <c r="AD74" s="64"/>
      <c r="AE74" s="64"/>
    </row>
    <row r="75" spans="1:31" x14ac:dyDescent="0.2">
      <c r="AA75" s="64"/>
      <c r="AB75" s="64"/>
      <c r="AC75" s="64"/>
      <c r="AD75" s="64"/>
      <c r="AE75" s="64"/>
    </row>
    <row r="76" spans="1:31" ht="2.4500000000000002" customHeight="1" x14ac:dyDescent="0.2">
      <c r="AA76" s="64"/>
      <c r="AB76" s="64"/>
      <c r="AC76" s="64"/>
      <c r="AD76" s="64"/>
      <c r="AE76" s="64"/>
    </row>
    <row r="77" spans="1:31" x14ac:dyDescent="0.2">
      <c r="AA77" s="64"/>
      <c r="AB77" s="64"/>
      <c r="AC77" s="64"/>
      <c r="AD77" s="64"/>
      <c r="AE77" s="64"/>
    </row>
    <row r="78" spans="1:31" ht="13.15" customHeight="1" x14ac:dyDescent="0.2">
      <c r="AA78" s="64"/>
      <c r="AB78" s="64"/>
      <c r="AC78" s="64"/>
      <c r="AD78" s="18"/>
      <c r="AE78" s="64"/>
    </row>
    <row r="79" spans="1:31" ht="13.15" customHeight="1" x14ac:dyDescent="0.2">
      <c r="AA79" s="64"/>
      <c r="AB79" s="64"/>
      <c r="AC79" s="64"/>
      <c r="AD79" s="64"/>
      <c r="AE79" s="64"/>
    </row>
    <row r="80" spans="1:31" ht="12.6" customHeight="1" x14ac:dyDescent="0.2">
      <c r="AA80" s="64"/>
      <c r="AB80" s="64"/>
      <c r="AC80" s="64"/>
      <c r="AD80" s="64"/>
      <c r="AE80" s="64"/>
    </row>
    <row r="81" spans="27:31" ht="13.15" customHeight="1" x14ac:dyDescent="0.2">
      <c r="AA81" s="64"/>
      <c r="AB81" s="64"/>
      <c r="AC81" s="64"/>
      <c r="AD81" s="64"/>
      <c r="AE81" s="64"/>
    </row>
    <row r="82" spans="27:31" x14ac:dyDescent="0.2">
      <c r="AA82" s="64"/>
      <c r="AB82" s="64"/>
      <c r="AC82" s="64"/>
      <c r="AD82" s="64"/>
      <c r="AE82" s="64"/>
    </row>
    <row r="83" spans="27:31" ht="2.4500000000000002" customHeight="1" x14ac:dyDescent="0.2">
      <c r="AA83" s="64"/>
      <c r="AB83" s="64"/>
      <c r="AC83" s="64"/>
      <c r="AD83" s="64"/>
      <c r="AE83" s="64"/>
    </row>
    <row r="84" spans="27:31" x14ac:dyDescent="0.2">
      <c r="AA84" s="64"/>
      <c r="AB84" s="64"/>
      <c r="AC84" s="64"/>
      <c r="AD84" s="64"/>
      <c r="AE84" s="64"/>
    </row>
    <row r="85" spans="27:31" ht="13.15" customHeight="1" x14ac:dyDescent="0.2">
      <c r="AA85" s="64"/>
      <c r="AB85" s="64"/>
      <c r="AC85" s="64"/>
      <c r="AD85" s="64"/>
      <c r="AE85" s="64"/>
    </row>
    <row r="86" spans="27:31" ht="13.15" customHeight="1" x14ac:dyDescent="0.2">
      <c r="AA86" s="64"/>
      <c r="AB86" s="64"/>
      <c r="AC86" s="64"/>
      <c r="AD86" s="64"/>
      <c r="AE86" s="64"/>
    </row>
    <row r="87" spans="27:31" ht="12.6" customHeight="1" x14ac:dyDescent="0.2">
      <c r="AA87" s="64"/>
      <c r="AB87" s="64"/>
      <c r="AC87" s="64"/>
      <c r="AD87" s="64"/>
      <c r="AE87" s="64"/>
    </row>
    <row r="88" spans="27:31" ht="13.15" customHeight="1" x14ac:dyDescent="0.2">
      <c r="AA88" s="64"/>
      <c r="AB88" s="64"/>
      <c r="AC88" s="64"/>
      <c r="AD88" s="64"/>
      <c r="AE88" s="64"/>
    </row>
    <row r="89" spans="27:31" x14ac:dyDescent="0.2">
      <c r="AA89" s="64"/>
      <c r="AB89" s="64"/>
      <c r="AC89" s="64"/>
      <c r="AD89" s="64"/>
      <c r="AE89" s="64"/>
    </row>
    <row r="90" spans="27:31" ht="2.4500000000000002" customHeight="1" x14ac:dyDescent="0.2">
      <c r="AA90" s="64"/>
      <c r="AB90" s="64"/>
      <c r="AC90" s="64"/>
      <c r="AD90" s="64"/>
      <c r="AE90" s="64"/>
    </row>
    <row r="91" spans="27:31" x14ac:dyDescent="0.2">
      <c r="AA91" s="64"/>
      <c r="AB91" s="64"/>
      <c r="AC91" s="64"/>
      <c r="AD91" s="64"/>
      <c r="AE91" s="64"/>
    </row>
    <row r="92" spans="27:31" ht="13.15" customHeight="1" x14ac:dyDescent="0.2">
      <c r="AA92" s="64"/>
      <c r="AB92" s="64"/>
      <c r="AC92" s="64"/>
      <c r="AD92" s="64"/>
      <c r="AE92" s="64"/>
    </row>
    <row r="93" spans="27:31" ht="13.15" customHeight="1" x14ac:dyDescent="0.2">
      <c r="AA93" s="64"/>
      <c r="AB93" s="64"/>
      <c r="AC93" s="64"/>
      <c r="AD93" s="64"/>
      <c r="AE93" s="64"/>
    </row>
    <row r="94" spans="27:31" ht="12.6" customHeight="1" x14ac:dyDescent="0.2">
      <c r="AA94" s="64"/>
      <c r="AB94" s="64"/>
      <c r="AC94" s="64"/>
      <c r="AD94" s="64"/>
      <c r="AE94" s="64"/>
    </row>
    <row r="95" spans="27:31" ht="13.15" customHeight="1" x14ac:dyDescent="0.2">
      <c r="AA95" s="64"/>
      <c r="AB95" s="64"/>
      <c r="AC95" s="64"/>
      <c r="AD95" s="64"/>
      <c r="AE95" s="64"/>
    </row>
    <row r="96" spans="27:31" x14ac:dyDescent="0.2">
      <c r="AA96" s="64"/>
      <c r="AB96" s="64"/>
      <c r="AC96" s="64"/>
      <c r="AD96" s="64"/>
      <c r="AE96" s="64"/>
    </row>
    <row r="97" spans="13:31" ht="2.4500000000000002" customHeight="1" x14ac:dyDescent="0.2">
      <c r="AA97" s="64"/>
      <c r="AB97" s="64"/>
      <c r="AC97" s="64"/>
      <c r="AD97" s="64"/>
      <c r="AE97" s="64"/>
    </row>
    <row r="98" spans="13:31" x14ac:dyDescent="0.2">
      <c r="AA98" s="64"/>
      <c r="AB98" s="64"/>
      <c r="AC98" s="64"/>
      <c r="AD98" s="64"/>
      <c r="AE98" s="64"/>
    </row>
    <row r="99" spans="13:31" ht="13.15" customHeight="1" x14ac:dyDescent="0.2">
      <c r="AA99" s="64"/>
      <c r="AB99" s="64"/>
      <c r="AC99" s="64"/>
      <c r="AD99" s="64"/>
      <c r="AE99" s="64"/>
    </row>
    <row r="100" spans="13:31" ht="13.15" customHeight="1" x14ac:dyDescent="0.2">
      <c r="AA100" s="64"/>
      <c r="AB100" s="64"/>
      <c r="AC100" s="64"/>
      <c r="AD100" s="64"/>
      <c r="AE100" s="64"/>
    </row>
    <row r="101" spans="13:31" ht="13.9" customHeight="1" x14ac:dyDescent="0.2">
      <c r="AA101" s="64"/>
      <c r="AB101" s="68"/>
      <c r="AC101" s="68"/>
      <c r="AD101" s="68"/>
      <c r="AE101" s="68"/>
    </row>
    <row r="102" spans="13:31" ht="13.9" customHeight="1" x14ac:dyDescent="0.2">
      <c r="AA102" s="64"/>
      <c r="AB102" s="68"/>
      <c r="AC102" s="68"/>
      <c r="AD102" s="68"/>
      <c r="AE102" s="68"/>
    </row>
    <row r="103" spans="13:31" ht="13.9" customHeight="1" x14ac:dyDescent="0.2">
      <c r="AA103" s="64"/>
      <c r="AB103" s="68"/>
      <c r="AC103" s="68"/>
      <c r="AD103" s="68"/>
      <c r="AE103" s="68"/>
    </row>
    <row r="104" spans="13:31" ht="13.9" customHeight="1" x14ac:dyDescent="0.2">
      <c r="AA104" s="64"/>
      <c r="AB104" s="68"/>
      <c r="AC104" s="9"/>
      <c r="AD104" s="68"/>
      <c r="AE104" s="68"/>
    </row>
    <row r="105" spans="13:31" ht="13.9" customHeight="1" x14ac:dyDescent="0.2">
      <c r="AA105" s="64"/>
      <c r="AB105" s="68"/>
      <c r="AC105" s="68"/>
      <c r="AD105" s="68"/>
      <c r="AE105" s="68"/>
    </row>
    <row r="106" spans="13:31" ht="13.9" customHeight="1" x14ac:dyDescent="0.2">
      <c r="AA106" s="64"/>
      <c r="AB106" s="68"/>
      <c r="AC106" s="68"/>
      <c r="AD106" s="68"/>
      <c r="AE106" s="68"/>
    </row>
    <row r="107" spans="13:31" ht="13.9" customHeight="1" x14ac:dyDescent="0.2">
      <c r="AA107" s="64"/>
      <c r="AB107" s="68"/>
      <c r="AC107" s="68"/>
      <c r="AD107" s="68"/>
      <c r="AE107" s="68"/>
    </row>
    <row r="108" spans="13:31" ht="12.6" customHeight="1" x14ac:dyDescent="0.2">
      <c r="AA108" s="64"/>
      <c r="AB108" s="64"/>
      <c r="AC108" s="64"/>
      <c r="AD108" s="64"/>
      <c r="AE108" s="64"/>
    </row>
    <row r="109" spans="13:31" ht="13.9" customHeight="1" x14ac:dyDescent="0.2">
      <c r="AA109" s="64"/>
      <c r="AB109" s="64"/>
      <c r="AC109" s="64"/>
      <c r="AD109" s="64"/>
      <c r="AE109" s="64"/>
    </row>
    <row r="110" spans="13:31" ht="12.6" customHeight="1" x14ac:dyDescent="0.25">
      <c r="AA110" s="64"/>
      <c r="AB110" s="33" t="e">
        <f>EXP(-1.89+(1.498*$X$2)+(0.3403*$Y$3)-(0.005202*#REF!)-(0.02514*#REF!)+(0.002387*M44)+(0.000004326*M44*M45)+(0.02086*W7))</f>
        <v>#REF!</v>
      </c>
      <c r="AC110" s="33" t="e">
        <f>EXP(-1.89+(1.498*$X$2)+(0.3403*$Y$3)-(0.005202*#REF!)-(0.02514*#REF!)+(0.002387*N44)+(0.000004326*N44*N45)+(0.02086*X7))</f>
        <v>#REF!</v>
      </c>
      <c r="AD110" s="33" t="e">
        <f>EXP(-1.89+(1.498*$X$2)+(0.3403*$Y$3)-(0.005202*#REF!)-(0.02514*#REF!)+(0.002387*O44)+(0.000004326*O44*O45)+(0.02086*Y7))</f>
        <v>#REF!</v>
      </c>
      <c r="AE110" s="33" t="e">
        <f>EXP(-1.89+(1.498*$X$2)+(0.3403*$Y$3)-(0.005202*#REF!)-(0.02514*#REF!)+(0.002387*P44)+(0.000004326*P44*P45)+(0.02086*Z7))</f>
        <v>#REF!</v>
      </c>
    </row>
    <row r="111" spans="13:31" ht="13.15" customHeight="1" x14ac:dyDescent="0.2">
      <c r="M111" s="265"/>
      <c r="AA111" s="64"/>
      <c r="AB111" s="64"/>
      <c r="AC111" s="64"/>
      <c r="AD111" s="64"/>
      <c r="AE111" s="64"/>
    </row>
    <row r="112" spans="13:31" ht="13.15" customHeight="1" x14ac:dyDescent="0.2">
      <c r="AA112" s="64"/>
      <c r="AB112" s="64"/>
      <c r="AC112" s="64"/>
      <c r="AD112" s="64"/>
      <c r="AE112" s="64"/>
    </row>
    <row r="113" spans="27:31" ht="13.15" customHeight="1" x14ac:dyDescent="0.2">
      <c r="AA113" s="64"/>
      <c r="AB113" s="64"/>
      <c r="AC113" s="64"/>
      <c r="AD113" s="64"/>
      <c r="AE113" s="64"/>
    </row>
  </sheetData>
  <mergeCells count="18">
    <mergeCell ref="A7:A10"/>
    <mergeCell ref="W51:Z51"/>
    <mergeCell ref="Q3:R3"/>
    <mergeCell ref="Q2:R2"/>
    <mergeCell ref="W50:Z50"/>
    <mergeCell ref="K22:K25"/>
    <mergeCell ref="K28:K31"/>
    <mergeCell ref="K34:K37"/>
    <mergeCell ref="K40:K43"/>
    <mergeCell ref="Q4:R4"/>
    <mergeCell ref="Q7:R7"/>
    <mergeCell ref="U34:U37"/>
    <mergeCell ref="K10:K13"/>
    <mergeCell ref="K16:K19"/>
    <mergeCell ref="U10:U13"/>
    <mergeCell ref="U16:U19"/>
    <mergeCell ref="U22:U25"/>
    <mergeCell ref="U28:U31"/>
  </mergeCells>
  <phoneticPr fontId="2" type="noConversion"/>
  <conditionalFormatting sqref="E42:I42">
    <cfRule type="expression" dxfId="59" priority="44" stopIfTrue="1">
      <formula>ISERROR(E42)</formula>
    </cfRule>
  </conditionalFormatting>
  <conditionalFormatting sqref="E41:I41">
    <cfRule type="cellIs" dxfId="58" priority="45" stopIfTrue="1" operator="equal">
      <formula>FALSE</formula>
    </cfRule>
  </conditionalFormatting>
  <conditionalFormatting sqref="E26:I26">
    <cfRule type="cellIs" dxfId="57" priority="48" stopIfTrue="1" operator="notEqual">
      <formula>0</formula>
    </cfRule>
  </conditionalFormatting>
  <conditionalFormatting sqref="Q2:Q3 W7:Z7">
    <cfRule type="cellIs" dxfId="56" priority="24" stopIfTrue="1" operator="lessThan">
      <formula>0</formula>
    </cfRule>
  </conditionalFormatting>
  <conditionalFormatting sqref="Q4">
    <cfRule type="cellIs" priority="25" stopIfTrue="1" operator="lessThan">
      <formula>0</formula>
    </cfRule>
  </conditionalFormatting>
  <conditionalFormatting sqref="W45">
    <cfRule type="cellIs" dxfId="55" priority="6" operator="greaterThan">
      <formula>1</formula>
    </cfRule>
  </conditionalFormatting>
  <conditionalFormatting sqref="X45">
    <cfRule type="cellIs" dxfId="54" priority="5" operator="greaterThan">
      <formula>1</formula>
    </cfRule>
  </conditionalFormatting>
  <conditionalFormatting sqref="Y45">
    <cfRule type="cellIs" dxfId="53" priority="4" operator="greaterThan">
      <formula>1</formula>
    </cfRule>
  </conditionalFormatting>
  <conditionalFormatting sqref="Z45">
    <cfRule type="cellIs" dxfId="52" priority="3" operator="greaterThan">
      <formula>1</formula>
    </cfRule>
  </conditionalFormatting>
  <conditionalFormatting sqref="D46">
    <cfRule type="cellIs" dxfId="51" priority="59" operator="greaterThan">
      <formula>1</formula>
    </cfRule>
  </conditionalFormatting>
  <conditionalFormatting sqref="D43:E49">
    <cfRule type="expression" dxfId="50" priority="2">
      <formula>$B$59=1</formula>
    </cfRule>
  </conditionalFormatting>
  <conditionalFormatting sqref="S18">
    <cfRule type="colorScale" priority="1">
      <colorScale>
        <cfvo type="num" val="-100000000"/>
        <cfvo type="num" val="10000000000"/>
        <color rgb="FFFF0000"/>
        <color rgb="FFFF0000"/>
      </colorScale>
    </cfRule>
  </conditionalFormatting>
  <dataValidations count="2">
    <dataValidation type="decimal" allowBlank="1" showInputMessage="1" showErrorMessage="1" sqref="X3">
      <formula1>0</formula1>
      <formula2>1</formula2>
    </dataValidation>
    <dataValidation type="list" allowBlank="1" showInputMessage="1" showErrorMessage="1" sqref="E13">
      <formula1>$AB$31:$AB$34</formula1>
    </dataValidation>
  </dataValidations>
  <pageMargins left="0.7" right="0.7" top="0.75" bottom="0.75" header="0.3" footer="0.3"/>
  <pageSetup scale="92" orientation="portrait" r:id="rId1"/>
  <headerFooter>
    <oddHeader>&amp;CSingle Lane Roundabout Input Sheet</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632" r:id="rId4" name="Option Button 536">
              <controlPr defaultSize="0" autoFill="0" autoLine="0" autoPict="0">
                <anchor moveWithCells="1">
                  <from>
                    <xdr:col>0</xdr:col>
                    <xdr:colOff>76200</xdr:colOff>
                    <xdr:row>25</xdr:row>
                    <xdr:rowOff>95250</xdr:rowOff>
                  </from>
                  <to>
                    <xdr:col>0</xdr:col>
                    <xdr:colOff>266700</xdr:colOff>
                    <xdr:row>26</xdr:row>
                    <xdr:rowOff>104775</xdr:rowOff>
                  </to>
                </anchor>
              </controlPr>
            </control>
          </mc:Choice>
        </mc:AlternateContent>
        <mc:AlternateContent xmlns:mc="http://schemas.openxmlformats.org/markup-compatibility/2006">
          <mc:Choice Requires="x14">
            <control shapeId="4633" r:id="rId5" name="Option Button 537">
              <controlPr defaultSize="0" autoFill="0" autoLine="0" autoPict="0">
                <anchor moveWithCells="1">
                  <from>
                    <xdr:col>0</xdr:col>
                    <xdr:colOff>57150</xdr:colOff>
                    <xdr:row>33</xdr:row>
                    <xdr:rowOff>0</xdr:rowOff>
                  </from>
                  <to>
                    <xdr:col>0</xdr:col>
                    <xdr:colOff>247650</xdr:colOff>
                    <xdr:row>34</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F118"/>
  <sheetViews>
    <sheetView showGridLines="0" topLeftCell="A37" zoomScaleNormal="100" zoomScalePageLayoutView="90" workbookViewId="0">
      <selection activeCell="D59" sqref="D59"/>
    </sheetView>
  </sheetViews>
  <sheetFormatPr defaultColWidth="8.85546875" defaultRowHeight="12.75" x14ac:dyDescent="0.2"/>
  <cols>
    <col min="1" max="2" width="10.5703125" style="64" customWidth="1"/>
    <col min="3" max="3" width="7.85546875" style="64" customWidth="1"/>
    <col min="4" max="4" width="8.140625" style="64" customWidth="1"/>
    <col min="5" max="5" width="7.140625" style="64" customWidth="1"/>
    <col min="6" max="6" width="8" style="64" customWidth="1"/>
    <col min="7" max="7" width="0.7109375" style="64" customWidth="1"/>
    <col min="8" max="8" width="8.85546875" style="64"/>
    <col min="9" max="9" width="8.85546875" style="64" customWidth="1"/>
    <col min="10" max="10" width="10.28515625" style="64" customWidth="1"/>
    <col min="11" max="11" width="7.85546875" style="64" customWidth="1"/>
    <col min="12" max="12" width="9.7109375" style="64" customWidth="1"/>
    <col min="13" max="16" width="7.28515625" style="64" customWidth="1"/>
    <col min="17" max="17" width="0.85546875" style="64" customWidth="1"/>
    <col min="18" max="18" width="5.5703125" style="64" customWidth="1"/>
    <col min="19" max="19" width="4.7109375" style="64" customWidth="1"/>
    <col min="20" max="20" width="0.85546875" style="64" customWidth="1"/>
    <col min="21" max="21" width="7.28515625" style="64" customWidth="1"/>
    <col min="22" max="22" width="5" style="64" customWidth="1"/>
    <col min="23" max="24" width="7.28515625" style="64" customWidth="1"/>
    <col min="25" max="26" width="7.42578125" style="64" customWidth="1"/>
    <col min="27" max="27" width="8.85546875" style="64"/>
    <col min="28" max="31" width="8.85546875" style="64" hidden="1" customWidth="1"/>
    <col min="32" max="16384" width="8.85546875" style="64"/>
  </cols>
  <sheetData>
    <row r="1" spans="1:26" ht="13.15" customHeight="1" thickBot="1" x14ac:dyDescent="0.25">
      <c r="A1" s="145" t="s">
        <v>98</v>
      </c>
      <c r="B1" s="65"/>
      <c r="C1" s="65"/>
      <c r="F1" s="73"/>
      <c r="G1" s="73"/>
      <c r="H1" s="73"/>
      <c r="I1" s="73"/>
      <c r="K1" s="36" t="s">
        <v>11</v>
      </c>
      <c r="L1" s="38"/>
      <c r="M1" s="6"/>
      <c r="N1" s="37"/>
      <c r="O1" s="258" t="s">
        <v>20</v>
      </c>
      <c r="P1" s="7"/>
      <c r="Q1" s="86"/>
      <c r="R1" s="86"/>
      <c r="S1" s="240" t="s">
        <v>44</v>
      </c>
      <c r="U1" s="27" t="s">
        <v>42</v>
      </c>
      <c r="V1" s="6"/>
      <c r="W1" s="6"/>
      <c r="X1" s="37"/>
      <c r="Y1" s="68"/>
    </row>
    <row r="2" spans="1:26" ht="13.15" customHeight="1" thickTop="1" thickBot="1" x14ac:dyDescent="0.25">
      <c r="A2" s="66" t="s">
        <v>99</v>
      </c>
      <c r="B2" s="65"/>
      <c r="C2" s="65"/>
      <c r="F2" s="73"/>
      <c r="G2" s="73"/>
      <c r="H2" s="73"/>
      <c r="I2" s="73"/>
      <c r="K2" s="99" t="s">
        <v>0</v>
      </c>
      <c r="L2" s="252" t="str">
        <f>Singlelane!B2</f>
        <v>Pat Stoplight PE</v>
      </c>
      <c r="M2" s="241"/>
      <c r="N2" s="34"/>
      <c r="O2" s="353" t="s">
        <v>15</v>
      </c>
      <c r="P2" s="245" t="s">
        <v>16</v>
      </c>
      <c r="Q2" s="658">
        <f>Singlelane!G2</f>
        <v>1</v>
      </c>
      <c r="R2" s="649"/>
      <c r="S2" s="216">
        <v>1</v>
      </c>
      <c r="U2" s="285" t="s">
        <v>39</v>
      </c>
      <c r="V2" s="57"/>
      <c r="W2" s="89"/>
      <c r="X2" s="219">
        <f>Singlelane!N2</f>
        <v>4</v>
      </c>
      <c r="Y2" s="406" t="s">
        <v>48</v>
      </c>
      <c r="Z2" s="45"/>
    </row>
    <row r="3" spans="1:26" ht="13.15" customHeight="1" thickTop="1" thickBot="1" x14ac:dyDescent="0.25">
      <c r="A3" s="94"/>
      <c r="B3" s="95"/>
      <c r="C3" s="95"/>
      <c r="D3" s="188" t="s">
        <v>107</v>
      </c>
      <c r="E3" s="187" t="str">
        <f>Bypasslane!E13</f>
        <v>South</v>
      </c>
      <c r="F3" s="94" t="s">
        <v>85</v>
      </c>
      <c r="G3" s="73"/>
      <c r="H3" s="73"/>
      <c r="I3" s="73"/>
      <c r="K3" s="100" t="s">
        <v>19</v>
      </c>
      <c r="L3" s="455" t="str">
        <f>Singlelane!B3</f>
        <v>Safety City</v>
      </c>
      <c r="M3" s="68"/>
      <c r="N3" s="136"/>
      <c r="O3" s="354" t="s">
        <v>21</v>
      </c>
      <c r="P3" s="244" t="s">
        <v>14</v>
      </c>
      <c r="Q3" s="658">
        <f>Singlelane!G3</f>
        <v>1.5</v>
      </c>
      <c r="R3" s="649"/>
      <c r="S3" s="217">
        <v>1.5</v>
      </c>
      <c r="U3" s="285" t="s">
        <v>29</v>
      </c>
      <c r="V3" s="57"/>
      <c r="W3" s="89"/>
      <c r="X3" s="46">
        <f>Singlelane!N3</f>
        <v>0.25</v>
      </c>
      <c r="Y3" s="68"/>
      <c r="Z3" s="213"/>
    </row>
    <row r="4" spans="1:26" ht="13.15" customHeight="1" thickTop="1" thickBot="1" x14ac:dyDescent="0.25">
      <c r="A4" s="94"/>
      <c r="B4" s="95"/>
      <c r="C4" s="95"/>
      <c r="D4" s="188" t="s">
        <v>54</v>
      </c>
      <c r="E4" s="187" t="str">
        <f>Bypasslane!E14</f>
        <v>East</v>
      </c>
      <c r="F4" s="94" t="s">
        <v>85</v>
      </c>
      <c r="G4" s="73"/>
      <c r="H4" s="73"/>
      <c r="I4" s="73"/>
      <c r="K4" s="100" t="s">
        <v>1</v>
      </c>
      <c r="L4" s="47">
        <f>Singlelane!B4</f>
        <v>42269</v>
      </c>
      <c r="M4" s="242"/>
      <c r="N4" s="136"/>
      <c r="O4" s="60" t="s">
        <v>22</v>
      </c>
      <c r="P4" s="246" t="s">
        <v>17</v>
      </c>
      <c r="Q4" s="658">
        <f>Singlelane!G4</f>
        <v>2</v>
      </c>
      <c r="R4" s="649"/>
      <c r="S4" s="218">
        <v>2</v>
      </c>
      <c r="U4" s="350" t="s">
        <v>49</v>
      </c>
      <c r="V4" s="351">
        <f>Singlelane!L4</f>
        <v>0</v>
      </c>
      <c r="W4" s="351" t="str">
        <f>Singlelane!M4</f>
        <v>00</v>
      </c>
      <c r="X4" s="352" t="str">
        <f>Singlelane!N4</f>
        <v>PM</v>
      </c>
      <c r="Y4" s="44">
        <v>5</v>
      </c>
      <c r="Z4" s="45">
        <f>IF(M12&gt;0,IF(N13&gt;0,IF(O10&gt;0,IF(P11&gt;0,4,3),3),3),3)</f>
        <v>3</v>
      </c>
    </row>
    <row r="5" spans="1:26" ht="13.15" customHeight="1" thickBot="1" x14ac:dyDescent="0.25">
      <c r="A5" s="66" t="s">
        <v>97</v>
      </c>
      <c r="E5" s="73"/>
      <c r="F5" s="73"/>
      <c r="G5" s="73"/>
      <c r="K5" s="328" t="s">
        <v>192</v>
      </c>
      <c r="L5" s="380">
        <f>Singlelane!B5</f>
        <v>0</v>
      </c>
      <c r="M5" s="380"/>
      <c r="N5" s="419"/>
      <c r="O5" s="431" t="s">
        <v>193</v>
      </c>
      <c r="P5" s="430">
        <f>Singlelane!E5</f>
        <v>0</v>
      </c>
      <c r="Q5" s="426"/>
      <c r="R5" s="426"/>
      <c r="S5" s="427"/>
      <c r="T5" s="68"/>
      <c r="U5" s="80" t="s">
        <v>206</v>
      </c>
      <c r="V5" s="83"/>
      <c r="W5" s="108"/>
      <c r="X5" s="104" t="s">
        <v>12</v>
      </c>
      <c r="Y5" s="103"/>
      <c r="Z5" s="105"/>
    </row>
    <row r="6" spans="1:26" ht="13.15" customHeight="1" thickBot="1" x14ac:dyDescent="0.25">
      <c r="A6" s="80" t="s">
        <v>41</v>
      </c>
      <c r="B6" s="122"/>
      <c r="C6" s="108"/>
      <c r="D6" s="104" t="s">
        <v>12</v>
      </c>
      <c r="E6" s="103"/>
      <c r="F6" s="105"/>
      <c r="G6" s="73"/>
      <c r="K6" s="415" t="s">
        <v>18</v>
      </c>
      <c r="L6" s="456" t="str">
        <f>Singlelane!B6</f>
        <v>Project Name</v>
      </c>
      <c r="M6" s="416"/>
      <c r="N6" s="292"/>
      <c r="P6" s="101" t="s">
        <v>2</v>
      </c>
      <c r="Q6" s="356" t="str">
        <f>Singlelane!F6</f>
        <v>20yrs &gt; build</v>
      </c>
      <c r="R6" s="243"/>
      <c r="S6" s="39"/>
      <c r="T6" s="68"/>
      <c r="U6" s="366" t="s">
        <v>208</v>
      </c>
      <c r="V6" s="111"/>
      <c r="W6" s="109" t="s">
        <v>3</v>
      </c>
      <c r="X6" s="106" t="s">
        <v>4</v>
      </c>
      <c r="Y6" s="106" t="s">
        <v>5</v>
      </c>
      <c r="Z6" s="107" t="s">
        <v>55</v>
      </c>
    </row>
    <row r="7" spans="1:26" ht="13.15" customHeight="1" thickTop="1" thickBot="1" x14ac:dyDescent="0.25">
      <c r="A7" s="69" t="s">
        <v>57</v>
      </c>
      <c r="B7" s="111"/>
      <c r="C7" s="109" t="s">
        <v>3</v>
      </c>
      <c r="D7" s="106" t="s">
        <v>4</v>
      </c>
      <c r="E7" s="106" t="s">
        <v>5</v>
      </c>
      <c r="F7" s="107" t="s">
        <v>55</v>
      </c>
      <c r="G7" s="73"/>
      <c r="O7" s="347"/>
      <c r="P7" s="348"/>
      <c r="Q7" s="652"/>
      <c r="R7" s="653"/>
      <c r="S7" s="355"/>
      <c r="U7" s="404" t="s">
        <v>207</v>
      </c>
      <c r="V7" s="428"/>
      <c r="W7" s="429">
        <f>Singlelane!M7</f>
        <v>0</v>
      </c>
      <c r="X7" s="391">
        <f>Singlelane!N7</f>
        <v>0</v>
      </c>
      <c r="Y7" s="391">
        <f>Singlelane!O7</f>
        <v>0</v>
      </c>
      <c r="Z7" s="392">
        <f>Singlelane!P7</f>
        <v>0</v>
      </c>
    </row>
    <row r="8" spans="1:26" ht="13.15" customHeight="1" thickTop="1" x14ac:dyDescent="0.2">
      <c r="A8" s="639" t="s">
        <v>13</v>
      </c>
      <c r="B8" s="112" t="s">
        <v>3</v>
      </c>
      <c r="C8" s="102">
        <f>Bypasslane!M10</f>
        <v>0</v>
      </c>
      <c r="D8" s="233">
        <f>Bypasslane!N10</f>
        <v>0</v>
      </c>
      <c r="E8" s="102">
        <f>Bypasslane!O10</f>
        <v>0</v>
      </c>
      <c r="F8" s="102">
        <f>Bypasslane!P10</f>
        <v>0</v>
      </c>
      <c r="G8" s="73"/>
      <c r="K8" s="80" t="s">
        <v>41</v>
      </c>
      <c r="L8" s="83"/>
      <c r="M8" s="108"/>
      <c r="N8" s="104" t="s">
        <v>12</v>
      </c>
      <c r="O8" s="103"/>
      <c r="P8" s="105"/>
      <c r="Q8" s="68"/>
      <c r="R8" s="73"/>
      <c r="S8" s="467"/>
      <c r="U8" s="80" t="s">
        <v>30</v>
      </c>
      <c r="V8" s="83"/>
      <c r="W8" s="83"/>
      <c r="X8" s="84" t="s">
        <v>12</v>
      </c>
      <c r="Y8" s="83"/>
      <c r="Z8" s="71"/>
    </row>
    <row r="9" spans="1:26" ht="13.15" customHeight="1" thickBot="1" x14ac:dyDescent="0.25">
      <c r="A9" s="654"/>
      <c r="B9" s="112" t="s">
        <v>4</v>
      </c>
      <c r="C9" s="102">
        <f>Bypasslane!M11</f>
        <v>0</v>
      </c>
      <c r="D9" s="102">
        <f>Bypasslane!N11</f>
        <v>0</v>
      </c>
      <c r="E9" s="233">
        <f>Bypasslane!O11</f>
        <v>0</v>
      </c>
      <c r="F9" s="102">
        <f>Bypasslane!P11</f>
        <v>0</v>
      </c>
      <c r="G9" s="73"/>
      <c r="K9" s="69" t="s">
        <v>57</v>
      </c>
      <c r="L9" s="111"/>
      <c r="M9" s="206" t="s">
        <v>3</v>
      </c>
      <c r="N9" s="207" t="s">
        <v>4</v>
      </c>
      <c r="O9" s="207" t="s">
        <v>5</v>
      </c>
      <c r="P9" s="208" t="s">
        <v>55</v>
      </c>
      <c r="R9" s="73"/>
      <c r="S9" s="73"/>
      <c r="U9" s="139" t="s">
        <v>31</v>
      </c>
      <c r="V9" s="81"/>
      <c r="W9" s="209" t="s">
        <v>3</v>
      </c>
      <c r="X9" s="209" t="s">
        <v>4</v>
      </c>
      <c r="Y9" s="209" t="s">
        <v>5</v>
      </c>
      <c r="Z9" s="210" t="s">
        <v>55</v>
      </c>
    </row>
    <row r="10" spans="1:26" ht="13.15" customHeight="1" thickTop="1" x14ac:dyDescent="0.2">
      <c r="A10" s="654"/>
      <c r="B10" s="112" t="s">
        <v>5</v>
      </c>
      <c r="C10" s="102">
        <f>Bypasslane!M12</f>
        <v>0</v>
      </c>
      <c r="D10" s="102">
        <f>Bypasslane!N12</f>
        <v>0</v>
      </c>
      <c r="E10" s="102">
        <f>Bypasslane!O12</f>
        <v>0</v>
      </c>
      <c r="F10" s="233">
        <f>Bypasslane!P12</f>
        <v>0</v>
      </c>
      <c r="G10" s="73"/>
      <c r="K10" s="639" t="s">
        <v>13</v>
      </c>
      <c r="L10" s="112" t="s">
        <v>3</v>
      </c>
      <c r="M10" s="302">
        <f>Bypasslane!M10</f>
        <v>0</v>
      </c>
      <c r="N10" s="302">
        <f>IF($E$14="East",0,Bypasslane!N10)</f>
        <v>0</v>
      </c>
      <c r="O10" s="302">
        <f>Bypasslane!O10</f>
        <v>0</v>
      </c>
      <c r="P10" s="436">
        <f>Bypasslane!P10</f>
        <v>0</v>
      </c>
      <c r="Q10" s="68"/>
      <c r="T10" s="68"/>
      <c r="U10" s="639" t="s">
        <v>13</v>
      </c>
      <c r="V10" s="214" t="s">
        <v>3</v>
      </c>
      <c r="W10" s="149">
        <f t="shared" ref="W10:Z13" si="0">ROUND(IF(M16=0,0,M10/M16),0)</f>
        <v>0</v>
      </c>
      <c r="X10" s="149">
        <f t="shared" si="0"/>
        <v>0</v>
      </c>
      <c r="Y10" s="149">
        <f t="shared" si="0"/>
        <v>0</v>
      </c>
      <c r="Z10" s="150">
        <f t="shared" si="0"/>
        <v>0</v>
      </c>
    </row>
    <row r="11" spans="1:26" s="65" customFormat="1" ht="13.15" customHeight="1" thickBot="1" x14ac:dyDescent="0.25">
      <c r="A11" s="655"/>
      <c r="B11" s="113" t="s">
        <v>55</v>
      </c>
      <c r="C11" s="233">
        <f>Bypasslane!M13</f>
        <v>0</v>
      </c>
      <c r="D11" s="102">
        <f>Bypasslane!N13</f>
        <v>0</v>
      </c>
      <c r="E11" s="102">
        <f>Bypasslane!O13</f>
        <v>0</v>
      </c>
      <c r="F11" s="102">
        <f>Bypasslane!P13</f>
        <v>0</v>
      </c>
      <c r="G11" s="75"/>
      <c r="H11" s="64"/>
      <c r="I11" s="64"/>
      <c r="J11" s="64"/>
      <c r="K11" s="640"/>
      <c r="L11" s="112" t="s">
        <v>4</v>
      </c>
      <c r="M11" s="302">
        <f>Bypasslane!M11</f>
        <v>0</v>
      </c>
      <c r="N11" s="302">
        <f>Bypasslane!N11</f>
        <v>0</v>
      </c>
      <c r="O11" s="302">
        <f>IF($E$14="South",0,Bypasslane!O11)</f>
        <v>0</v>
      </c>
      <c r="P11" s="436">
        <f>Bypasslane!P11</f>
        <v>0</v>
      </c>
      <c r="R11" s="147" t="s">
        <v>100</v>
      </c>
      <c r="U11" s="640"/>
      <c r="V11" s="214" t="s">
        <v>4</v>
      </c>
      <c r="W11" s="149">
        <f t="shared" si="0"/>
        <v>0</v>
      </c>
      <c r="X11" s="149">
        <f t="shared" si="0"/>
        <v>0</v>
      </c>
      <c r="Y11" s="149">
        <f t="shared" si="0"/>
        <v>0</v>
      </c>
      <c r="Z11" s="150">
        <f t="shared" si="0"/>
        <v>0</v>
      </c>
    </row>
    <row r="12" spans="1:26" ht="13.15" customHeight="1" x14ac:dyDescent="0.2">
      <c r="K12" s="640"/>
      <c r="L12" s="112" t="s">
        <v>5</v>
      </c>
      <c r="M12" s="302">
        <f>Bypasslane!M12</f>
        <v>0</v>
      </c>
      <c r="N12" s="302">
        <f>Bypasslane!N12</f>
        <v>0</v>
      </c>
      <c r="O12" s="302">
        <f>Bypasslane!O12</f>
        <v>0</v>
      </c>
      <c r="P12" s="436">
        <f>IF($E$14="West",0,Bypasslane!P12)</f>
        <v>0</v>
      </c>
      <c r="Q12" s="65"/>
      <c r="R12" s="146" t="s">
        <v>101</v>
      </c>
      <c r="S12" s="65"/>
      <c r="T12" s="65"/>
      <c r="U12" s="640"/>
      <c r="V12" s="214" t="s">
        <v>5</v>
      </c>
      <c r="W12" s="149">
        <f t="shared" si="0"/>
        <v>0</v>
      </c>
      <c r="X12" s="149">
        <f t="shared" si="0"/>
        <v>0</v>
      </c>
      <c r="Y12" s="149">
        <f t="shared" si="0"/>
        <v>0</v>
      </c>
      <c r="Z12" s="150">
        <f t="shared" si="0"/>
        <v>0</v>
      </c>
    </row>
    <row r="13" spans="1:26" ht="13.15" customHeight="1" thickBot="1" x14ac:dyDescent="0.25">
      <c r="A13" s="95"/>
      <c r="B13" s="95"/>
      <c r="C13" s="95"/>
      <c r="D13" s="95"/>
      <c r="E13" s="95"/>
      <c r="F13" s="95"/>
      <c r="K13" s="641"/>
      <c r="L13" s="113" t="s">
        <v>55</v>
      </c>
      <c r="M13" s="305">
        <f>IF($E$14="North",0,Bypasslane!M13)</f>
        <v>0</v>
      </c>
      <c r="N13" s="305">
        <f>Bypasslane!N13</f>
        <v>0</v>
      </c>
      <c r="O13" s="305">
        <f>Bypasslane!O13</f>
        <v>0</v>
      </c>
      <c r="P13" s="437">
        <f>Bypasslane!P13</f>
        <v>0</v>
      </c>
      <c r="U13" s="641"/>
      <c r="V13" s="116" t="s">
        <v>55</v>
      </c>
      <c r="W13" s="149">
        <f t="shared" si="0"/>
        <v>0</v>
      </c>
      <c r="X13" s="149">
        <f t="shared" si="0"/>
        <v>0</v>
      </c>
      <c r="Y13" s="149">
        <f t="shared" si="0"/>
        <v>0</v>
      </c>
      <c r="Z13" s="150">
        <f t="shared" si="0"/>
        <v>0</v>
      </c>
    </row>
    <row r="14" spans="1:26" ht="13.15" customHeight="1" x14ac:dyDescent="0.2">
      <c r="A14" s="94" t="s">
        <v>53</v>
      </c>
      <c r="B14" s="95"/>
      <c r="C14" s="95"/>
      <c r="D14" s="95"/>
      <c r="E14" s="143" t="s">
        <v>90</v>
      </c>
      <c r="F14" s="264" t="s">
        <v>8</v>
      </c>
      <c r="K14" s="80" t="s">
        <v>47</v>
      </c>
      <c r="L14" s="83"/>
      <c r="M14" s="83"/>
      <c r="N14" s="84" t="s">
        <v>12</v>
      </c>
      <c r="O14" s="83"/>
      <c r="P14" s="71"/>
      <c r="S14" s="79"/>
      <c r="T14" s="73"/>
      <c r="U14" s="80" t="s">
        <v>84</v>
      </c>
      <c r="V14" s="83"/>
      <c r="W14" s="83"/>
      <c r="X14" s="84" t="s">
        <v>12</v>
      </c>
      <c r="Y14" s="83"/>
      <c r="Z14" s="71"/>
    </row>
    <row r="15" spans="1:26" ht="13.15" customHeight="1" thickBot="1" x14ac:dyDescent="0.25">
      <c r="A15" s="94" t="s">
        <v>54</v>
      </c>
      <c r="B15" s="95"/>
      <c r="C15" s="95"/>
      <c r="D15" s="95"/>
      <c r="E15" s="95" t="str">
        <f>IF(E14="South","East",IF(E14="West","South",IF(E14="North","West",IF(E14="East","North",use pull down))))</f>
        <v>West</v>
      </c>
      <c r="F15" s="94" t="s">
        <v>85</v>
      </c>
      <c r="K15" s="293" t="s">
        <v>9</v>
      </c>
      <c r="L15" s="373"/>
      <c r="M15" s="67" t="s">
        <v>3</v>
      </c>
      <c r="N15" s="67" t="s">
        <v>4</v>
      </c>
      <c r="O15" s="67" t="s">
        <v>5</v>
      </c>
      <c r="P15" s="70" t="s">
        <v>55</v>
      </c>
      <c r="R15" s="14"/>
      <c r="S15" s="73"/>
      <c r="U15" s="211" t="s">
        <v>138</v>
      </c>
      <c r="V15" s="81"/>
      <c r="W15" s="209" t="s">
        <v>3</v>
      </c>
      <c r="X15" s="209" t="s">
        <v>4</v>
      </c>
      <c r="Y15" s="209" t="s">
        <v>5</v>
      </c>
      <c r="Z15" s="210" t="s">
        <v>55</v>
      </c>
    </row>
    <row r="16" spans="1:26" ht="13.15" customHeight="1" thickTop="1" x14ac:dyDescent="0.2">
      <c r="A16" s="95"/>
      <c r="B16" s="95"/>
      <c r="C16" s="95"/>
      <c r="D16" s="95"/>
      <c r="E16" s="95"/>
      <c r="F16" s="95"/>
      <c r="I16" s="494"/>
      <c r="K16" s="639" t="s">
        <v>13</v>
      </c>
      <c r="L16" s="214" t="s">
        <v>3</v>
      </c>
      <c r="M16" s="148">
        <f>Bypasslane!M16</f>
        <v>0</v>
      </c>
      <c r="N16" s="148">
        <f>IF($E$14="East",0,Bypasslane!N16)</f>
        <v>0</v>
      </c>
      <c r="O16" s="148">
        <f>Bypasslane!O16</f>
        <v>0</v>
      </c>
      <c r="P16" s="148">
        <f>Bypasslane!P16</f>
        <v>0</v>
      </c>
      <c r="R16" s="140"/>
      <c r="S16" s="73"/>
      <c r="U16" s="639" t="s">
        <v>13</v>
      </c>
      <c r="V16" s="214" t="s">
        <v>3</v>
      </c>
      <c r="W16" s="153">
        <f t="shared" ref="W16:Z19" si="1">ROUND(1/(1+(W22*($Q$2-1))+(W28*($Q$3-1))+(W34*($Q$4-1))),3)</f>
        <v>1</v>
      </c>
      <c r="X16" s="153">
        <f t="shared" si="1"/>
        <v>1</v>
      </c>
      <c r="Y16" s="153">
        <f t="shared" si="1"/>
        <v>1</v>
      </c>
      <c r="Z16" s="387">
        <f t="shared" si="1"/>
        <v>1</v>
      </c>
    </row>
    <row r="17" spans="1:26" ht="13.15" customHeight="1" x14ac:dyDescent="0.2">
      <c r="I17" s="494"/>
      <c r="K17" s="640"/>
      <c r="L17" s="214" t="s">
        <v>4</v>
      </c>
      <c r="M17" s="148">
        <f>Bypasslane!M17</f>
        <v>0</v>
      </c>
      <c r="N17" s="148">
        <f>Bypasslane!N17</f>
        <v>0</v>
      </c>
      <c r="O17" s="148">
        <f>IF($E$14="South",0,Bypasslane!O17)</f>
        <v>0</v>
      </c>
      <c r="P17" s="148">
        <f>Bypasslane!P17</f>
        <v>0</v>
      </c>
      <c r="R17" s="73"/>
      <c r="S17" s="73"/>
      <c r="U17" s="640"/>
      <c r="V17" s="214" t="s">
        <v>4</v>
      </c>
      <c r="W17" s="153">
        <f t="shared" si="1"/>
        <v>1</v>
      </c>
      <c r="X17" s="153">
        <f t="shared" si="1"/>
        <v>1</v>
      </c>
      <c r="Y17" s="153">
        <f t="shared" si="1"/>
        <v>1</v>
      </c>
      <c r="Z17" s="387">
        <f t="shared" si="1"/>
        <v>1</v>
      </c>
    </row>
    <row r="18" spans="1:26" ht="13.15" customHeight="1" x14ac:dyDescent="0.2">
      <c r="I18" s="494"/>
      <c r="K18" s="640"/>
      <c r="L18" s="214" t="s">
        <v>5</v>
      </c>
      <c r="M18" s="148">
        <f>Bypasslane!M18</f>
        <v>0</v>
      </c>
      <c r="N18" s="148">
        <f>Bypasslane!N18</f>
        <v>0</v>
      </c>
      <c r="O18" s="148">
        <f>Bypasslane!O18</f>
        <v>0</v>
      </c>
      <c r="P18" s="148">
        <f>IF($E$14="West",0,Bypasslane!P18)</f>
        <v>0</v>
      </c>
      <c r="R18" s="557"/>
      <c r="S18" s="560"/>
      <c r="U18" s="640"/>
      <c r="V18" s="214" t="s">
        <v>5</v>
      </c>
      <c r="W18" s="153">
        <f t="shared" si="1"/>
        <v>1</v>
      </c>
      <c r="X18" s="153">
        <f t="shared" si="1"/>
        <v>1</v>
      </c>
      <c r="Y18" s="153">
        <f t="shared" si="1"/>
        <v>1</v>
      </c>
      <c r="Z18" s="387">
        <f t="shared" si="1"/>
        <v>1</v>
      </c>
    </row>
    <row r="19" spans="1:26" ht="13.15" customHeight="1" thickBot="1" x14ac:dyDescent="0.25">
      <c r="A19" s="4"/>
      <c r="B19" s="68"/>
      <c r="E19" s="79"/>
      <c r="F19" s="79"/>
      <c r="G19" s="79"/>
      <c r="I19" s="79"/>
      <c r="K19" s="641"/>
      <c r="L19" s="116" t="s">
        <v>55</v>
      </c>
      <c r="M19" s="148">
        <f>IF($E$14="North",0,Bypasslane!M19)</f>
        <v>0</v>
      </c>
      <c r="N19" s="148">
        <f>Bypasslane!N19</f>
        <v>0</v>
      </c>
      <c r="O19" s="148">
        <f>Bypasslane!O19</f>
        <v>0</v>
      </c>
      <c r="P19" s="148">
        <f>Bypasslane!P19</f>
        <v>0</v>
      </c>
      <c r="U19" s="641"/>
      <c r="V19" s="116" t="s">
        <v>55</v>
      </c>
      <c r="W19" s="388">
        <f t="shared" si="1"/>
        <v>1</v>
      </c>
      <c r="X19" s="388">
        <f t="shared" si="1"/>
        <v>1</v>
      </c>
      <c r="Y19" s="388">
        <f t="shared" si="1"/>
        <v>1</v>
      </c>
      <c r="Z19" s="389">
        <f t="shared" si="1"/>
        <v>1</v>
      </c>
    </row>
    <row r="20" spans="1:26" x14ac:dyDescent="0.2">
      <c r="C20" s="190" t="s">
        <v>260</v>
      </c>
      <c r="E20" s="79"/>
      <c r="F20" s="79"/>
      <c r="G20" s="79"/>
      <c r="I20" s="79" t="s">
        <v>258</v>
      </c>
      <c r="K20" s="80" t="s">
        <v>46</v>
      </c>
      <c r="L20" s="83"/>
      <c r="M20" s="108"/>
      <c r="N20" s="104" t="s">
        <v>12</v>
      </c>
      <c r="O20" s="103"/>
      <c r="P20" s="105"/>
      <c r="Q20" s="82"/>
      <c r="R20" s="82"/>
      <c r="S20" s="82"/>
      <c r="T20" s="82"/>
      <c r="U20" s="80" t="s">
        <v>25</v>
      </c>
      <c r="V20" s="83"/>
      <c r="W20" s="83"/>
      <c r="X20" s="84" t="s">
        <v>12</v>
      </c>
      <c r="Y20" s="83"/>
      <c r="Z20" s="71"/>
    </row>
    <row r="21" spans="1:26" ht="13.15" customHeight="1" thickBot="1" x14ac:dyDescent="0.25">
      <c r="C21" s="494" t="s">
        <v>261</v>
      </c>
      <c r="E21" s="79"/>
      <c r="F21" s="79"/>
      <c r="G21" s="79"/>
      <c r="I21" s="79" t="s">
        <v>259</v>
      </c>
      <c r="K21" s="69" t="s">
        <v>57</v>
      </c>
      <c r="L21" s="81"/>
      <c r="M21" s="206" t="s">
        <v>3</v>
      </c>
      <c r="N21" s="207" t="s">
        <v>4</v>
      </c>
      <c r="O21" s="207" t="s">
        <v>5</v>
      </c>
      <c r="P21" s="208" t="s">
        <v>55</v>
      </c>
      <c r="Q21" s="75"/>
      <c r="R21" s="75"/>
      <c r="U21" s="212" t="s">
        <v>139</v>
      </c>
      <c r="V21" s="81"/>
      <c r="W21" s="209" t="s">
        <v>3</v>
      </c>
      <c r="X21" s="209" t="s">
        <v>4</v>
      </c>
      <c r="Y21" s="209" t="s">
        <v>5</v>
      </c>
      <c r="Z21" s="210" t="s">
        <v>55</v>
      </c>
    </row>
    <row r="22" spans="1:26" ht="13.15" customHeight="1" thickTop="1" x14ac:dyDescent="0.2">
      <c r="C22" s="494"/>
      <c r="E22" s="79"/>
      <c r="F22" s="79"/>
      <c r="G22" s="79"/>
      <c r="I22" s="79"/>
      <c r="K22" s="639" t="s">
        <v>13</v>
      </c>
      <c r="L22" s="112" t="s">
        <v>3</v>
      </c>
      <c r="M22" s="302">
        <f>Bypasslane!M22</f>
        <v>0</v>
      </c>
      <c r="N22" s="302">
        <f>IF($E$14="East",0,Bypasslane!N22)</f>
        <v>0</v>
      </c>
      <c r="O22" s="302">
        <f>Bypasslane!O22</f>
        <v>0</v>
      </c>
      <c r="P22" s="436">
        <f>Bypasslane!P22</f>
        <v>0</v>
      </c>
      <c r="Q22" s="76"/>
      <c r="R22" s="76"/>
      <c r="U22" s="639" t="s">
        <v>13</v>
      </c>
      <c r="V22" s="214" t="s">
        <v>3</v>
      </c>
      <c r="W22" s="154">
        <f t="shared" ref="W22:Z25" si="2">ROUND(IF(M10=0,0,M22/M10),3)</f>
        <v>0</v>
      </c>
      <c r="X22" s="154">
        <f t="shared" si="2"/>
        <v>0</v>
      </c>
      <c r="Y22" s="154">
        <f t="shared" si="2"/>
        <v>0</v>
      </c>
      <c r="Z22" s="155">
        <f t="shared" si="2"/>
        <v>0</v>
      </c>
    </row>
    <row r="23" spans="1:26" x14ac:dyDescent="0.2">
      <c r="C23" s="494"/>
      <c r="E23" s="79"/>
      <c r="F23" s="79"/>
      <c r="G23" s="79"/>
      <c r="I23" s="79"/>
      <c r="K23" s="640"/>
      <c r="L23" s="112" t="s">
        <v>4</v>
      </c>
      <c r="M23" s="302">
        <f>Bypasslane!M23</f>
        <v>0</v>
      </c>
      <c r="N23" s="302">
        <f>Bypasslane!N23</f>
        <v>0</v>
      </c>
      <c r="O23" s="302">
        <f>IF($E$14="South",0,Bypasslane!O23)</f>
        <v>0</v>
      </c>
      <c r="P23" s="436">
        <f>Bypasslane!P23</f>
        <v>0</v>
      </c>
      <c r="Q23" s="79"/>
      <c r="R23" s="79"/>
      <c r="U23" s="640"/>
      <c r="V23" s="214" t="s">
        <v>4</v>
      </c>
      <c r="W23" s="154">
        <f t="shared" si="2"/>
        <v>0</v>
      </c>
      <c r="X23" s="154">
        <f t="shared" si="2"/>
        <v>0</v>
      </c>
      <c r="Y23" s="154">
        <f t="shared" si="2"/>
        <v>0</v>
      </c>
      <c r="Z23" s="155">
        <f t="shared" si="2"/>
        <v>0</v>
      </c>
    </row>
    <row r="24" spans="1:26" x14ac:dyDescent="0.2">
      <c r="C24" s="494"/>
      <c r="E24" s="79"/>
      <c r="F24" s="79"/>
      <c r="G24" s="79"/>
      <c r="I24" s="79"/>
      <c r="K24" s="640"/>
      <c r="L24" s="112" t="s">
        <v>5</v>
      </c>
      <c r="M24" s="302">
        <f>Bypasslane!M24</f>
        <v>0</v>
      </c>
      <c r="N24" s="302">
        <f>Bypasslane!N24</f>
        <v>0</v>
      </c>
      <c r="O24" s="302">
        <f>Bypasslane!O24</f>
        <v>0</v>
      </c>
      <c r="P24" s="436">
        <f>IF($E$14="West",0,Bypasslane!P24)</f>
        <v>0</v>
      </c>
      <c r="Q24" s="79"/>
      <c r="R24" s="79"/>
      <c r="U24" s="640"/>
      <c r="V24" s="214" t="s">
        <v>5</v>
      </c>
      <c r="W24" s="154">
        <f t="shared" si="2"/>
        <v>0</v>
      </c>
      <c r="X24" s="154">
        <f t="shared" si="2"/>
        <v>0</v>
      </c>
      <c r="Y24" s="154">
        <f t="shared" si="2"/>
        <v>0</v>
      </c>
      <c r="Z24" s="155">
        <f t="shared" si="2"/>
        <v>0</v>
      </c>
    </row>
    <row r="25" spans="1:26" ht="13.15" customHeight="1" thickBot="1" x14ac:dyDescent="0.25">
      <c r="C25" s="494"/>
      <c r="E25" s="73"/>
      <c r="F25" s="73"/>
      <c r="G25" s="73"/>
      <c r="I25" s="73"/>
      <c r="K25" s="641"/>
      <c r="L25" s="113" t="s">
        <v>55</v>
      </c>
      <c r="M25" s="305">
        <f>IF($E$14="North",0,Bypasslane!M25)</f>
        <v>0</v>
      </c>
      <c r="N25" s="305">
        <f>Bypasslane!N25</f>
        <v>0</v>
      </c>
      <c r="O25" s="305">
        <f>Bypasslane!O25</f>
        <v>0</v>
      </c>
      <c r="P25" s="437">
        <f>Bypasslane!P25</f>
        <v>0</v>
      </c>
      <c r="Q25" s="79"/>
      <c r="R25" s="79"/>
      <c r="U25" s="641"/>
      <c r="V25" s="116" t="s">
        <v>55</v>
      </c>
      <c r="W25" s="156">
        <f t="shared" si="2"/>
        <v>0</v>
      </c>
      <c r="X25" s="156">
        <f t="shared" si="2"/>
        <v>0</v>
      </c>
      <c r="Y25" s="156">
        <f t="shared" si="2"/>
        <v>0</v>
      </c>
      <c r="Z25" s="157">
        <f t="shared" si="2"/>
        <v>0</v>
      </c>
    </row>
    <row r="26" spans="1:26" x14ac:dyDescent="0.2">
      <c r="C26" s="494"/>
      <c r="E26" s="76"/>
      <c r="F26" s="76"/>
      <c r="G26" s="76"/>
      <c r="H26" s="76"/>
      <c r="I26" s="76"/>
      <c r="K26" s="80" t="s">
        <v>58</v>
      </c>
      <c r="L26" s="83"/>
      <c r="M26" s="108"/>
      <c r="N26" s="104" t="s">
        <v>12</v>
      </c>
      <c r="O26" s="103"/>
      <c r="P26" s="105"/>
      <c r="Q26" s="79"/>
      <c r="R26" s="79"/>
      <c r="S26" s="30"/>
      <c r="T26" s="22"/>
      <c r="U26" s="80" t="s">
        <v>23</v>
      </c>
      <c r="V26" s="83"/>
      <c r="W26" s="83"/>
      <c r="X26" s="84" t="s">
        <v>12</v>
      </c>
      <c r="Y26" s="83"/>
      <c r="Z26" s="71"/>
    </row>
    <row r="27" spans="1:26" ht="13.15" customHeight="1" thickBot="1" x14ac:dyDescent="0.25">
      <c r="C27" s="494"/>
      <c r="E27" s="17"/>
      <c r="F27" s="17"/>
      <c r="G27" s="17"/>
      <c r="H27" s="17"/>
      <c r="I27" s="17"/>
      <c r="K27" s="69" t="s">
        <v>57</v>
      </c>
      <c r="L27" s="81"/>
      <c r="M27" s="206" t="s">
        <v>3</v>
      </c>
      <c r="N27" s="207" t="s">
        <v>4</v>
      </c>
      <c r="O27" s="207" t="s">
        <v>5</v>
      </c>
      <c r="P27" s="208" t="s">
        <v>55</v>
      </c>
      <c r="Q27" s="79"/>
      <c r="R27" s="79"/>
      <c r="U27" s="212" t="s">
        <v>140</v>
      </c>
      <c r="V27" s="81"/>
      <c r="W27" s="209" t="s">
        <v>3</v>
      </c>
      <c r="X27" s="209" t="s">
        <v>4</v>
      </c>
      <c r="Y27" s="209" t="s">
        <v>5</v>
      </c>
      <c r="Z27" s="210" t="s">
        <v>55</v>
      </c>
    </row>
    <row r="28" spans="1:26" ht="13.15" customHeight="1" thickTop="1" x14ac:dyDescent="0.2">
      <c r="C28" s="494"/>
      <c r="E28" s="79"/>
      <c r="F28" s="79"/>
      <c r="G28" s="79"/>
      <c r="I28" s="79"/>
      <c r="K28" s="639" t="s">
        <v>13</v>
      </c>
      <c r="L28" s="112" t="s">
        <v>3</v>
      </c>
      <c r="M28" s="302">
        <f>Bypasslane!M28</f>
        <v>0</v>
      </c>
      <c r="N28" s="302">
        <f>IF($E$14="East",0,Bypasslane!N28)</f>
        <v>0</v>
      </c>
      <c r="O28" s="302">
        <f>Bypasslane!O28</f>
        <v>0</v>
      </c>
      <c r="P28" s="436">
        <f>Bypasslane!P28</f>
        <v>0</v>
      </c>
      <c r="Q28" s="79"/>
      <c r="R28" s="79"/>
      <c r="U28" s="639" t="s">
        <v>13</v>
      </c>
      <c r="V28" s="214" t="s">
        <v>3</v>
      </c>
      <c r="W28" s="154">
        <f>ROUND(IF(M11=0,0,M28/M11),3)</f>
        <v>0</v>
      </c>
      <c r="X28" s="154">
        <f t="shared" ref="X28:Z31" si="3">ROUND(IF(N10=0,0,N28/N10),3)</f>
        <v>0</v>
      </c>
      <c r="Y28" s="154">
        <f t="shared" si="3"/>
        <v>0</v>
      </c>
      <c r="Z28" s="155">
        <f t="shared" si="3"/>
        <v>0</v>
      </c>
    </row>
    <row r="29" spans="1:26" x14ac:dyDescent="0.2">
      <c r="C29" s="494"/>
      <c r="E29" s="72"/>
      <c r="F29" s="72"/>
      <c r="G29" s="72"/>
      <c r="H29" s="72"/>
      <c r="I29" s="72"/>
      <c r="K29" s="640"/>
      <c r="L29" s="112" t="s">
        <v>4</v>
      </c>
      <c r="M29" s="302">
        <f>Bypasslane!M29</f>
        <v>0</v>
      </c>
      <c r="N29" s="302">
        <f>Bypasslane!N29</f>
        <v>0</v>
      </c>
      <c r="O29" s="302">
        <f>IF($E$14="South",0,Bypasslane!O29)</f>
        <v>0</v>
      </c>
      <c r="P29" s="436">
        <f>Bypasslane!P29</f>
        <v>0</v>
      </c>
      <c r="Q29" s="79"/>
      <c r="R29" s="79"/>
      <c r="U29" s="640"/>
      <c r="V29" s="214" t="s">
        <v>4</v>
      </c>
      <c r="W29" s="154">
        <f>ROUND(IF(M11=0,0,M29/M11),3)</f>
        <v>0</v>
      </c>
      <c r="X29" s="154">
        <f t="shared" si="3"/>
        <v>0</v>
      </c>
      <c r="Y29" s="154">
        <f t="shared" si="3"/>
        <v>0</v>
      </c>
      <c r="Z29" s="155">
        <f t="shared" si="3"/>
        <v>0</v>
      </c>
    </row>
    <row r="30" spans="1:26" ht="13.5" thickBot="1" x14ac:dyDescent="0.25">
      <c r="A30" s="125"/>
      <c r="B30" s="124" t="s">
        <v>104</v>
      </c>
      <c r="C30" s="125"/>
      <c r="D30" s="125"/>
      <c r="E30" s="126"/>
      <c r="F30" s="126"/>
      <c r="G30" s="126"/>
      <c r="H30" s="126"/>
      <c r="I30" s="126"/>
      <c r="J30" s="125"/>
      <c r="K30" s="640"/>
      <c r="L30" s="112" t="s">
        <v>5</v>
      </c>
      <c r="M30" s="302">
        <f>Bypasslane!M30</f>
        <v>0</v>
      </c>
      <c r="N30" s="302">
        <f>Bypasslane!N30</f>
        <v>0</v>
      </c>
      <c r="O30" s="302">
        <f>Bypasslane!O30</f>
        <v>0</v>
      </c>
      <c r="P30" s="436">
        <f>IF($E$14="West",0,Bypasslane!P30)</f>
        <v>0</v>
      </c>
      <c r="Q30" s="79"/>
      <c r="R30" s="79"/>
      <c r="U30" s="640"/>
      <c r="V30" s="214" t="s">
        <v>5</v>
      </c>
      <c r="W30" s="154">
        <f>ROUND(IF(M12=0,0,M29/M12),3)</f>
        <v>0</v>
      </c>
      <c r="X30" s="154">
        <f t="shared" si="3"/>
        <v>0</v>
      </c>
      <c r="Y30" s="154">
        <f t="shared" si="3"/>
        <v>0</v>
      </c>
      <c r="Z30" s="155">
        <f t="shared" si="3"/>
        <v>0</v>
      </c>
    </row>
    <row r="31" spans="1:26" ht="13.15" customHeight="1" thickTop="1" thickBot="1" x14ac:dyDescent="0.25">
      <c r="A31" s="342" t="s">
        <v>145</v>
      </c>
      <c r="B31" s="335"/>
      <c r="C31" s="335"/>
      <c r="D31" s="335"/>
      <c r="E31" s="72"/>
      <c r="F31" s="72"/>
      <c r="G31" s="72"/>
      <c r="H31" s="72"/>
      <c r="I31" s="72"/>
      <c r="J31" s="335"/>
      <c r="K31" s="641"/>
      <c r="L31" s="113" t="s">
        <v>55</v>
      </c>
      <c r="M31" s="305">
        <f>IF($E$14="North",0,Bypasslane!M31)</f>
        <v>0</v>
      </c>
      <c r="N31" s="305">
        <f>Bypasslane!N31</f>
        <v>0</v>
      </c>
      <c r="O31" s="305">
        <f>Bypasslane!O31</f>
        <v>0</v>
      </c>
      <c r="P31" s="437">
        <f>Bypasslane!P31</f>
        <v>0</v>
      </c>
      <c r="Q31" s="75"/>
      <c r="R31" s="75"/>
      <c r="U31" s="641"/>
      <c r="V31" s="116" t="s">
        <v>55</v>
      </c>
      <c r="W31" s="156">
        <f>ROUND(IF(M13=0,0,M30/M13),3)</f>
        <v>0</v>
      </c>
      <c r="X31" s="156">
        <f t="shared" si="3"/>
        <v>0</v>
      </c>
      <c r="Y31" s="156">
        <f t="shared" si="3"/>
        <v>0</v>
      </c>
      <c r="Z31" s="157">
        <f t="shared" si="3"/>
        <v>0</v>
      </c>
    </row>
    <row r="32" spans="1:26" ht="13.15" customHeight="1" x14ac:dyDescent="0.2">
      <c r="A32" s="342" t="s">
        <v>123</v>
      </c>
      <c r="B32" s="335"/>
      <c r="C32" s="335"/>
      <c r="D32" s="335"/>
      <c r="E32" s="72"/>
      <c r="F32" s="72"/>
      <c r="G32" s="72"/>
      <c r="H32" s="72"/>
      <c r="I32" s="72"/>
      <c r="J32" s="335"/>
      <c r="K32" s="80" t="s">
        <v>45</v>
      </c>
      <c r="L32" s="83"/>
      <c r="M32" s="108"/>
      <c r="N32" s="104" t="s">
        <v>12</v>
      </c>
      <c r="O32" s="103"/>
      <c r="P32" s="105"/>
      <c r="Q32" s="79"/>
      <c r="R32" s="79"/>
      <c r="S32" s="30"/>
      <c r="T32" s="22"/>
      <c r="U32" s="80" t="s">
        <v>24</v>
      </c>
      <c r="V32" s="83"/>
      <c r="W32" s="83"/>
      <c r="X32" s="84" t="s">
        <v>12</v>
      </c>
      <c r="Y32" s="83"/>
      <c r="Z32" s="71"/>
    </row>
    <row r="33" spans="1:29" ht="13.15" customHeight="1" thickBot="1" x14ac:dyDescent="0.3">
      <c r="A33" s="342" t="s">
        <v>108</v>
      </c>
      <c r="B33" s="335"/>
      <c r="C33" s="335"/>
      <c r="D33" s="335"/>
      <c r="E33" s="72"/>
      <c r="F33" s="72"/>
      <c r="G33" s="72"/>
      <c r="H33" s="72"/>
      <c r="I33" s="72"/>
      <c r="J33" s="335"/>
      <c r="K33" s="69" t="s">
        <v>57</v>
      </c>
      <c r="L33" s="81"/>
      <c r="M33" s="206" t="s">
        <v>3</v>
      </c>
      <c r="N33" s="207" t="s">
        <v>4</v>
      </c>
      <c r="O33" s="207" t="s">
        <v>5</v>
      </c>
      <c r="P33" s="208" t="s">
        <v>55</v>
      </c>
      <c r="Q33" s="79"/>
      <c r="R33" s="79"/>
      <c r="U33" s="212" t="s">
        <v>141</v>
      </c>
      <c r="V33" s="81"/>
      <c r="W33" s="209" t="s">
        <v>3</v>
      </c>
      <c r="X33" s="209" t="s">
        <v>4</v>
      </c>
      <c r="Y33" s="209" t="s">
        <v>5</v>
      </c>
      <c r="Z33" s="210" t="s">
        <v>55</v>
      </c>
      <c r="AC33" s="144" t="s">
        <v>90</v>
      </c>
    </row>
    <row r="34" spans="1:29" ht="13.15" customHeight="1" thickTop="1" x14ac:dyDescent="0.25">
      <c r="A34" s="343" t="s">
        <v>109</v>
      </c>
      <c r="B34" s="335"/>
      <c r="C34" s="335"/>
      <c r="D34" s="335"/>
      <c r="E34" s="72"/>
      <c r="F34" s="72"/>
      <c r="G34" s="72"/>
      <c r="H34" s="72"/>
      <c r="I34" s="72"/>
      <c r="J34" s="335"/>
      <c r="K34" s="639" t="s">
        <v>13</v>
      </c>
      <c r="L34" s="112" t="s">
        <v>3</v>
      </c>
      <c r="M34" s="302">
        <f>Bypasslane!M34</f>
        <v>0</v>
      </c>
      <c r="N34" s="302">
        <f>IF($E$14="East",0,Bypasslane!N34)</f>
        <v>0</v>
      </c>
      <c r="O34" s="302">
        <f>Bypasslane!O34</f>
        <v>0</v>
      </c>
      <c r="P34" s="436">
        <f>Bypasslane!P34</f>
        <v>0</v>
      </c>
      <c r="Q34" s="79"/>
      <c r="R34" s="79"/>
      <c r="U34" s="639" t="s">
        <v>13</v>
      </c>
      <c r="V34" s="214" t="s">
        <v>3</v>
      </c>
      <c r="W34" s="154">
        <f t="shared" ref="W34:Z37" si="4">ROUND(IF(M10=0,0,M34/M10),3)</f>
        <v>0</v>
      </c>
      <c r="X34" s="154">
        <f t="shared" si="4"/>
        <v>0</v>
      </c>
      <c r="Y34" s="154">
        <f t="shared" si="4"/>
        <v>0</v>
      </c>
      <c r="Z34" s="155">
        <f t="shared" si="4"/>
        <v>0</v>
      </c>
      <c r="AC34" s="144" t="s">
        <v>89</v>
      </c>
    </row>
    <row r="35" spans="1:29" ht="13.15" customHeight="1" x14ac:dyDescent="0.25">
      <c r="A35" s="343" t="s">
        <v>110</v>
      </c>
      <c r="B35" s="335"/>
      <c r="C35" s="335"/>
      <c r="D35" s="335"/>
      <c r="E35" s="72"/>
      <c r="F35" s="72"/>
      <c r="G35" s="72"/>
      <c r="H35" s="72"/>
      <c r="I35" s="72"/>
      <c r="J35" s="335"/>
      <c r="K35" s="640"/>
      <c r="L35" s="112" t="s">
        <v>4</v>
      </c>
      <c r="M35" s="302">
        <f>Bypasslane!M35</f>
        <v>0</v>
      </c>
      <c r="N35" s="302">
        <f>Bypasslane!N35</f>
        <v>0</v>
      </c>
      <c r="O35" s="302">
        <f>IF($E$14="South",0,Bypasslane!O35)</f>
        <v>0</v>
      </c>
      <c r="P35" s="436">
        <f>Bypasslane!P35</f>
        <v>0</v>
      </c>
      <c r="Q35" s="79"/>
      <c r="R35" s="79"/>
      <c r="U35" s="640"/>
      <c r="V35" s="214" t="s">
        <v>4</v>
      </c>
      <c r="W35" s="154">
        <f t="shared" si="4"/>
        <v>0</v>
      </c>
      <c r="X35" s="154">
        <f t="shared" si="4"/>
        <v>0</v>
      </c>
      <c r="Y35" s="154">
        <f t="shared" si="4"/>
        <v>0</v>
      </c>
      <c r="Z35" s="155">
        <f t="shared" si="4"/>
        <v>0</v>
      </c>
      <c r="AC35" s="144" t="s">
        <v>91</v>
      </c>
    </row>
    <row r="36" spans="1:29" ht="13.15" customHeight="1" x14ac:dyDescent="0.25">
      <c r="A36" s="343" t="s">
        <v>111</v>
      </c>
      <c r="B36" s="335"/>
      <c r="C36" s="335"/>
      <c r="D36" s="335"/>
      <c r="E36" s="72"/>
      <c r="F36" s="72"/>
      <c r="G36" s="72"/>
      <c r="H36" s="72"/>
      <c r="I36" s="72"/>
      <c r="J36" s="335"/>
      <c r="K36" s="640"/>
      <c r="L36" s="112" t="s">
        <v>5</v>
      </c>
      <c r="M36" s="302">
        <f>Bypasslane!M36</f>
        <v>0</v>
      </c>
      <c r="N36" s="302">
        <f>Bypasslane!N36</f>
        <v>0</v>
      </c>
      <c r="O36" s="302">
        <f>Bypasslane!O36</f>
        <v>0</v>
      </c>
      <c r="P36" s="436">
        <f>IF($E$14="West",0,Bypasslane!P36)</f>
        <v>0</v>
      </c>
      <c r="Q36" s="79"/>
      <c r="R36" s="79"/>
      <c r="U36" s="640"/>
      <c r="V36" s="214" t="s">
        <v>5</v>
      </c>
      <c r="W36" s="154">
        <f t="shared" si="4"/>
        <v>0</v>
      </c>
      <c r="X36" s="154">
        <f t="shared" si="4"/>
        <v>0</v>
      </c>
      <c r="Y36" s="154">
        <f t="shared" si="4"/>
        <v>0</v>
      </c>
      <c r="Z36" s="155">
        <f t="shared" si="4"/>
        <v>0</v>
      </c>
      <c r="AC36" s="144" t="s">
        <v>86</v>
      </c>
    </row>
    <row r="37" spans="1:29" ht="13.15" customHeight="1" thickBot="1" x14ac:dyDescent="0.25">
      <c r="A37" s="335"/>
      <c r="B37" s="335"/>
      <c r="C37" s="335"/>
      <c r="D37" s="335"/>
      <c r="E37" s="72"/>
      <c r="F37" s="72"/>
      <c r="G37" s="72"/>
      <c r="H37" s="72"/>
      <c r="I37" s="72"/>
      <c r="J37" s="335"/>
      <c r="K37" s="641"/>
      <c r="L37" s="113" t="s">
        <v>55</v>
      </c>
      <c r="M37" s="305">
        <f>IF($E$14="North",0,Bypasslane!M37)</f>
        <v>0</v>
      </c>
      <c r="N37" s="305">
        <f>Bypasslane!N37</f>
        <v>0</v>
      </c>
      <c r="O37" s="305">
        <f>Bypasslane!O37</f>
        <v>0</v>
      </c>
      <c r="P37" s="437">
        <f>Bypasslane!P37</f>
        <v>0</v>
      </c>
      <c r="Q37" s="79"/>
      <c r="R37" s="79"/>
      <c r="U37" s="641"/>
      <c r="V37" s="116" t="s">
        <v>55</v>
      </c>
      <c r="W37" s="156">
        <f t="shared" si="4"/>
        <v>0</v>
      </c>
      <c r="X37" s="156">
        <f t="shared" si="4"/>
        <v>0</v>
      </c>
      <c r="Y37" s="156">
        <f t="shared" si="4"/>
        <v>0</v>
      </c>
      <c r="Z37" s="157">
        <f t="shared" si="4"/>
        <v>0</v>
      </c>
    </row>
    <row r="38" spans="1:29" ht="13.15" customHeight="1" thickBot="1" x14ac:dyDescent="0.25">
      <c r="A38" s="125"/>
      <c r="B38" s="124" t="s">
        <v>103</v>
      </c>
      <c r="C38" s="125"/>
      <c r="D38" s="125"/>
      <c r="E38" s="126"/>
      <c r="F38" s="126"/>
      <c r="G38" s="126"/>
      <c r="H38" s="126"/>
      <c r="I38" s="126"/>
      <c r="J38" s="125"/>
      <c r="K38" s="110" t="s">
        <v>56</v>
      </c>
      <c r="L38" s="83"/>
      <c r="M38" s="108"/>
      <c r="N38" s="104" t="s">
        <v>12</v>
      </c>
      <c r="O38" s="103"/>
      <c r="P38" s="105"/>
    </row>
    <row r="39" spans="1:29" ht="13.15" customHeight="1" thickTop="1" thickBot="1" x14ac:dyDescent="0.25">
      <c r="A39" s="342" t="s">
        <v>105</v>
      </c>
      <c r="B39" s="335"/>
      <c r="C39" s="335"/>
      <c r="D39" s="335"/>
      <c r="E39" s="72"/>
      <c r="F39" s="72"/>
      <c r="G39" s="72"/>
      <c r="H39" s="72"/>
      <c r="I39" s="72"/>
      <c r="J39" s="335"/>
      <c r="K39" s="139" t="s">
        <v>31</v>
      </c>
      <c r="L39" s="81"/>
      <c r="M39" s="206" t="s">
        <v>3</v>
      </c>
      <c r="N39" s="207" t="s">
        <v>4</v>
      </c>
      <c r="O39" s="207" t="s">
        <v>5</v>
      </c>
      <c r="P39" s="208" t="s">
        <v>55</v>
      </c>
      <c r="Q39" s="79"/>
      <c r="R39" s="117" t="s">
        <v>43</v>
      </c>
      <c r="S39" s="118"/>
      <c r="T39" s="118"/>
      <c r="U39" s="118"/>
      <c r="V39" s="121"/>
      <c r="W39" s="83"/>
      <c r="X39" s="84" t="s">
        <v>12</v>
      </c>
      <c r="Y39" s="83"/>
      <c r="Z39" s="71"/>
    </row>
    <row r="40" spans="1:29" ht="13.15" customHeight="1" thickTop="1" thickBot="1" x14ac:dyDescent="0.25">
      <c r="A40" s="343" t="s">
        <v>114</v>
      </c>
      <c r="B40" s="335"/>
      <c r="C40" s="335"/>
      <c r="D40" s="335"/>
      <c r="E40" s="73"/>
      <c r="F40" s="73"/>
      <c r="G40" s="73"/>
      <c r="H40" s="73"/>
      <c r="I40" s="73"/>
      <c r="J40" s="335"/>
      <c r="K40" s="647" t="s">
        <v>13</v>
      </c>
      <c r="L40" s="231" t="s">
        <v>3</v>
      </c>
      <c r="M40" s="236">
        <f t="shared" ref="M40:P43" si="5">ROUND(IF(W16=0,0,W10/(W16)),0)</f>
        <v>0</v>
      </c>
      <c r="N40" s="236">
        <f t="shared" si="5"/>
        <v>0</v>
      </c>
      <c r="O40" s="236">
        <f t="shared" si="5"/>
        <v>0</v>
      </c>
      <c r="P40" s="237">
        <f t="shared" si="5"/>
        <v>0</v>
      </c>
      <c r="R40" s="114"/>
      <c r="S40" s="119"/>
      <c r="T40" s="119"/>
      <c r="U40" s="119"/>
      <c r="V40" s="120"/>
      <c r="W40" s="209" t="s">
        <v>3</v>
      </c>
      <c r="X40" s="209" t="s">
        <v>4</v>
      </c>
      <c r="Y40" s="209" t="s">
        <v>5</v>
      </c>
      <c r="Z40" s="210" t="s">
        <v>55</v>
      </c>
    </row>
    <row r="41" spans="1:29" ht="13.15" customHeight="1" thickTop="1" x14ac:dyDescent="0.3">
      <c r="A41" s="343" t="s">
        <v>112</v>
      </c>
      <c r="B41" s="335"/>
      <c r="C41" s="335"/>
      <c r="D41" s="335"/>
      <c r="E41" s="76"/>
      <c r="F41" s="76"/>
      <c r="G41" s="76"/>
      <c r="H41" s="76"/>
      <c r="I41" s="76"/>
      <c r="J41" s="335"/>
      <c r="K41" s="640"/>
      <c r="L41" s="231" t="s">
        <v>4</v>
      </c>
      <c r="M41" s="236">
        <f t="shared" si="5"/>
        <v>0</v>
      </c>
      <c r="N41" s="236">
        <f t="shared" si="5"/>
        <v>0</v>
      </c>
      <c r="O41" s="236">
        <f t="shared" si="5"/>
        <v>0</v>
      </c>
      <c r="P41" s="237">
        <f t="shared" si="5"/>
        <v>0</v>
      </c>
      <c r="Q41" s="76"/>
      <c r="R41" s="96" t="s">
        <v>137</v>
      </c>
      <c r="S41" s="89"/>
      <c r="T41" s="89"/>
      <c r="U41" s="89"/>
      <c r="V41" s="163" t="s">
        <v>33</v>
      </c>
      <c r="W41" s="162" t="e">
        <f>ROUND(M45*M49*W44,0)</f>
        <v>#DIV/0!</v>
      </c>
      <c r="X41" s="162" t="e">
        <f>ROUND(N45*N49*X44,0)</f>
        <v>#DIV/0!</v>
      </c>
      <c r="Y41" s="162" t="e">
        <f>ROUND(O45*O49*Y44,0)</f>
        <v>#DIV/0!</v>
      </c>
      <c r="Z41" s="169" t="e">
        <f>ROUND(P45*P49*Z44,0)</f>
        <v>#DIV/0!</v>
      </c>
    </row>
    <row r="42" spans="1:29" ht="13.15" customHeight="1" x14ac:dyDescent="0.3">
      <c r="A42" s="343" t="s">
        <v>113</v>
      </c>
      <c r="B42" s="335"/>
      <c r="C42" s="335"/>
      <c r="D42" s="335"/>
      <c r="E42" s="72"/>
      <c r="F42" s="72"/>
      <c r="G42" s="72"/>
      <c r="H42" s="72"/>
      <c r="I42" s="72"/>
      <c r="J42" s="335"/>
      <c r="K42" s="640"/>
      <c r="L42" s="231" t="s">
        <v>5</v>
      </c>
      <c r="M42" s="236">
        <f t="shared" si="5"/>
        <v>0</v>
      </c>
      <c r="N42" s="236">
        <f t="shared" si="5"/>
        <v>0</v>
      </c>
      <c r="O42" s="236">
        <f t="shared" si="5"/>
        <v>0</v>
      </c>
      <c r="P42" s="237">
        <f t="shared" si="5"/>
        <v>0</v>
      </c>
      <c r="R42" s="96" t="s">
        <v>72</v>
      </c>
      <c r="S42" s="89"/>
      <c r="T42" s="89"/>
      <c r="U42" s="89"/>
      <c r="V42" s="63" t="s">
        <v>31</v>
      </c>
      <c r="W42" s="162" t="e">
        <f>ROUND(M44*M47,0)</f>
        <v>#DIV/0!</v>
      </c>
      <c r="X42" s="162" t="e">
        <f>ROUND(N44*N47,0)</f>
        <v>#DIV/0!</v>
      </c>
      <c r="Y42" s="162" t="e">
        <f>ROUND(O44*O47,0)</f>
        <v>#DIV/0!</v>
      </c>
      <c r="Z42" s="169" t="e">
        <f>ROUND(P44*P47,0)</f>
        <v>#DIV/0!</v>
      </c>
    </row>
    <row r="43" spans="1:29" ht="13.15" customHeight="1" thickBot="1" x14ac:dyDescent="0.35">
      <c r="A43" s="335"/>
      <c r="B43" s="335"/>
      <c r="C43" s="335"/>
      <c r="D43" s="335"/>
      <c r="E43" s="74"/>
      <c r="F43" s="74"/>
      <c r="G43" s="74"/>
      <c r="H43" s="74"/>
      <c r="I43" s="74"/>
      <c r="J43" s="335"/>
      <c r="K43" s="641"/>
      <c r="L43" s="232" t="s">
        <v>55</v>
      </c>
      <c r="M43" s="238">
        <f t="shared" si="5"/>
        <v>0</v>
      </c>
      <c r="N43" s="238">
        <f t="shared" si="5"/>
        <v>0</v>
      </c>
      <c r="O43" s="238">
        <f t="shared" si="5"/>
        <v>0</v>
      </c>
      <c r="P43" s="239">
        <f t="shared" si="5"/>
        <v>0</v>
      </c>
      <c r="R43" s="341" t="s">
        <v>66</v>
      </c>
      <c r="S43" s="89"/>
      <c r="T43" s="89"/>
      <c r="U43" s="89"/>
      <c r="V43" s="164" t="s">
        <v>37</v>
      </c>
      <c r="W43" s="170" t="e">
        <f>ROUND((Input!$P$48*EXP((-1*Input!$P$49)*M45))*M47*W44,0)</f>
        <v>#DIV/0!</v>
      </c>
      <c r="X43" s="170" t="e">
        <f>ROUND((Input!$P$48*EXP((-1*Input!$P$49)*N45))*N47*X44,0)</f>
        <v>#DIV/0!</v>
      </c>
      <c r="Y43" s="170" t="e">
        <f>ROUND((Input!$P$48*EXP((-1*Input!$P$49)*O45))*O47*Y44,0)</f>
        <v>#DIV/0!</v>
      </c>
      <c r="Z43" s="171" t="e">
        <f>ROUND((Input!$P$48*EXP((-1*Input!$P$49)*P45))*P47*Z44,0)</f>
        <v>#DIV/0!</v>
      </c>
    </row>
    <row r="44" spans="1:29" ht="13.15" customHeight="1" thickBot="1" x14ac:dyDescent="0.25">
      <c r="A44" s="335"/>
      <c r="B44" s="335"/>
      <c r="C44" s="335"/>
      <c r="D44" s="97">
        <f>ROUND((Input!$P$51*EXP((-1*Input!$P$52)*IF(E14="South",Singlelane!B48,IF(E14="North",Singlelane!B50,IF(E14="East",Singlelane!B47,Singlelane!B49))))),0)</f>
        <v>1130</v>
      </c>
      <c r="E44" s="132" t="s">
        <v>60</v>
      </c>
      <c r="F44" s="72"/>
      <c r="G44" s="133"/>
      <c r="H44" s="72"/>
      <c r="I44" s="72"/>
      <c r="J44" s="335"/>
      <c r="K44" s="269" t="s">
        <v>67</v>
      </c>
      <c r="L44" s="270"/>
      <c r="M44" s="266">
        <f>SUM(M40:M43)</f>
        <v>0</v>
      </c>
      <c r="N44" s="267">
        <f>SUM(N40:N43)</f>
        <v>0</v>
      </c>
      <c r="O44" s="267">
        <f>SUM(O40:O43)</f>
        <v>0</v>
      </c>
      <c r="P44" s="268">
        <f>SUM(P40:P43)</f>
        <v>0</v>
      </c>
      <c r="R44" s="96" t="s">
        <v>102</v>
      </c>
      <c r="S44" s="89"/>
      <c r="T44" s="89"/>
      <c r="U44" s="89"/>
      <c r="V44" s="165" t="s">
        <v>51</v>
      </c>
      <c r="W44" s="162">
        <f>ROUND(IF(M45&gt;881,1,IF(W7&lt;=101,1-(0.000137*(W7)),(1119.5-(0.715*M45)-(0.644*W7)+(0.00073*M45*W7))/((1068.6-(0.654*M45))))),3)</f>
        <v>1</v>
      </c>
      <c r="X44" s="162">
        <f>ROUND(IF(N45&gt;881,1,IF(X7&lt;=101,1-(0.000137*(X7)),(1119.5-(0.715*N45)-(0.644*X7)+(0.00073*N45*X7))/((1068.6-(0.654*N45))))),3)</f>
        <v>1</v>
      </c>
      <c r="Y44" s="162">
        <f>ROUND(IF(O45&gt;881,1,IF(Y7&lt;=101,1-(0.000137*(Y7)),(1119.5-(0.715*O45)-(0.644*Y7)+(0.00073*O45*Y7))/((1068.6-(0.654*O45))))),3)</f>
        <v>1</v>
      </c>
      <c r="Z44" s="169">
        <f>ROUND(IF(P45&gt;881,1,IF(Z7&lt;=101,1-(0.000137*(Z7)),(1119.5-(0.715*P45)-(0.644*Z7)+(0.00073*P45*Z7))/((1068.6-(0.654*P45))))),3)</f>
        <v>1</v>
      </c>
    </row>
    <row r="45" spans="1:29" ht="13.15" customHeight="1" thickBot="1" x14ac:dyDescent="0.25">
      <c r="A45" s="335" t="s">
        <v>65</v>
      </c>
      <c r="B45" s="335"/>
      <c r="C45" s="342" t="s">
        <v>61</v>
      </c>
      <c r="D45" s="97">
        <f>ROUND(D44*(IF(E14="South",Bypasslane!Y17*Bypasslane!Y44,IF(E14="North",Bypasslane!W19*Bypasslane!W44,IF(E14="East",Bypasslane!X16*Bypasslane!X44,Bypasslane!Z18*Bypasslane!Z44)))),0)</f>
        <v>1130</v>
      </c>
      <c r="E45" s="335" t="s">
        <v>63</v>
      </c>
      <c r="F45" s="335"/>
      <c r="G45" s="134"/>
      <c r="H45" s="335"/>
      <c r="I45" s="335"/>
      <c r="J45" s="335"/>
      <c r="K45" s="312" t="s">
        <v>134</v>
      </c>
      <c r="L45" s="313"/>
      <c r="M45" s="307">
        <f>N41+N42+N43+O42+O43+P43</f>
        <v>0</v>
      </c>
      <c r="N45" s="307">
        <f>O40+O42+O43+P40+P43+M40</f>
        <v>0</v>
      </c>
      <c r="O45" s="307">
        <f>P40+P41+P43+M40+M41+N41</f>
        <v>0</v>
      </c>
      <c r="P45" s="308">
        <f>M40+M41+M42+N41+N42+O42</f>
        <v>0</v>
      </c>
      <c r="R45" s="285" t="s">
        <v>6</v>
      </c>
      <c r="S45" s="89"/>
      <c r="T45" s="89"/>
      <c r="U45" s="89"/>
      <c r="V45" s="248" t="s">
        <v>36</v>
      </c>
      <c r="W45" s="249" t="e">
        <f>ROUND((W42)/(W43),2)</f>
        <v>#DIV/0!</v>
      </c>
      <c r="X45" s="249" t="e">
        <f t="shared" ref="X45:Z45" si="6">ROUND((X42)/(X43),2)</f>
        <v>#DIV/0!</v>
      </c>
      <c r="Y45" s="249" t="e">
        <f t="shared" si="6"/>
        <v>#DIV/0!</v>
      </c>
      <c r="Z45" s="247" t="e">
        <f t="shared" si="6"/>
        <v>#DIV/0!</v>
      </c>
    </row>
    <row r="46" spans="1:29" ht="13.15" customHeight="1" thickBot="1" x14ac:dyDescent="0.25">
      <c r="A46" s="335" t="s">
        <v>64</v>
      </c>
      <c r="B46" s="335"/>
      <c r="C46" s="342" t="s">
        <v>62</v>
      </c>
      <c r="D46" s="97">
        <f>ROUND(IF(E14="South",Bypasslane!Y11,IF(E14="North",Bypasslane!W13,IF(E14="East",Bypasslane!X10,Bypasslane!Z12))),0)</f>
        <v>0</v>
      </c>
      <c r="E46" s="335" t="s">
        <v>63</v>
      </c>
      <c r="F46" s="335"/>
      <c r="G46" s="134"/>
      <c r="H46" s="342"/>
      <c r="I46" s="335"/>
      <c r="J46" s="335"/>
      <c r="K46" s="314" t="s">
        <v>185</v>
      </c>
      <c r="L46" s="93"/>
      <c r="M46" s="315" t="e">
        <f>IF($E$14="North",IF(B58=7,(0*$D$46+W46*W42)/($D$46+W42),($D$48*$D$46+W46*W42)/($D$46+W42)),Bypasslane!M46)</f>
        <v>#DIV/0!</v>
      </c>
      <c r="N46" s="315">
        <f>IF($E$14="East",IF(B58=7,(0*$D$46+X46*X42)/($D$46+X42),($D$48*$D$46+X46*X42)/($D$46+X42)),Bypasslane!N46)</f>
        <v>0</v>
      </c>
      <c r="O46" s="315" t="e">
        <f>IF($E$14="South",IF(B58=7,(0*$D$46+Y46*Y42)/($D$46+Y42),($D$48*$D$46+Y46*Y42)/($D$46+Y42)),Bypasslane!O46)</f>
        <v>#DIV/0!</v>
      </c>
      <c r="P46" s="316">
        <f>IF($E$14="West",IF(B58=7,(0*$D$46+Z46*Z42)/($D$46+Z42),($D$48*$D$46+Z46*Z42)/($D$46+Z42)),Bypasslane!P46)</f>
        <v>0</v>
      </c>
      <c r="R46" s="282" t="s">
        <v>149</v>
      </c>
      <c r="S46" s="89"/>
      <c r="T46" s="89"/>
      <c r="U46" s="89"/>
      <c r="V46" s="138" t="s">
        <v>38</v>
      </c>
      <c r="W46" s="172" t="e">
        <f>ROUND((3600/(W43))+((900*$X$3)*(W45-1+((W45-1)^2+((3600/(W43))*W45)/(450*$X$3))^(1/2)))+(5*MIN(W45,1)),1)</f>
        <v>#DIV/0!</v>
      </c>
      <c r="X46" s="172" t="e">
        <f>ROUND((3600/(X43))+((900*$X$3)*(X45-1+((X45-1)^2+((3600/(X43))*X45)/(450*$X$3))^(1/2)))+(5*MIN(X45,1)),1)</f>
        <v>#DIV/0!</v>
      </c>
      <c r="Y46" s="172" t="e">
        <f>ROUND((3600/(Y43))+((900*$X$3)*(Y45-1+((Y45-1)^2+((3600/(Y43))*Y45)/(450*$X$3))^(1/2)))+(5*MIN(Y45,1)),1)</f>
        <v>#DIV/0!</v>
      </c>
      <c r="Z46" s="173" t="e">
        <f>ROUND((3600/(Z43))+((900*$X$3)*(Z45-1+((Z45-1)^2+((3600/(Z43))*Z45)/(450*$X$3))^(1/2)))+(5*MIN(Z45,1)),1)</f>
        <v>#DIV/0!</v>
      </c>
    </row>
    <row r="47" spans="1:29" ht="13.15" customHeight="1" thickBot="1" x14ac:dyDescent="0.25">
      <c r="A47" s="342" t="s">
        <v>69</v>
      </c>
      <c r="B47" s="335"/>
      <c r="C47" s="342" t="s">
        <v>68</v>
      </c>
      <c r="D47" s="263">
        <f>ROUND(D46/D45,2)</f>
        <v>0</v>
      </c>
      <c r="E47" s="335"/>
      <c r="F47" s="335"/>
      <c r="G47" s="134"/>
      <c r="H47" s="335"/>
      <c r="I47" s="335"/>
      <c r="J47" s="335"/>
      <c r="K47" s="317" t="s">
        <v>150</v>
      </c>
      <c r="L47" s="381"/>
      <c r="M47" s="309" t="e">
        <f>ROUND(1/(1+(((M22+M23+M24+M25)/(M10+M11+M12+M13))*($Q$2-1))+(((M28+M29+M30+M31)/(M10+M11+M12+M13))*($Q$3-1))+(((M34+M35+M36+M37)/(M10+M11+M12+M13))*($Q$4-1))),3)</f>
        <v>#DIV/0!</v>
      </c>
      <c r="N47" s="309" t="e">
        <f>ROUND(1/(1+(((N22+N23+N24+N25)/(N10+N11+N12+N13))*($Q$2-1))+(((N28+N29+N30+N31)/(N10+N11+N12+N13))*($Q$3-1))+(((N34+N35+N36+N37)/(N10+N11+N12+N13))*($Q$4-1))),3)</f>
        <v>#DIV/0!</v>
      </c>
      <c r="O47" s="309" t="e">
        <f>ROUND(1/(1+(((O22+O23+O24+O25)/(O10+O11+O12+O13))*($Q$2-1))+(((O28+O29+O30+O31)/(O10+O11+O12+O13))*($Q$3-1))+(((O34+O35+O36+O37)/(O10+O11+O12+O13))*($Q$4-1))),3)</f>
        <v>#DIV/0!</v>
      </c>
      <c r="P47" s="310" t="e">
        <f>ROUND(1/(1+(((P22+P23+P24+P25)/(P10+P11+P12+P13))*($Q$2-1))+(((P28+P29+P30+P31)/(P10+P11+P12+P13))*($Q$3-1))+(((P34+P35+P36+P37)/(P10+P11+P12+P13))*($Q$4-1))),3)</f>
        <v>#DIV/0!</v>
      </c>
      <c r="R47" s="92" t="s">
        <v>7</v>
      </c>
      <c r="S47" s="90"/>
      <c r="T47" s="90"/>
      <c r="U47" s="90"/>
      <c r="V47" s="166" t="s">
        <v>34</v>
      </c>
      <c r="W47" s="174" t="e">
        <f>IF(W45&gt;1,"F",IF(W46&gt;50,"F",IF(W46&gt;35,"E",IF(W46&gt;25,"D",IF(W46&gt;15,"C",IF(W46&gt;10,"B","A"))))))</f>
        <v>#DIV/0!</v>
      </c>
      <c r="X47" s="174" t="e">
        <f t="shared" ref="X47:Z47" si="7">IF(X45&gt;1,"F",IF(X46&gt;50,"F",IF(X46&gt;35,"E",IF(X46&gt;25,"D",IF(X46&gt;15,"C",IF(X46&gt;10,"B","A"))))))</f>
        <v>#DIV/0!</v>
      </c>
      <c r="Y47" s="174" t="e">
        <f t="shared" si="7"/>
        <v>#DIV/0!</v>
      </c>
      <c r="Z47" s="175" t="e">
        <f t="shared" si="7"/>
        <v>#DIV/0!</v>
      </c>
    </row>
    <row r="48" spans="1:29" ht="13.15" customHeight="1" thickBot="1" x14ac:dyDescent="0.25">
      <c r="A48" s="342" t="s">
        <v>70</v>
      </c>
      <c r="B48" s="335"/>
      <c r="C48" s="335"/>
      <c r="D48" s="164">
        <f>ROUND((3600/(D45))+((900*Singlelane!$N$3)*(D47-1+((D47-1)^2+((3600/(D45))*D47)/(450*Singlelane!$N$3))^(1/2)))+(5*MIN(D47,1)),1)</f>
        <v>3.2</v>
      </c>
      <c r="E48" s="342" t="s">
        <v>71</v>
      </c>
      <c r="F48" s="335"/>
      <c r="G48" s="134"/>
      <c r="H48" s="335"/>
      <c r="I48" s="335"/>
      <c r="J48" s="335"/>
      <c r="K48" s="318" t="s">
        <v>183</v>
      </c>
      <c r="L48" s="432"/>
      <c r="M48" s="433">
        <f>Bypasslane!M48</f>
        <v>0</v>
      </c>
      <c r="N48" s="433">
        <f>Bypasslane!N48</f>
        <v>0</v>
      </c>
      <c r="O48" s="433">
        <f>Bypasslane!O48</f>
        <v>0</v>
      </c>
      <c r="P48" s="434">
        <f>Bypasslane!P48</f>
        <v>0</v>
      </c>
      <c r="R48" s="253" t="s">
        <v>173</v>
      </c>
      <c r="S48" s="93"/>
      <c r="T48" s="93"/>
      <c r="U48" s="127"/>
      <c r="V48" s="167" t="s">
        <v>147</v>
      </c>
      <c r="W48" s="176" t="e">
        <f>ROUND(((900*$X$3)*(W45-1+((1-W45)^2+((3600/(W43))*W45)/(150*$X$3))^(1/2)))*(W43/3600),0)</f>
        <v>#DIV/0!</v>
      </c>
      <c r="X48" s="176" t="e">
        <f>ROUND(((900*$X$3)*(X45-1+((1-X45)^2+((3600/(X43))*X45)/(150*$X$3))^(1/2)))*(X43/3600),0)</f>
        <v>#DIV/0!</v>
      </c>
      <c r="Y48" s="176" t="e">
        <f>ROUND(((900*$X$3)*(Y45-1+((1-Y45)^2+((3600/(Y43))*Y45)/(150*$X$3))^(1/2)))*(Y43/3600),0)</f>
        <v>#DIV/0!</v>
      </c>
      <c r="Z48" s="289" t="e">
        <f>ROUND(((900*$X$3)*(Z45-1+((1-Z45)^2+((3600/(Z43))*Z45)/(150*$X$3))^(1/2)))*(Z43/3600),0)</f>
        <v>#DIV/0!</v>
      </c>
    </row>
    <row r="49" spans="1:32" ht="13.15" customHeight="1" thickBot="1" x14ac:dyDescent="0.25">
      <c r="A49" s="342" t="s">
        <v>7</v>
      </c>
      <c r="B49" s="335"/>
      <c r="C49" s="335"/>
      <c r="D49" s="85" t="str">
        <f>IF(D47&gt;1,"F",IF(D48&gt;50,"F",IF(D48&gt;35,"E",IF(D48&gt;25,"D",IF(D48&gt;15,"C",IF(D48&gt;10,"B","A"))))))</f>
        <v>A</v>
      </c>
      <c r="E49" s="335"/>
      <c r="F49" s="335"/>
      <c r="G49" s="134"/>
      <c r="H49" s="335"/>
      <c r="I49" s="335"/>
      <c r="J49" s="335"/>
      <c r="K49" s="276" t="s">
        <v>146</v>
      </c>
      <c r="L49" s="277"/>
      <c r="M49" s="278" t="e">
        <f>ROUND(1/(1+(((P25+N23+N24+N25+O25+O24)/(P13+N11+N12+N13+O13+O12))*($Q$2-1))+(((P31+N29+N30+N31+O31+O30)/(P13+N11+N12+N13+O13+O12))*($Q$3-1))+(((P37+N35+N36+N37+O36+O37)/(P13+N11+N12+N13+O13+O12))*($Q$4-1))),3)</f>
        <v>#DIV/0!</v>
      </c>
      <c r="N49" s="278" t="e">
        <f>ROUND(1/(1+(((O22+O24+O25+P22+P25+M22)/(O10+O12+O13+P10+P13+M10))*($Q$2-1))+(((O28+O30+O31+P28+P31+M28)/(O10+O12+O13+P10+P13+M10))*($Q$3-1))+(((O34+O36+O37+P34+P37+M34)/(O10+O12+O13+P10+P13+M10))*($Q$4-1))),3)</f>
        <v>#DIV/0!</v>
      </c>
      <c r="O49" s="279" t="e">
        <f>ROUND(1/(1+(((P22+P23+P25+N23+M23+M22)/(P10+P11+P13+N11+M11+M10))*($Q$2-1))+(((P28+P29+P31+N29+M29+M28)/(P10+P11+P13+N11+M11+M10))*($Q$3-1))+(((P34+P35+P37+N35+M34+M35)/(P10+P11+P13+N11+M11+M10))*($Q$4-1))),3)</f>
        <v>#DIV/0!</v>
      </c>
      <c r="P49" s="280" t="e">
        <f>ROUND(1/(1+(((M22+M23+M24+N23+N24+O24)/(M10+M11+M12+N11+N12+O12))*($Q$2-1))+(((M28+M29+M30+N29+N30+O30)/(M10+M11+M12+N11+N12+O12))*($Q$3-1))+(((M34+M35+M36+N35+N36+O36)/(M10+M11+M12+N11+N12+O12))*($Q$4-1))),3)</f>
        <v>#DIV/0!</v>
      </c>
      <c r="Q49" s="73"/>
    </row>
    <row r="50" spans="1:32" ht="13.15" customHeight="1" thickBot="1" x14ac:dyDescent="0.25">
      <c r="A50" s="342" t="s">
        <v>213</v>
      </c>
      <c r="B50" s="335"/>
      <c r="C50" s="335"/>
      <c r="D50" s="85">
        <f>ROUND(((900*Singlelane!$N$3)*(D47-1+((1-D47)^2+((3600/(D45))*D47)/(150*Singlelane!$N$3))^(1/2)))*(D45/3600),0)</f>
        <v>0</v>
      </c>
      <c r="E50" s="371" t="s">
        <v>214</v>
      </c>
      <c r="F50" s="335"/>
      <c r="G50" s="335"/>
      <c r="H50" s="335"/>
      <c r="I50" s="335"/>
      <c r="J50" s="335"/>
      <c r="K50" s="319" t="s">
        <v>184</v>
      </c>
      <c r="L50" s="272"/>
      <c r="M50" s="320">
        <f>IF($E$14="North",$D$46,0)</f>
        <v>0</v>
      </c>
      <c r="N50" s="320">
        <f>IF($E$14="East",$D$46,0)</f>
        <v>0</v>
      </c>
      <c r="O50" s="320">
        <f>IF($E$14="South",$D$46,0)</f>
        <v>0</v>
      </c>
      <c r="P50" s="321">
        <f>IF($E$14="West",$D$46,0)</f>
        <v>0</v>
      </c>
      <c r="Q50" s="73"/>
      <c r="R50" s="281" t="s">
        <v>148</v>
      </c>
      <c r="S50" s="91"/>
      <c r="T50" s="91"/>
      <c r="U50" s="128"/>
      <c r="V50" s="452" t="s">
        <v>35</v>
      </c>
      <c r="W50" s="642" t="e">
        <f>IF(SUM(M10:M13)=0,((N54)*(X42+N48+N50)+(O54)*(Y42+O48+O50)+(P54)*(Z42+P48+P50))/( X42+N48+N50+Y42+O48+O50+Z42+P48+P50),IF(SUM(N10:N13)=0,((M54)*(W42+M48+M50)+(O54)*(Y42+O48+O50)+(P54)*(Z42+P48+P50))/(W42+M48+M50+Y42+O48+O50+Z42+P48+P50),IF(SUM(O10:O13)=0,((M54)*(W42+M48+M50)+(N54)*(X42+N48+N50)+(P54)*(Z42+P48+P50))/(W42+M48+M50+X42+N48+N50+Z42+P48+P50),IF(SUM(P10:P13)=0,((M54)*(W42+M48+M50)+(N54)*(X42+N48+N50)+(O54)*(Y42+O48+O50))/(W42+M48+M50+X42+N48+N50+Y42+O48+O50),((M54)*(W42+M48+M50)+(N54)*(X42+N48+N50)+(O54)*(Y42+O48+O50)+(P54)*(Z42+P48+P50))/(W42+M48+M50+X42+N48+N50+Y42+O48+O50+Z42+P48+P50)))))</f>
        <v>#DIV/0!</v>
      </c>
      <c r="X50" s="659"/>
      <c r="Y50" s="659"/>
      <c r="Z50" s="660"/>
    </row>
    <row r="51" spans="1:32" ht="13.15" customHeight="1" thickBot="1" x14ac:dyDescent="0.25">
      <c r="Q51" s="73"/>
      <c r="R51" s="92" t="s">
        <v>40</v>
      </c>
      <c r="S51" s="90"/>
      <c r="T51" s="90"/>
      <c r="U51" s="129"/>
      <c r="V51" s="168" t="s">
        <v>34</v>
      </c>
      <c r="W51" s="629" t="e">
        <f>IF(W50&gt;50,"F",IF(W50&gt;35,"E",IF(W50&gt;25,"D",IF(W50&gt;15,"C",IF(W50&gt;10,"B","A")))))</f>
        <v>#DIV/0!</v>
      </c>
      <c r="X51" s="630"/>
      <c r="Y51" s="630"/>
      <c r="Z51" s="631"/>
    </row>
    <row r="52" spans="1:32" x14ac:dyDescent="0.2">
      <c r="A52" s="335"/>
      <c r="B52" s="335"/>
      <c r="C52" s="190" t="s">
        <v>151</v>
      </c>
      <c r="D52" s="335" t="s">
        <v>215</v>
      </c>
      <c r="E52" s="335"/>
      <c r="F52" s="335"/>
      <c r="G52" s="335" t="s">
        <v>152</v>
      </c>
      <c r="H52" s="335"/>
      <c r="I52" s="335"/>
      <c r="J52" s="335"/>
      <c r="Q52" s="73"/>
    </row>
    <row r="53" spans="1:32" x14ac:dyDescent="0.2">
      <c r="A53" s="342" t="s">
        <v>235</v>
      </c>
      <c r="B53" s="335"/>
      <c r="C53" s="186"/>
      <c r="D53" s="335"/>
      <c r="E53" s="335"/>
      <c r="F53" s="335"/>
      <c r="G53" s="342"/>
      <c r="H53" s="335"/>
      <c r="I53" s="335"/>
      <c r="J53" s="335"/>
      <c r="L53" s="66"/>
      <c r="Q53" s="290" t="str">
        <f>Singlelane!B6</f>
        <v>Project Name</v>
      </c>
    </row>
    <row r="54" spans="1:32" ht="13.15" customHeight="1" x14ac:dyDescent="0.2">
      <c r="B54" s="335"/>
      <c r="C54" s="335"/>
      <c r="D54" s="335"/>
      <c r="E54" s="335"/>
      <c r="F54" s="335"/>
      <c r="G54" s="335"/>
      <c r="H54" s="335"/>
      <c r="I54" s="335"/>
      <c r="J54" s="335"/>
      <c r="M54" s="336" t="e">
        <f>ROUND((IF(M46=0,W46,M46)),1)</f>
        <v>#DIV/0!</v>
      </c>
      <c r="N54" s="336" t="e">
        <f>ROUND((IF(N46=0,X46,N46)),1)</f>
        <v>#DIV/0!</v>
      </c>
      <c r="O54" s="336" t="e">
        <f>ROUND((IF(O46=0,Y46,O46)),1)</f>
        <v>#DIV/0!</v>
      </c>
      <c r="P54" s="336" t="e">
        <f>ROUND((IF(P46=0,Z46,P46)),1)</f>
        <v>#DIV/0!</v>
      </c>
    </row>
    <row r="55" spans="1:32" x14ac:dyDescent="0.2">
      <c r="A55" s="342"/>
      <c r="B55" s="335"/>
      <c r="C55" s="335"/>
      <c r="D55" s="335"/>
      <c r="E55" s="335"/>
      <c r="F55" s="335"/>
      <c r="G55" s="335"/>
      <c r="H55" s="335"/>
      <c r="I55" s="335"/>
      <c r="J55" s="335"/>
      <c r="O55" s="2"/>
      <c r="P55" s="2"/>
      <c r="Q55" s="2"/>
      <c r="R55" s="2"/>
      <c r="S55" s="2"/>
      <c r="T55" s="2"/>
      <c r="U55" s="2"/>
      <c r="V55" s="3"/>
    </row>
    <row r="56" spans="1:32" x14ac:dyDescent="0.2">
      <c r="A56" s="335"/>
      <c r="B56" s="335"/>
      <c r="C56" s="335"/>
      <c r="D56" s="335"/>
      <c r="E56" s="335"/>
      <c r="F56" s="335"/>
      <c r="G56" s="335"/>
      <c r="H56" s="335"/>
      <c r="I56" s="335"/>
      <c r="J56" s="335"/>
      <c r="O56" s="2"/>
      <c r="P56" s="2"/>
      <c r="Q56" s="2"/>
      <c r="R56" s="2"/>
      <c r="S56" s="2"/>
      <c r="T56" s="2"/>
      <c r="U56" s="2"/>
      <c r="V56" s="3"/>
    </row>
    <row r="57" spans="1:32" ht="13.15" customHeight="1" x14ac:dyDescent="0.2">
      <c r="A57" s="335"/>
      <c r="B57" s="335"/>
      <c r="C57" s="335"/>
      <c r="D57" s="335"/>
      <c r="E57" s="335"/>
      <c r="F57" s="335"/>
      <c r="G57" s="335"/>
      <c r="H57" s="335"/>
      <c r="I57" s="335"/>
      <c r="J57" s="335"/>
    </row>
    <row r="58" spans="1:32" ht="13.9" customHeight="1" x14ac:dyDescent="0.2">
      <c r="A58" s="335"/>
      <c r="B58" s="336">
        <v>7</v>
      </c>
      <c r="C58" s="335"/>
      <c r="D58" s="335"/>
      <c r="E58" s="335"/>
      <c r="F58" s="335"/>
      <c r="G58" s="335"/>
      <c r="H58" s="335"/>
      <c r="I58" s="335"/>
      <c r="J58" s="335"/>
    </row>
    <row r="59" spans="1:32" ht="13.9" customHeight="1" x14ac:dyDescent="0.2">
      <c r="A59" s="335"/>
      <c r="B59" s="335"/>
      <c r="C59" s="335"/>
      <c r="D59" s="335"/>
      <c r="E59" s="335"/>
      <c r="F59" s="335"/>
      <c r="G59" s="335"/>
      <c r="H59" s="335"/>
      <c r="I59" s="335"/>
      <c r="J59" s="335"/>
      <c r="AF59" s="349"/>
    </row>
    <row r="60" spans="1:32" ht="13.15" customHeight="1" x14ac:dyDescent="0.2">
      <c r="A60" s="75"/>
      <c r="B60" s="75"/>
      <c r="C60" s="75"/>
      <c r="D60" s="73"/>
      <c r="AF60" s="367"/>
    </row>
    <row r="61" spans="1:32" ht="13.15" customHeight="1" x14ac:dyDescent="0.2">
      <c r="A61" s="75"/>
      <c r="B61" s="75"/>
      <c r="C61" s="75"/>
      <c r="D61" s="73"/>
    </row>
    <row r="62" spans="1:32" ht="13.15" customHeight="1" x14ac:dyDescent="0.2"/>
    <row r="64" spans="1:32" ht="13.15" customHeight="1" x14ac:dyDescent="0.2"/>
    <row r="65" spans="1:10" ht="13.15" customHeight="1" x14ac:dyDescent="0.2"/>
    <row r="66" spans="1:10" ht="13.15" customHeight="1" x14ac:dyDescent="0.2"/>
    <row r="67" spans="1:10" ht="13.15" customHeight="1" x14ac:dyDescent="0.2"/>
    <row r="68" spans="1:10" ht="13.15" customHeight="1" x14ac:dyDescent="0.2"/>
    <row r="69" spans="1:10" ht="13.15" customHeight="1" x14ac:dyDescent="0.2"/>
    <row r="70" spans="1:10" ht="13.15" customHeight="1" x14ac:dyDescent="0.2"/>
    <row r="71" spans="1:10" ht="13.15" customHeight="1" x14ac:dyDescent="0.2"/>
    <row r="72" spans="1:10" ht="13.15" customHeight="1" x14ac:dyDescent="0.2">
      <c r="A72" s="16"/>
      <c r="B72" s="74"/>
      <c r="C72" s="73"/>
      <c r="D72" s="73"/>
    </row>
    <row r="73" spans="1:10" ht="13.15" customHeight="1" x14ac:dyDescent="0.2">
      <c r="A73" s="16"/>
      <c r="B73" s="72"/>
      <c r="C73" s="73"/>
      <c r="D73" s="76"/>
    </row>
    <row r="75" spans="1:10" ht="13.15" customHeight="1" x14ac:dyDescent="0.2">
      <c r="J75" s="68"/>
    </row>
    <row r="76" spans="1:10" ht="13.15" customHeight="1" x14ac:dyDescent="0.2"/>
    <row r="77" spans="1:10" ht="13.15" customHeight="1" x14ac:dyDescent="0.2"/>
    <row r="78" spans="1:10" ht="13.15" customHeight="1" x14ac:dyDescent="0.2"/>
    <row r="79" spans="1:10" ht="13.15" customHeight="1" x14ac:dyDescent="0.2"/>
    <row r="80" spans="1:10" ht="13.15" customHeight="1" x14ac:dyDescent="0.2"/>
    <row r="81" ht="13.15" customHeight="1" x14ac:dyDescent="0.2"/>
    <row r="82" ht="13.15" customHeight="1" x14ac:dyDescent="0.2"/>
    <row r="84" ht="13.15" customHeight="1" x14ac:dyDescent="0.2"/>
    <row r="85" ht="13.15" customHeight="1" x14ac:dyDescent="0.2"/>
    <row r="86" ht="13.15" customHeight="1" x14ac:dyDescent="0.2"/>
    <row r="87" ht="13.15" customHeight="1" x14ac:dyDescent="0.2"/>
    <row r="89" ht="13.15" customHeight="1" x14ac:dyDescent="0.2"/>
    <row r="90" ht="13.15" customHeight="1" x14ac:dyDescent="0.2"/>
    <row r="91" ht="13.15" customHeight="1" x14ac:dyDescent="0.2"/>
    <row r="92" ht="13.15" customHeight="1" x14ac:dyDescent="0.2"/>
    <row r="93" ht="13.15" customHeight="1" x14ac:dyDescent="0.2"/>
    <row r="94" ht="13.15" customHeight="1" x14ac:dyDescent="0.2"/>
    <row r="96" ht="13.15" customHeight="1" x14ac:dyDescent="0.2"/>
    <row r="97" ht="13.15" customHeight="1" x14ac:dyDescent="0.2"/>
    <row r="98" ht="13.15" customHeight="1" x14ac:dyDescent="0.2"/>
    <row r="99" ht="13.15" customHeight="1" x14ac:dyDescent="0.2"/>
    <row r="100" ht="13.15" customHeight="1" x14ac:dyDescent="0.2"/>
    <row r="103" ht="13.15" customHeight="1" x14ac:dyDescent="0.2"/>
    <row r="104" ht="13.15" customHeight="1" x14ac:dyDescent="0.2"/>
    <row r="105" ht="13.15" customHeight="1" x14ac:dyDescent="0.2"/>
    <row r="106" ht="13.15" customHeight="1" x14ac:dyDescent="0.2"/>
    <row r="107" ht="13.15" customHeight="1" x14ac:dyDescent="0.2"/>
    <row r="108" ht="13.15" customHeight="1" x14ac:dyDescent="0.2"/>
    <row r="109" ht="13.15" customHeight="1" x14ac:dyDescent="0.2"/>
    <row r="110" ht="13.15" customHeight="1" x14ac:dyDescent="0.2"/>
    <row r="112" ht="14.45" customHeight="1" x14ac:dyDescent="0.2"/>
    <row r="113" spans="13:31" ht="14.45" customHeight="1" x14ac:dyDescent="0.2"/>
    <row r="114" spans="13:31" ht="13.15" customHeight="1" x14ac:dyDescent="0.2"/>
    <row r="115" spans="13:31" ht="14.45" customHeight="1" x14ac:dyDescent="0.2"/>
    <row r="116" spans="13:31" ht="13.15" customHeight="1" x14ac:dyDescent="0.2">
      <c r="M116" s="284"/>
      <c r="AB116" s="284" t="e">
        <f>EXP(-1.89+(1.498*$X$2)+(0.3403*$Y$3)-(0.005202*$AF$59)-(0.02514*#REF!)+(0.002387*M44)+(0.000004326*M44*M45)+(0.02086*W7))</f>
        <v>#REF!</v>
      </c>
      <c r="AC116" s="284" t="e">
        <f>EXP(-1.89+(1.498*$X$2)+(0.3403*$Y$3)-(0.005202*$AF$59)-(0.02514*#REF!)+(0.002387*N44)+(0.000004326*N44*N45)+(0.02086*X7))</f>
        <v>#REF!</v>
      </c>
      <c r="AD116" s="284" t="e">
        <f>EXP(-1.89+(1.498*$X$2)+(0.3403*$Y$3)-(0.005202*$AF$59)-(0.02514*#REF!)+(0.002387*O44)+(0.000004326*O44*O45)+(0.02086*Y7))</f>
        <v>#REF!</v>
      </c>
      <c r="AE116" s="284" t="e">
        <f>EXP(-1.89+(1.498*$X$2)+(0.3403*$Y$3)-(0.005202*$AF$59)-(0.02514*#REF!)+(0.002387*P44)+(0.000004326*P44*P45)+(0.02086*Z7))</f>
        <v>#REF!</v>
      </c>
    </row>
    <row r="117" spans="13:31" ht="3" customHeight="1" x14ac:dyDescent="0.2"/>
    <row r="118" spans="13:31" ht="13.9" customHeight="1" x14ac:dyDescent="0.2"/>
  </sheetData>
  <mergeCells count="18">
    <mergeCell ref="W51:Z51"/>
    <mergeCell ref="A8:A11"/>
    <mergeCell ref="Q3:R3"/>
    <mergeCell ref="Q4:R4"/>
    <mergeCell ref="Q2:R2"/>
    <mergeCell ref="Q7:R7"/>
    <mergeCell ref="U28:U31"/>
    <mergeCell ref="K16:K19"/>
    <mergeCell ref="W50:Z50"/>
    <mergeCell ref="K40:K43"/>
    <mergeCell ref="U34:U37"/>
    <mergeCell ref="K22:K25"/>
    <mergeCell ref="K28:K31"/>
    <mergeCell ref="K34:K37"/>
    <mergeCell ref="K10:K13"/>
    <mergeCell ref="U10:U13"/>
    <mergeCell ref="U16:U19"/>
    <mergeCell ref="U22:U25"/>
  </mergeCells>
  <conditionalFormatting sqref="E43:I43">
    <cfRule type="expression" dxfId="49" priority="14" stopIfTrue="1">
      <formula>ISERROR(E43)</formula>
    </cfRule>
  </conditionalFormatting>
  <conditionalFormatting sqref="E42:I42">
    <cfRule type="cellIs" dxfId="48" priority="15" stopIfTrue="1" operator="equal">
      <formula>FALSE</formula>
    </cfRule>
  </conditionalFormatting>
  <conditionalFormatting sqref="E27:I27">
    <cfRule type="cellIs" dxfId="47" priority="16" stopIfTrue="1" operator="notEqual">
      <formula>0</formula>
    </cfRule>
  </conditionalFormatting>
  <conditionalFormatting sqref="E14">
    <cfRule type="cellIs" dxfId="46" priority="13" operator="equal">
      <formula>$E$3</formula>
    </cfRule>
  </conditionalFormatting>
  <conditionalFormatting sqref="W7:Z7 Q2:Q4">
    <cfRule type="cellIs" dxfId="45" priority="10" stopIfTrue="1" operator="lessThan">
      <formula>0</formula>
    </cfRule>
  </conditionalFormatting>
  <conditionalFormatting sqref="M16:P19">
    <cfRule type="cellIs" dxfId="44" priority="12" stopIfTrue="1" operator="greaterThan">
      <formula>1</formula>
    </cfRule>
  </conditionalFormatting>
  <conditionalFormatting sqref="W45">
    <cfRule type="cellIs" dxfId="43" priority="8" operator="greaterThan">
      <formula>1</formula>
    </cfRule>
  </conditionalFormatting>
  <conditionalFormatting sqref="X45">
    <cfRule type="cellIs" dxfId="42" priority="7" operator="greaterThan">
      <formula>1</formula>
    </cfRule>
  </conditionalFormatting>
  <conditionalFormatting sqref="Y45">
    <cfRule type="cellIs" dxfId="41" priority="6" operator="greaterThan">
      <formula>1</formula>
    </cfRule>
  </conditionalFormatting>
  <conditionalFormatting sqref="Z45">
    <cfRule type="cellIs" dxfId="40" priority="5" operator="greaterThan">
      <formula>1</formula>
    </cfRule>
  </conditionalFormatting>
  <conditionalFormatting sqref="D47">
    <cfRule type="cellIs" dxfId="39" priority="62" operator="greaterThan">
      <formula>1</formula>
    </cfRule>
  </conditionalFormatting>
  <conditionalFormatting sqref="D44:E49">
    <cfRule type="expression" dxfId="38" priority="4">
      <formula>#REF!=1</formula>
    </cfRule>
  </conditionalFormatting>
  <conditionalFormatting sqref="D50:E50">
    <cfRule type="expression" dxfId="37" priority="57">
      <formula>#REF!=1</formula>
    </cfRule>
  </conditionalFormatting>
  <conditionalFormatting sqref="D44:E50">
    <cfRule type="expression" dxfId="36" priority="56">
      <formula>$B$58=7</formula>
    </cfRule>
  </conditionalFormatting>
  <conditionalFormatting sqref="S18">
    <cfRule type="colorScale" priority="1">
      <colorScale>
        <cfvo type="num" val="-11111111"/>
        <cfvo type="num" val="10100000000"/>
        <color rgb="FFFF0000"/>
        <color rgb="FFFF0000"/>
      </colorScale>
    </cfRule>
  </conditionalFormatting>
  <dataValidations disablePrompts="1" count="3">
    <dataValidation type="list" allowBlank="1" showInputMessage="1" showErrorMessage="1" sqref="X3">
      <formula1>"yes,no"</formula1>
    </dataValidation>
    <dataValidation type="decimal" allowBlank="1" showInputMessage="1" showErrorMessage="1" sqref="AF59">
      <formula1>0</formula1>
      <formula2>1</formula2>
    </dataValidation>
    <dataValidation type="list" allowBlank="1" showInputMessage="1" showErrorMessage="1" sqref="E14">
      <formula1>$AC$33:$AC$36</formula1>
    </dataValidation>
  </dataValidations>
  <pageMargins left="0.7" right="0.7" top="0.75" bottom="0.75" header="0.3" footer="0.3"/>
  <pageSetup scale="91" orientation="portrait" r:id="rId1"/>
  <headerFooter>
    <oddHeader>&amp;CSingle Lane Roundabout Input Sheet</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1771" r:id="rId4" name="Option Button 507">
              <controlPr defaultSize="0" autoFill="0" autoLine="0" autoPict="0">
                <anchor moveWithCells="1">
                  <from>
                    <xdr:col>0</xdr:col>
                    <xdr:colOff>57150</xdr:colOff>
                    <xdr:row>33</xdr:row>
                    <xdr:rowOff>114300</xdr:rowOff>
                  </from>
                  <to>
                    <xdr:col>0</xdr:col>
                    <xdr:colOff>247650</xdr:colOff>
                    <xdr:row>34</xdr:row>
                    <xdr:rowOff>133350</xdr:rowOff>
                  </to>
                </anchor>
              </controlPr>
            </control>
          </mc:Choice>
        </mc:AlternateContent>
        <mc:AlternateContent xmlns:mc="http://schemas.openxmlformats.org/markup-compatibility/2006">
          <mc:Choice Requires="x14">
            <control shapeId="11971" r:id="rId5" name="Option Button 707">
              <controlPr defaultSize="0" autoFill="0" autoLine="0" autoPict="0">
                <anchor moveWithCells="1">
                  <from>
                    <xdr:col>0</xdr:col>
                    <xdr:colOff>76200</xdr:colOff>
                    <xdr:row>26</xdr:row>
                    <xdr:rowOff>57150</xdr:rowOff>
                  </from>
                  <to>
                    <xdr:col>0</xdr:col>
                    <xdr:colOff>266700</xdr:colOff>
                    <xdr:row>27</xdr:row>
                    <xdr:rowOff>66675</xdr:rowOff>
                  </to>
                </anchor>
              </controlPr>
            </control>
          </mc:Choice>
        </mc:AlternateContent>
        <mc:AlternateContent xmlns:mc="http://schemas.openxmlformats.org/markup-compatibility/2006">
          <mc:Choice Requires="x14">
            <control shapeId="11978" r:id="rId6" name="Option Button 714">
              <controlPr defaultSize="0" autoFill="0" autoLine="0" autoPict="0">
                <anchor moveWithCells="1">
                  <from>
                    <xdr:col>0</xdr:col>
                    <xdr:colOff>76200</xdr:colOff>
                    <xdr:row>26</xdr:row>
                    <xdr:rowOff>57150</xdr:rowOff>
                  </from>
                  <to>
                    <xdr:col>0</xdr:col>
                    <xdr:colOff>266700</xdr:colOff>
                    <xdr:row>27</xdr:row>
                    <xdr:rowOff>66675</xdr:rowOff>
                  </to>
                </anchor>
              </controlPr>
            </control>
          </mc:Choice>
        </mc:AlternateContent>
        <mc:AlternateContent xmlns:mc="http://schemas.openxmlformats.org/markup-compatibility/2006">
          <mc:Choice Requires="x14">
            <control shapeId="11977" r:id="rId7" name="Option Button 713">
              <controlPr defaultSize="0" autoFill="0" autoLine="0" autoPict="0">
                <anchor moveWithCells="1">
                  <from>
                    <xdr:col>0</xdr:col>
                    <xdr:colOff>57150</xdr:colOff>
                    <xdr:row>33</xdr:row>
                    <xdr:rowOff>114300</xdr:rowOff>
                  </from>
                  <to>
                    <xdr:col>0</xdr:col>
                    <xdr:colOff>247650</xdr:colOff>
                    <xdr:row>34</xdr:row>
                    <xdr:rowOff>133350</xdr:rowOff>
                  </to>
                </anchor>
              </controlPr>
            </control>
          </mc:Choice>
        </mc:AlternateContent>
        <mc:AlternateContent xmlns:mc="http://schemas.openxmlformats.org/markup-compatibility/2006">
          <mc:Choice Requires="x14">
            <control shapeId="11981" r:id="rId8" name="Option Button 717">
              <controlPr defaultSize="0" autoFill="0" autoLine="0" autoPict="0">
                <anchor moveWithCells="1">
                  <from>
                    <xdr:col>0</xdr:col>
                    <xdr:colOff>76200</xdr:colOff>
                    <xdr:row>26</xdr:row>
                    <xdr:rowOff>57150</xdr:rowOff>
                  </from>
                  <to>
                    <xdr:col>0</xdr:col>
                    <xdr:colOff>266700</xdr:colOff>
                    <xdr:row>27</xdr:row>
                    <xdr:rowOff>66675</xdr:rowOff>
                  </to>
                </anchor>
              </controlPr>
            </control>
          </mc:Choice>
        </mc:AlternateContent>
        <mc:AlternateContent xmlns:mc="http://schemas.openxmlformats.org/markup-compatibility/2006">
          <mc:Choice Requires="x14">
            <control shapeId="11980" r:id="rId9" name="Option Button 716">
              <controlPr defaultSize="0" autoFill="0" autoLine="0" autoPict="0">
                <anchor moveWithCells="1">
                  <from>
                    <xdr:col>0</xdr:col>
                    <xdr:colOff>57150</xdr:colOff>
                    <xdr:row>33</xdr:row>
                    <xdr:rowOff>114300</xdr:rowOff>
                  </from>
                  <to>
                    <xdr:col>0</xdr:col>
                    <xdr:colOff>247650</xdr:colOff>
                    <xdr:row>34</xdr:row>
                    <xdr:rowOff>133350</xdr:rowOff>
                  </to>
                </anchor>
              </controlPr>
            </control>
          </mc:Choice>
        </mc:AlternateContent>
        <mc:AlternateContent xmlns:mc="http://schemas.openxmlformats.org/markup-compatibility/2006">
          <mc:Choice Requires="x14">
            <control shapeId="11984" r:id="rId10" name="Option Button 720">
              <controlPr defaultSize="0" autoFill="0" autoLine="0" autoPict="0">
                <anchor moveWithCells="1">
                  <from>
                    <xdr:col>0</xdr:col>
                    <xdr:colOff>76200</xdr:colOff>
                    <xdr:row>26</xdr:row>
                    <xdr:rowOff>57150</xdr:rowOff>
                  </from>
                  <to>
                    <xdr:col>0</xdr:col>
                    <xdr:colOff>266700</xdr:colOff>
                    <xdr:row>27</xdr:row>
                    <xdr:rowOff>66675</xdr:rowOff>
                  </to>
                </anchor>
              </controlPr>
            </control>
          </mc:Choice>
        </mc:AlternateContent>
        <mc:AlternateContent xmlns:mc="http://schemas.openxmlformats.org/markup-compatibility/2006">
          <mc:Choice Requires="x14">
            <control shapeId="11983" r:id="rId11" name="Option Button 719">
              <controlPr defaultSize="0" autoFill="0" autoLine="0" autoPict="0">
                <anchor moveWithCells="1">
                  <from>
                    <xdr:col>0</xdr:col>
                    <xdr:colOff>57150</xdr:colOff>
                    <xdr:row>33</xdr:row>
                    <xdr:rowOff>114300</xdr:rowOff>
                  </from>
                  <to>
                    <xdr:col>0</xdr:col>
                    <xdr:colOff>247650</xdr:colOff>
                    <xdr:row>34</xdr:row>
                    <xdr:rowOff>133350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F121"/>
  <sheetViews>
    <sheetView showGridLines="0" topLeftCell="A34" zoomScaleNormal="100" zoomScalePageLayoutView="90" workbookViewId="0">
      <selection activeCell="D59" sqref="D59"/>
    </sheetView>
  </sheetViews>
  <sheetFormatPr defaultColWidth="8.85546875" defaultRowHeight="12.75" x14ac:dyDescent="0.2"/>
  <cols>
    <col min="1" max="2" width="10.5703125" style="335" customWidth="1"/>
    <col min="3" max="3" width="7.85546875" style="335" customWidth="1"/>
    <col min="4" max="4" width="8.140625" style="335" customWidth="1"/>
    <col min="5" max="5" width="7.140625" style="335" customWidth="1"/>
    <col min="6" max="6" width="8" style="335" customWidth="1"/>
    <col min="7" max="7" width="0.7109375" style="335" customWidth="1"/>
    <col min="8" max="8" width="8.85546875" style="335"/>
    <col min="9" max="9" width="8.85546875" style="335" customWidth="1"/>
    <col min="10" max="10" width="10.28515625" style="335" customWidth="1"/>
    <col min="11" max="11" width="7.85546875" style="335" customWidth="1"/>
    <col min="12" max="12" width="9.7109375" style="335" customWidth="1"/>
    <col min="13" max="16" width="7.28515625" style="335" customWidth="1"/>
    <col min="17" max="17" width="0.85546875" style="335" customWidth="1"/>
    <col min="18" max="18" width="5.5703125" style="335" customWidth="1"/>
    <col min="19" max="19" width="4.7109375" style="335" customWidth="1"/>
    <col min="20" max="20" width="0.85546875" style="335" customWidth="1"/>
    <col min="21" max="21" width="7.28515625" style="335" customWidth="1"/>
    <col min="22" max="22" width="5" style="335" customWidth="1"/>
    <col min="23" max="24" width="7.28515625" style="335" customWidth="1"/>
    <col min="25" max="26" width="7.42578125" style="335" customWidth="1"/>
    <col min="27" max="27" width="8.85546875" style="335"/>
    <col min="28" max="31" width="8.85546875" style="335" hidden="1" customWidth="1"/>
    <col min="32" max="16384" width="8.85546875" style="335"/>
  </cols>
  <sheetData>
    <row r="1" spans="1:26" ht="13.15" customHeight="1" thickBot="1" x14ac:dyDescent="0.25">
      <c r="A1" s="145" t="s">
        <v>216</v>
      </c>
      <c r="B1" s="65"/>
      <c r="C1" s="65"/>
      <c r="F1" s="73"/>
      <c r="G1" s="73"/>
      <c r="H1" s="73"/>
      <c r="I1" s="73"/>
      <c r="K1" s="36" t="s">
        <v>11</v>
      </c>
      <c r="L1" s="38"/>
      <c r="M1" s="6"/>
      <c r="N1" s="37"/>
      <c r="O1" s="258" t="s">
        <v>20</v>
      </c>
      <c r="P1" s="7"/>
      <c r="Q1" s="86"/>
      <c r="R1" s="86"/>
      <c r="S1" s="240" t="s">
        <v>44</v>
      </c>
      <c r="U1" s="27" t="s">
        <v>42</v>
      </c>
      <c r="V1" s="6"/>
      <c r="W1" s="6"/>
      <c r="X1" s="37"/>
      <c r="Y1" s="68"/>
    </row>
    <row r="2" spans="1:26" ht="13.15" customHeight="1" thickTop="1" thickBot="1" x14ac:dyDescent="0.25">
      <c r="A2" s="342" t="s">
        <v>99</v>
      </c>
      <c r="B2" s="65"/>
      <c r="C2" s="65"/>
      <c r="F2" s="73"/>
      <c r="G2" s="73"/>
      <c r="H2" s="73"/>
      <c r="I2" s="73"/>
      <c r="K2" s="99" t="s">
        <v>0</v>
      </c>
      <c r="L2" s="252" t="str">
        <f>Singlelane!B2</f>
        <v>Pat Stoplight PE</v>
      </c>
      <c r="M2" s="241"/>
      <c r="N2" s="34"/>
      <c r="O2" s="353" t="s">
        <v>15</v>
      </c>
      <c r="P2" s="245" t="s">
        <v>16</v>
      </c>
      <c r="Q2" s="661">
        <f>Singlelane!G2</f>
        <v>1</v>
      </c>
      <c r="R2" s="662"/>
      <c r="S2" s="216">
        <v>1</v>
      </c>
      <c r="U2" s="285" t="s">
        <v>39</v>
      </c>
      <c r="V2" s="57"/>
      <c r="W2" s="89"/>
      <c r="X2" s="547">
        <f>Singlelane!N2</f>
        <v>4</v>
      </c>
      <c r="Y2" s="406" t="s">
        <v>48</v>
      </c>
      <c r="Z2" s="45"/>
    </row>
    <row r="3" spans="1:26" ht="13.15" customHeight="1" thickTop="1" thickBot="1" x14ac:dyDescent="0.25">
      <c r="A3" s="94"/>
      <c r="B3" s="95"/>
      <c r="C3" s="95"/>
      <c r="D3" s="188" t="s">
        <v>107</v>
      </c>
      <c r="E3" s="187" t="str">
        <f>Bypasslane!E13</f>
        <v>South</v>
      </c>
      <c r="F3" s="94" t="s">
        <v>85</v>
      </c>
      <c r="G3" s="73"/>
      <c r="H3" s="73"/>
      <c r="I3" s="73"/>
      <c r="K3" s="100" t="s">
        <v>19</v>
      </c>
      <c r="L3" s="455" t="str">
        <f>Singlelane!B3</f>
        <v>Safety City</v>
      </c>
      <c r="M3" s="68"/>
      <c r="N3" s="136"/>
      <c r="O3" s="354" t="s">
        <v>21</v>
      </c>
      <c r="P3" s="244" t="s">
        <v>14</v>
      </c>
      <c r="Q3" s="661">
        <f>Singlelane!G3</f>
        <v>1.5</v>
      </c>
      <c r="R3" s="662"/>
      <c r="S3" s="217">
        <v>1.5</v>
      </c>
      <c r="U3" s="285" t="s">
        <v>29</v>
      </c>
      <c r="V3" s="57"/>
      <c r="W3" s="89"/>
      <c r="X3" s="554">
        <f>Singlelane!N3</f>
        <v>0.25</v>
      </c>
      <c r="Y3" s="68"/>
      <c r="Z3" s="368"/>
    </row>
    <row r="4" spans="1:26" ht="13.15" customHeight="1" thickTop="1" thickBot="1" x14ac:dyDescent="0.25">
      <c r="A4" s="94"/>
      <c r="B4" s="95"/>
      <c r="C4" s="95"/>
      <c r="D4" s="188" t="s">
        <v>54</v>
      </c>
      <c r="E4" s="187" t="str">
        <f>Bypasslane!E14</f>
        <v>East</v>
      </c>
      <c r="F4" s="94" t="s">
        <v>85</v>
      </c>
      <c r="G4" s="73"/>
      <c r="H4" s="73"/>
      <c r="I4" s="73"/>
      <c r="K4" s="100" t="s">
        <v>1</v>
      </c>
      <c r="L4" s="47">
        <f>Singlelane!B4</f>
        <v>42269</v>
      </c>
      <c r="M4" s="242"/>
      <c r="N4" s="136"/>
      <c r="O4" s="60" t="s">
        <v>22</v>
      </c>
      <c r="P4" s="246" t="s">
        <v>17</v>
      </c>
      <c r="Q4" s="661">
        <f>Singlelane!G4</f>
        <v>2</v>
      </c>
      <c r="R4" s="662"/>
      <c r="S4" s="218">
        <v>2</v>
      </c>
      <c r="U4" s="350" t="s">
        <v>49</v>
      </c>
      <c r="V4" s="548">
        <f>Singlelane!L4</f>
        <v>0</v>
      </c>
      <c r="W4" s="548" t="str">
        <f>Singlelane!M4</f>
        <v>00</v>
      </c>
      <c r="X4" s="352" t="str">
        <f>Singlelane!N4</f>
        <v>PM</v>
      </c>
      <c r="Y4" s="44">
        <v>5</v>
      </c>
      <c r="Z4" s="45">
        <f>IF(M12&gt;0,IF(N13&gt;0,IF(O10&gt;0,IF(P11&gt;0,4,3),3),3),3)</f>
        <v>3</v>
      </c>
    </row>
    <row r="5" spans="1:26" ht="13.15" customHeight="1" thickBot="1" x14ac:dyDescent="0.25">
      <c r="A5" s="342" t="s">
        <v>217</v>
      </c>
      <c r="K5" s="328" t="s">
        <v>192</v>
      </c>
      <c r="L5" s="380">
        <f>Singlelane!B5</f>
        <v>0</v>
      </c>
      <c r="M5" s="380"/>
      <c r="N5" s="419"/>
      <c r="O5" s="453" t="s">
        <v>193</v>
      </c>
      <c r="P5" s="663">
        <f>Singlelane!E5</f>
        <v>0</v>
      </c>
      <c r="Q5" s="664"/>
      <c r="R5" s="664"/>
      <c r="S5" s="665"/>
      <c r="T5" s="68"/>
      <c r="U5" s="80" t="s">
        <v>206</v>
      </c>
      <c r="V5" s="83"/>
      <c r="W5" s="108"/>
      <c r="X5" s="104" t="s">
        <v>12</v>
      </c>
      <c r="Y5" s="103"/>
      <c r="Z5" s="105"/>
    </row>
    <row r="6" spans="1:26" ht="13.15" customHeight="1" thickBot="1" x14ac:dyDescent="0.25">
      <c r="A6" s="95"/>
      <c r="B6" s="95"/>
      <c r="C6" s="95"/>
      <c r="D6" s="188" t="s">
        <v>107</v>
      </c>
      <c r="E6" s="95" t="str">
        <f>'2ndBypasslane'!E14</f>
        <v>North</v>
      </c>
      <c r="F6" s="94" t="s">
        <v>85</v>
      </c>
      <c r="K6" s="415" t="s">
        <v>18</v>
      </c>
      <c r="L6" s="456" t="str">
        <f>Singlelane!B6</f>
        <v>Project Name</v>
      </c>
      <c r="M6" s="416"/>
      <c r="N6" s="292"/>
      <c r="P6" s="101" t="s">
        <v>2</v>
      </c>
      <c r="Q6" s="356" t="str">
        <f>Singlelane!F6</f>
        <v>20yrs &gt; build</v>
      </c>
      <c r="R6" s="243"/>
      <c r="S6" s="39"/>
      <c r="T6" s="68"/>
      <c r="U6" s="366" t="s">
        <v>208</v>
      </c>
      <c r="V6" s="111"/>
      <c r="W6" s="109" t="s">
        <v>3</v>
      </c>
      <c r="X6" s="106" t="s">
        <v>4</v>
      </c>
      <c r="Y6" s="106" t="s">
        <v>5</v>
      </c>
      <c r="Z6" s="107" t="s">
        <v>55</v>
      </c>
    </row>
    <row r="7" spans="1:26" ht="13.15" customHeight="1" thickTop="1" thickBot="1" x14ac:dyDescent="0.25">
      <c r="A7" s="95"/>
      <c r="B7" s="95"/>
      <c r="C7" s="95"/>
      <c r="D7" s="188" t="s">
        <v>54</v>
      </c>
      <c r="E7" s="95" t="str">
        <f>'2ndBypasslane'!E15</f>
        <v>West</v>
      </c>
      <c r="F7" s="94" t="s">
        <v>85</v>
      </c>
      <c r="O7" s="347"/>
      <c r="P7" s="370"/>
      <c r="Q7" s="652"/>
      <c r="R7" s="653"/>
      <c r="S7" s="355"/>
      <c r="U7" s="404" t="s">
        <v>207</v>
      </c>
      <c r="V7" s="390"/>
      <c r="W7" s="454">
        <f>Singlelane!M7</f>
        <v>0</v>
      </c>
      <c r="X7" s="391">
        <f>Singlelane!N7</f>
        <v>0</v>
      </c>
      <c r="Y7" s="391">
        <f>Singlelane!O7</f>
        <v>0</v>
      </c>
      <c r="Z7" s="392">
        <f>Singlelane!P7</f>
        <v>0</v>
      </c>
    </row>
    <row r="8" spans="1:26" ht="13.15" customHeight="1" thickBot="1" x14ac:dyDescent="0.25">
      <c r="A8" s="342" t="s">
        <v>218</v>
      </c>
      <c r="E8" s="73"/>
      <c r="F8" s="73"/>
      <c r="G8" s="73"/>
      <c r="K8" s="80" t="s">
        <v>41</v>
      </c>
      <c r="L8" s="83"/>
      <c r="M8" s="108"/>
      <c r="N8" s="104" t="s">
        <v>12</v>
      </c>
      <c r="O8" s="103"/>
      <c r="P8" s="105"/>
      <c r="Q8" s="68"/>
      <c r="R8" s="73"/>
      <c r="S8" s="467"/>
      <c r="U8" s="80" t="s">
        <v>30</v>
      </c>
      <c r="V8" s="83"/>
      <c r="W8" s="83"/>
      <c r="X8" s="84" t="s">
        <v>12</v>
      </c>
      <c r="Y8" s="83"/>
      <c r="Z8" s="71"/>
    </row>
    <row r="9" spans="1:26" ht="13.15" customHeight="1" thickBot="1" x14ac:dyDescent="0.25">
      <c r="A9" s="80" t="s">
        <v>41</v>
      </c>
      <c r="B9" s="122"/>
      <c r="C9" s="108"/>
      <c r="D9" s="104" t="s">
        <v>12</v>
      </c>
      <c r="E9" s="103"/>
      <c r="F9" s="105"/>
      <c r="G9" s="73"/>
      <c r="K9" s="69" t="s">
        <v>57</v>
      </c>
      <c r="L9" s="111"/>
      <c r="M9" s="206" t="s">
        <v>3</v>
      </c>
      <c r="N9" s="207" t="s">
        <v>4</v>
      </c>
      <c r="O9" s="207" t="s">
        <v>5</v>
      </c>
      <c r="P9" s="208" t="s">
        <v>55</v>
      </c>
      <c r="R9" s="75"/>
      <c r="S9" s="75"/>
      <c r="U9" s="139" t="s">
        <v>31</v>
      </c>
      <c r="V9" s="81"/>
      <c r="W9" s="209" t="s">
        <v>3</v>
      </c>
      <c r="X9" s="209" t="s">
        <v>4</v>
      </c>
      <c r="Y9" s="209" t="s">
        <v>5</v>
      </c>
      <c r="Z9" s="210" t="s">
        <v>55</v>
      </c>
    </row>
    <row r="10" spans="1:26" ht="13.15" customHeight="1" thickTop="1" thickBot="1" x14ac:dyDescent="0.25">
      <c r="A10" s="69" t="s">
        <v>57</v>
      </c>
      <c r="B10" s="111"/>
      <c r="C10" s="109" t="s">
        <v>3</v>
      </c>
      <c r="D10" s="106" t="s">
        <v>4</v>
      </c>
      <c r="E10" s="106" t="s">
        <v>5</v>
      </c>
      <c r="F10" s="107" t="s">
        <v>55</v>
      </c>
      <c r="G10" s="73"/>
      <c r="K10" s="639" t="s">
        <v>13</v>
      </c>
      <c r="L10" s="112" t="s">
        <v>3</v>
      </c>
      <c r="M10" s="302">
        <f>'2ndBypasslane'!M10</f>
        <v>0</v>
      </c>
      <c r="N10" s="302">
        <f>IF($E$17="East",0,'2ndBypasslane'!N10)</f>
        <v>0</v>
      </c>
      <c r="O10" s="302">
        <f>'2ndBypasslane'!O10</f>
        <v>0</v>
      </c>
      <c r="P10" s="302">
        <f>'2ndBypasslane'!P10</f>
        <v>0</v>
      </c>
      <c r="Q10" s="68"/>
      <c r="R10" s="65"/>
      <c r="S10" s="65"/>
      <c r="T10" s="68"/>
      <c r="U10" s="639" t="s">
        <v>13</v>
      </c>
      <c r="V10" s="214" t="s">
        <v>3</v>
      </c>
      <c r="W10" s="149">
        <f t="shared" ref="W10:Z13" si="0">ROUND(IF(M16=0,0,M10/M16),0)</f>
        <v>0</v>
      </c>
      <c r="X10" s="149">
        <f t="shared" si="0"/>
        <v>0</v>
      </c>
      <c r="Y10" s="149">
        <f t="shared" si="0"/>
        <v>0</v>
      </c>
      <c r="Z10" s="150">
        <f t="shared" si="0"/>
        <v>0</v>
      </c>
    </row>
    <row r="11" spans="1:26" s="65" customFormat="1" ht="13.15" customHeight="1" thickTop="1" x14ac:dyDescent="0.2">
      <c r="A11" s="639" t="s">
        <v>13</v>
      </c>
      <c r="B11" s="112" t="s">
        <v>3</v>
      </c>
      <c r="C11" s="102">
        <f>'2ndBypasslane'!M10</f>
        <v>0</v>
      </c>
      <c r="D11" s="233">
        <f>'2ndBypasslane'!N10</f>
        <v>0</v>
      </c>
      <c r="E11" s="102">
        <f>'2ndBypasslane'!O10</f>
        <v>0</v>
      </c>
      <c r="F11" s="102">
        <f>'2ndBypasslane'!P10</f>
        <v>0</v>
      </c>
      <c r="G11" s="73"/>
      <c r="H11" s="335"/>
      <c r="I11" s="335"/>
      <c r="J11" s="335"/>
      <c r="K11" s="640"/>
      <c r="L11" s="112" t="s">
        <v>4</v>
      </c>
      <c r="M11" s="302">
        <f>'2ndBypasslane'!M11</f>
        <v>0</v>
      </c>
      <c r="N11" s="302">
        <f>'2ndBypasslane'!N11</f>
        <v>0</v>
      </c>
      <c r="O11" s="302">
        <f>IF($E$17="South",0,'2ndBypasslane'!O11)</f>
        <v>0</v>
      </c>
      <c r="P11" s="302">
        <f>'2ndBypasslane'!P11</f>
        <v>0</v>
      </c>
      <c r="R11" s="147" t="s">
        <v>219</v>
      </c>
      <c r="S11" s="335"/>
      <c r="U11" s="640"/>
      <c r="V11" s="214" t="s">
        <v>4</v>
      </c>
      <c r="W11" s="149">
        <f t="shared" si="0"/>
        <v>0</v>
      </c>
      <c r="X11" s="149">
        <f t="shared" si="0"/>
        <v>0</v>
      </c>
      <c r="Y11" s="149">
        <f t="shared" si="0"/>
        <v>0</v>
      </c>
      <c r="Z11" s="150">
        <f t="shared" si="0"/>
        <v>0</v>
      </c>
    </row>
    <row r="12" spans="1:26" ht="13.15" customHeight="1" x14ac:dyDescent="0.2">
      <c r="A12" s="640"/>
      <c r="B12" s="112" t="s">
        <v>4</v>
      </c>
      <c r="C12" s="102">
        <f>'2ndBypasslane'!M11</f>
        <v>0</v>
      </c>
      <c r="D12" s="102">
        <f>'2ndBypasslane'!N11</f>
        <v>0</v>
      </c>
      <c r="E12" s="233">
        <f>'2ndBypasslane'!O11</f>
        <v>0</v>
      </c>
      <c r="F12" s="102">
        <f>'2ndBypasslane'!P11</f>
        <v>0</v>
      </c>
      <c r="G12" s="73"/>
      <c r="K12" s="640"/>
      <c r="L12" s="112" t="s">
        <v>5</v>
      </c>
      <c r="M12" s="302">
        <f>'2ndBypasslane'!M12</f>
        <v>0</v>
      </c>
      <c r="N12" s="302">
        <f>'2ndBypasslane'!N12</f>
        <v>0</v>
      </c>
      <c r="O12" s="302">
        <f>'2ndBypasslane'!O12</f>
        <v>0</v>
      </c>
      <c r="P12" s="302">
        <f>IF($E$17="West",0,'2ndBypasslane'!P12)</f>
        <v>0</v>
      </c>
      <c r="Q12" s="65"/>
      <c r="R12" s="146" t="s">
        <v>101</v>
      </c>
      <c r="T12" s="65"/>
      <c r="U12" s="640"/>
      <c r="V12" s="214" t="s">
        <v>5</v>
      </c>
      <c r="W12" s="149">
        <f t="shared" si="0"/>
        <v>0</v>
      </c>
      <c r="X12" s="149">
        <f t="shared" si="0"/>
        <v>0</v>
      </c>
      <c r="Y12" s="149">
        <f t="shared" si="0"/>
        <v>0</v>
      </c>
      <c r="Z12" s="150">
        <f t="shared" si="0"/>
        <v>0</v>
      </c>
    </row>
    <row r="13" spans="1:26" ht="13.15" customHeight="1" thickBot="1" x14ac:dyDescent="0.25">
      <c r="A13" s="640"/>
      <c r="B13" s="112" t="s">
        <v>5</v>
      </c>
      <c r="C13" s="102">
        <f>'2ndBypasslane'!M12</f>
        <v>0</v>
      </c>
      <c r="D13" s="102">
        <f>'2ndBypasslane'!N12</f>
        <v>0</v>
      </c>
      <c r="E13" s="102">
        <f>'2ndBypasslane'!O12</f>
        <v>0</v>
      </c>
      <c r="F13" s="233">
        <f>'2ndBypasslane'!P12</f>
        <v>0</v>
      </c>
      <c r="G13" s="73"/>
      <c r="K13" s="641"/>
      <c r="L13" s="113" t="s">
        <v>55</v>
      </c>
      <c r="M13" s="302">
        <f>IF($E$17="North",0,'2ndBypasslane'!M13)</f>
        <v>0</v>
      </c>
      <c r="N13" s="302">
        <f>'2ndBypasslane'!N13</f>
        <v>0</v>
      </c>
      <c r="O13" s="302">
        <f>'2ndBypasslane'!O13</f>
        <v>0</v>
      </c>
      <c r="P13" s="302">
        <f>'2ndBypasslane'!P13</f>
        <v>0</v>
      </c>
      <c r="U13" s="641"/>
      <c r="V13" s="116" t="s">
        <v>55</v>
      </c>
      <c r="W13" s="149">
        <f t="shared" si="0"/>
        <v>0</v>
      </c>
      <c r="X13" s="149">
        <f t="shared" si="0"/>
        <v>0</v>
      </c>
      <c r="Y13" s="149">
        <f t="shared" si="0"/>
        <v>0</v>
      </c>
      <c r="Z13" s="150">
        <f t="shared" si="0"/>
        <v>0</v>
      </c>
    </row>
    <row r="14" spans="1:26" ht="13.15" customHeight="1" thickBot="1" x14ac:dyDescent="0.25">
      <c r="A14" s="641"/>
      <c r="B14" s="113" t="s">
        <v>55</v>
      </c>
      <c r="C14" s="233">
        <f>'2ndBypasslane'!M13</f>
        <v>0</v>
      </c>
      <c r="D14" s="102">
        <f>'2ndBypasslane'!N13</f>
        <v>0</v>
      </c>
      <c r="E14" s="102">
        <f>'2ndBypasslane'!O13</f>
        <v>0</v>
      </c>
      <c r="F14" s="102">
        <f>'2ndBypasslane'!P13</f>
        <v>0</v>
      </c>
      <c r="G14" s="75"/>
      <c r="K14" s="80" t="s">
        <v>47</v>
      </c>
      <c r="L14" s="83"/>
      <c r="M14" s="83"/>
      <c r="N14" s="84" t="s">
        <v>12</v>
      </c>
      <c r="O14" s="83"/>
      <c r="P14" s="71"/>
      <c r="S14" s="79"/>
      <c r="U14" s="80" t="s">
        <v>84</v>
      </c>
      <c r="V14" s="83"/>
      <c r="W14" s="83"/>
      <c r="X14" s="84" t="s">
        <v>12</v>
      </c>
      <c r="Y14" s="83"/>
      <c r="Z14" s="71"/>
    </row>
    <row r="15" spans="1:26" ht="13.15" customHeight="1" thickBot="1" x14ac:dyDescent="0.25">
      <c r="K15" s="293" t="s">
        <v>9</v>
      </c>
      <c r="L15" s="373"/>
      <c r="M15" s="67" t="s">
        <v>3</v>
      </c>
      <c r="N15" s="67" t="s">
        <v>4</v>
      </c>
      <c r="O15" s="67" t="s">
        <v>5</v>
      </c>
      <c r="P15" s="70" t="s">
        <v>55</v>
      </c>
      <c r="R15" s="14"/>
      <c r="S15" s="73"/>
      <c r="T15" s="135"/>
      <c r="U15" s="211" t="s">
        <v>138</v>
      </c>
      <c r="V15" s="81"/>
      <c r="W15" s="209" t="s">
        <v>3</v>
      </c>
      <c r="X15" s="209" t="s">
        <v>4</v>
      </c>
      <c r="Y15" s="209" t="s">
        <v>5</v>
      </c>
      <c r="Z15" s="210" t="s">
        <v>55</v>
      </c>
    </row>
    <row r="16" spans="1:26" ht="13.15" customHeight="1" thickTop="1" x14ac:dyDescent="0.2">
      <c r="A16" s="95"/>
      <c r="B16" s="95"/>
      <c r="C16" s="95"/>
      <c r="D16" s="95"/>
      <c r="E16" s="95"/>
      <c r="F16" s="95"/>
      <c r="K16" s="639" t="s">
        <v>13</v>
      </c>
      <c r="L16" s="214" t="s">
        <v>3</v>
      </c>
      <c r="M16" s="148">
        <f>'2ndBypasslane'!M16</f>
        <v>0</v>
      </c>
      <c r="N16" s="148">
        <f>IF($E$17="East",0,'2ndBypasslane'!N16)</f>
        <v>0</v>
      </c>
      <c r="O16" s="148">
        <f>'2ndBypasslane'!O16</f>
        <v>0</v>
      </c>
      <c r="P16" s="148">
        <f>'2ndBypasslane'!P16</f>
        <v>0</v>
      </c>
      <c r="R16" s="140"/>
      <c r="S16" s="73"/>
      <c r="T16" s="73"/>
      <c r="U16" s="639" t="s">
        <v>13</v>
      </c>
      <c r="V16" s="214" t="s">
        <v>3</v>
      </c>
      <c r="W16" s="153">
        <f t="shared" ref="W16:Z19" si="1">ROUND(1/(1+(W22*($Q$2-1))+(W28*($Q$3-1))+(W34*($Q$4-1))),3)</f>
        <v>1</v>
      </c>
      <c r="X16" s="153">
        <f t="shared" si="1"/>
        <v>1</v>
      </c>
      <c r="Y16" s="153">
        <f t="shared" si="1"/>
        <v>1</v>
      </c>
      <c r="Z16" s="153">
        <f t="shared" si="1"/>
        <v>1</v>
      </c>
    </row>
    <row r="17" spans="1:26" ht="13.15" customHeight="1" x14ac:dyDescent="0.2">
      <c r="A17" s="94" t="s">
        <v>53</v>
      </c>
      <c r="B17" s="95"/>
      <c r="C17" s="95"/>
      <c r="D17" s="95"/>
      <c r="E17" s="143" t="s">
        <v>86</v>
      </c>
      <c r="F17" s="264" t="s">
        <v>8</v>
      </c>
      <c r="K17" s="640"/>
      <c r="L17" s="214" t="s">
        <v>4</v>
      </c>
      <c r="M17" s="148">
        <f>'2ndBypasslane'!M17</f>
        <v>0</v>
      </c>
      <c r="N17" s="148">
        <f>'2ndBypasslane'!N17</f>
        <v>0</v>
      </c>
      <c r="O17" s="148">
        <f>IF($E$17="South",0,'2ndBypasslane'!O17)</f>
        <v>0</v>
      </c>
      <c r="P17" s="148">
        <f>'2ndBypasslane'!P17</f>
        <v>0</v>
      </c>
      <c r="R17" s="73"/>
      <c r="S17" s="73"/>
      <c r="U17" s="640"/>
      <c r="V17" s="214" t="s">
        <v>4</v>
      </c>
      <c r="W17" s="153">
        <f t="shared" si="1"/>
        <v>1</v>
      </c>
      <c r="X17" s="153">
        <f t="shared" si="1"/>
        <v>1</v>
      </c>
      <c r="Y17" s="153">
        <f t="shared" si="1"/>
        <v>1</v>
      </c>
      <c r="Z17" s="153">
        <f t="shared" si="1"/>
        <v>1</v>
      </c>
    </row>
    <row r="18" spans="1:26" ht="13.15" customHeight="1" x14ac:dyDescent="0.2">
      <c r="A18" s="94" t="s">
        <v>54</v>
      </c>
      <c r="B18" s="95"/>
      <c r="C18" s="95"/>
      <c r="D18" s="95"/>
      <c r="E18" s="95" t="str">
        <f>IF(E17="South","East",IF(E17="West","South",IF(E17="North","West",IF(E17="East","North",use pull down))))</f>
        <v>South</v>
      </c>
      <c r="F18" s="94" t="s">
        <v>85</v>
      </c>
      <c r="K18" s="640"/>
      <c r="L18" s="214" t="s">
        <v>5</v>
      </c>
      <c r="M18" s="148">
        <f>'2ndBypasslane'!M18</f>
        <v>0</v>
      </c>
      <c r="N18" s="148">
        <f>'2ndBypasslane'!N18</f>
        <v>0</v>
      </c>
      <c r="O18" s="148">
        <f>'2ndBypasslane'!O18</f>
        <v>0</v>
      </c>
      <c r="P18" s="148">
        <f>IF($E$17="West",0,'2ndBypasslane'!P18)</f>
        <v>0</v>
      </c>
      <c r="R18" s="557"/>
      <c r="S18" s="560"/>
      <c r="U18" s="640"/>
      <c r="V18" s="214" t="s">
        <v>5</v>
      </c>
      <c r="W18" s="153">
        <f t="shared" si="1"/>
        <v>1</v>
      </c>
      <c r="X18" s="153">
        <f t="shared" si="1"/>
        <v>1</v>
      </c>
      <c r="Y18" s="153">
        <f t="shared" si="1"/>
        <v>1</v>
      </c>
      <c r="Z18" s="153">
        <f t="shared" si="1"/>
        <v>1</v>
      </c>
    </row>
    <row r="19" spans="1:26" ht="13.15" customHeight="1" thickBot="1" x14ac:dyDescent="0.25">
      <c r="A19" s="95"/>
      <c r="B19" s="95"/>
      <c r="C19" s="95"/>
      <c r="D19" s="95"/>
      <c r="E19" s="95"/>
      <c r="F19" s="95"/>
      <c r="I19" s="494"/>
      <c r="K19" s="641"/>
      <c r="L19" s="116" t="s">
        <v>55</v>
      </c>
      <c r="M19" s="148">
        <f>IF($E$17="North",0,'2ndBypasslane'!M19)</f>
        <v>0</v>
      </c>
      <c r="N19" s="148">
        <f>'2ndBypasslane'!N19</f>
        <v>0</v>
      </c>
      <c r="O19" s="148">
        <f>'2ndBypasslane'!O19</f>
        <v>0</v>
      </c>
      <c r="P19" s="148">
        <f>'2ndBypasslane'!P19</f>
        <v>0</v>
      </c>
      <c r="U19" s="641"/>
      <c r="V19" s="116" t="s">
        <v>55</v>
      </c>
      <c r="W19" s="153">
        <f t="shared" si="1"/>
        <v>1</v>
      </c>
      <c r="X19" s="153">
        <f t="shared" si="1"/>
        <v>1</v>
      </c>
      <c r="Y19" s="153">
        <f t="shared" si="1"/>
        <v>1</v>
      </c>
      <c r="Z19" s="153">
        <f t="shared" si="1"/>
        <v>1</v>
      </c>
    </row>
    <row r="20" spans="1:26" ht="13.15" customHeight="1" x14ac:dyDescent="0.2">
      <c r="C20" s="494"/>
      <c r="I20" s="494"/>
      <c r="K20" s="80" t="s">
        <v>46</v>
      </c>
      <c r="L20" s="83"/>
      <c r="M20" s="108"/>
      <c r="N20" s="104" t="s">
        <v>12</v>
      </c>
      <c r="O20" s="103"/>
      <c r="P20" s="105"/>
      <c r="U20" s="80" t="s">
        <v>25</v>
      </c>
      <c r="V20" s="83"/>
      <c r="W20" s="83"/>
      <c r="X20" s="84" t="s">
        <v>12</v>
      </c>
      <c r="Y20" s="83"/>
      <c r="Z20" s="71"/>
    </row>
    <row r="21" spans="1:26" ht="13.15" customHeight="1" thickBot="1" x14ac:dyDescent="0.25">
      <c r="C21" s="494"/>
      <c r="I21" s="494"/>
      <c r="K21" s="69" t="s">
        <v>57</v>
      </c>
      <c r="L21" s="81"/>
      <c r="M21" s="206" t="s">
        <v>3</v>
      </c>
      <c r="N21" s="207" t="s">
        <v>4</v>
      </c>
      <c r="O21" s="207" t="s">
        <v>5</v>
      </c>
      <c r="P21" s="208" t="s">
        <v>55</v>
      </c>
      <c r="U21" s="212" t="s">
        <v>139</v>
      </c>
      <c r="V21" s="81"/>
      <c r="W21" s="209" t="s">
        <v>3</v>
      </c>
      <c r="X21" s="209" t="s">
        <v>4</v>
      </c>
      <c r="Y21" s="209" t="s">
        <v>5</v>
      </c>
      <c r="Z21" s="210" t="s">
        <v>55</v>
      </c>
    </row>
    <row r="22" spans="1:26" ht="13.15" customHeight="1" thickTop="1" x14ac:dyDescent="0.2">
      <c r="A22" s="4"/>
      <c r="B22" s="68"/>
      <c r="C22" s="494"/>
      <c r="E22" s="79"/>
      <c r="F22" s="79"/>
      <c r="G22" s="79"/>
      <c r="H22" s="79"/>
      <c r="I22" s="79"/>
      <c r="K22" s="639" t="s">
        <v>13</v>
      </c>
      <c r="L22" s="112" t="s">
        <v>3</v>
      </c>
      <c r="M22" s="302">
        <f>'2ndBypasslane'!M22</f>
        <v>0</v>
      </c>
      <c r="N22" s="302">
        <f>IF($E$17="East",0,'2ndBypasslane'!N22)</f>
        <v>0</v>
      </c>
      <c r="O22" s="302">
        <f>'2ndBypasslane'!O22</f>
        <v>0</v>
      </c>
      <c r="P22" s="302">
        <f>'2ndBypasslane'!P22</f>
        <v>0</v>
      </c>
      <c r="Q22" s="82"/>
      <c r="R22" s="82"/>
      <c r="S22" s="82"/>
      <c r="T22" s="82"/>
      <c r="U22" s="639" t="s">
        <v>13</v>
      </c>
      <c r="V22" s="214" t="s">
        <v>3</v>
      </c>
      <c r="W22" s="154">
        <f t="shared" ref="W22:Z25" si="2">ROUND(IF(M10=0,0,M22/M10),3)</f>
        <v>0</v>
      </c>
      <c r="X22" s="154">
        <f t="shared" si="2"/>
        <v>0</v>
      </c>
      <c r="Y22" s="154">
        <f t="shared" si="2"/>
        <v>0</v>
      </c>
      <c r="Z22" s="154">
        <f t="shared" si="2"/>
        <v>0</v>
      </c>
    </row>
    <row r="23" spans="1:26" ht="13.15" customHeight="1" x14ac:dyDescent="0.2">
      <c r="C23" s="190" t="s">
        <v>260</v>
      </c>
      <c r="E23" s="79"/>
      <c r="F23" s="79"/>
      <c r="G23" s="79"/>
      <c r="H23" s="79"/>
      <c r="I23" s="79" t="s">
        <v>258</v>
      </c>
      <c r="K23" s="640"/>
      <c r="L23" s="112" t="s">
        <v>4</v>
      </c>
      <c r="M23" s="302">
        <f>'2ndBypasslane'!M23</f>
        <v>0</v>
      </c>
      <c r="N23" s="302">
        <f>'2ndBypasslane'!N23</f>
        <v>0</v>
      </c>
      <c r="O23" s="302">
        <f>IF($E$17="South",0,'2ndBypasslane'!O23)</f>
        <v>0</v>
      </c>
      <c r="P23" s="302">
        <f>'2ndBypasslane'!P23</f>
        <v>0</v>
      </c>
      <c r="Q23" s="75"/>
      <c r="R23" s="75"/>
      <c r="U23" s="640"/>
      <c r="V23" s="214" t="s">
        <v>4</v>
      </c>
      <c r="W23" s="154">
        <f t="shared" si="2"/>
        <v>0</v>
      </c>
      <c r="X23" s="154">
        <f t="shared" si="2"/>
        <v>0</v>
      </c>
      <c r="Y23" s="154">
        <f t="shared" si="2"/>
        <v>0</v>
      </c>
      <c r="Z23" s="154">
        <f t="shared" si="2"/>
        <v>0</v>
      </c>
    </row>
    <row r="24" spans="1:26" ht="13.15" customHeight="1" x14ac:dyDescent="0.2">
      <c r="C24" s="494" t="s">
        <v>261</v>
      </c>
      <c r="E24" s="79"/>
      <c r="F24" s="79"/>
      <c r="G24" s="79"/>
      <c r="H24" s="79"/>
      <c r="I24" s="79" t="s">
        <v>259</v>
      </c>
      <c r="K24" s="640"/>
      <c r="L24" s="112" t="s">
        <v>5</v>
      </c>
      <c r="M24" s="302">
        <f>'2ndBypasslane'!M24</f>
        <v>0</v>
      </c>
      <c r="N24" s="302">
        <f>'2ndBypasslane'!N24</f>
        <v>0</v>
      </c>
      <c r="O24" s="302">
        <f>'2ndBypasslane'!O24</f>
        <v>0</v>
      </c>
      <c r="P24" s="302">
        <f>IF($E$17="West",0,'2ndBypasslane'!#REF!)</f>
        <v>0</v>
      </c>
      <c r="Q24" s="76"/>
      <c r="R24" s="76"/>
      <c r="U24" s="640"/>
      <c r="V24" s="214" t="s">
        <v>5</v>
      </c>
      <c r="W24" s="154">
        <f t="shared" si="2"/>
        <v>0</v>
      </c>
      <c r="X24" s="154">
        <f t="shared" si="2"/>
        <v>0</v>
      </c>
      <c r="Y24" s="154">
        <f t="shared" si="2"/>
        <v>0</v>
      </c>
      <c r="Z24" s="154">
        <f t="shared" si="2"/>
        <v>0</v>
      </c>
    </row>
    <row r="25" spans="1:26" ht="13.15" customHeight="1" thickBot="1" x14ac:dyDescent="0.25">
      <c r="E25" s="79"/>
      <c r="F25" s="79"/>
      <c r="G25" s="79"/>
      <c r="H25" s="79"/>
      <c r="I25" s="79"/>
      <c r="K25" s="641"/>
      <c r="L25" s="113" t="s">
        <v>55</v>
      </c>
      <c r="M25" s="302">
        <f>IF($E$17="North",0,'2ndBypasslane'!M25)</f>
        <v>0</v>
      </c>
      <c r="N25" s="302">
        <f>'2ndBypasslane'!N25</f>
        <v>0</v>
      </c>
      <c r="O25" s="302">
        <f>'2ndBypasslane'!O25</f>
        <v>0</v>
      </c>
      <c r="P25" s="302">
        <f>'2ndBypasslane'!P25</f>
        <v>0</v>
      </c>
      <c r="Q25" s="79"/>
      <c r="R25" s="79"/>
      <c r="U25" s="641"/>
      <c r="V25" s="116" t="s">
        <v>55</v>
      </c>
      <c r="W25" s="154">
        <f t="shared" si="2"/>
        <v>0</v>
      </c>
      <c r="X25" s="154">
        <f t="shared" si="2"/>
        <v>0</v>
      </c>
      <c r="Y25" s="154">
        <f t="shared" si="2"/>
        <v>0</v>
      </c>
      <c r="Z25" s="154">
        <f t="shared" si="2"/>
        <v>0</v>
      </c>
    </row>
    <row r="26" spans="1:26" ht="13.15" customHeight="1" x14ac:dyDescent="0.2">
      <c r="E26" s="79"/>
      <c r="F26" s="79"/>
      <c r="G26" s="79"/>
      <c r="H26" s="79"/>
      <c r="I26" s="79"/>
      <c r="K26" s="80" t="s">
        <v>58</v>
      </c>
      <c r="L26" s="83"/>
      <c r="M26" s="108"/>
      <c r="N26" s="104" t="s">
        <v>12</v>
      </c>
      <c r="O26" s="103"/>
      <c r="P26" s="105"/>
      <c r="Q26" s="79"/>
      <c r="R26" s="79"/>
      <c r="U26" s="80" t="s">
        <v>23</v>
      </c>
      <c r="V26" s="83"/>
      <c r="W26" s="83"/>
      <c r="X26" s="84" t="s">
        <v>12</v>
      </c>
      <c r="Y26" s="83"/>
      <c r="Z26" s="71"/>
    </row>
    <row r="27" spans="1:26" ht="13.15" customHeight="1" thickBot="1" x14ac:dyDescent="0.25">
      <c r="E27" s="79"/>
      <c r="F27" s="79"/>
      <c r="G27" s="79"/>
      <c r="H27" s="79"/>
      <c r="I27" s="79"/>
      <c r="K27" s="69" t="s">
        <v>57</v>
      </c>
      <c r="L27" s="81"/>
      <c r="M27" s="206" t="s">
        <v>3</v>
      </c>
      <c r="N27" s="207" t="s">
        <v>4</v>
      </c>
      <c r="O27" s="207" t="s">
        <v>5</v>
      </c>
      <c r="P27" s="208" t="s">
        <v>55</v>
      </c>
      <c r="Q27" s="79"/>
      <c r="R27" s="79"/>
      <c r="U27" s="212" t="s">
        <v>140</v>
      </c>
      <c r="V27" s="81"/>
      <c r="W27" s="209" t="s">
        <v>3</v>
      </c>
      <c r="X27" s="209" t="s">
        <v>4</v>
      </c>
      <c r="Y27" s="209" t="s">
        <v>5</v>
      </c>
      <c r="Z27" s="210" t="s">
        <v>55</v>
      </c>
    </row>
    <row r="28" spans="1:26" ht="13.15" customHeight="1" thickTop="1" x14ac:dyDescent="0.2">
      <c r="E28" s="73"/>
      <c r="F28" s="73"/>
      <c r="G28" s="73"/>
      <c r="H28" s="73"/>
      <c r="I28" s="73"/>
      <c r="K28" s="639" t="s">
        <v>13</v>
      </c>
      <c r="L28" s="112" t="s">
        <v>3</v>
      </c>
      <c r="M28" s="302">
        <f>'2ndBypasslane'!M28</f>
        <v>0</v>
      </c>
      <c r="N28" s="302">
        <f>IF($E$17="East",0,'2ndBypasslane'!N28)</f>
        <v>0</v>
      </c>
      <c r="O28" s="302">
        <f>'2ndBypasslane'!O28</f>
        <v>0</v>
      </c>
      <c r="P28" s="302">
        <f>'2ndBypasslane'!P28</f>
        <v>0</v>
      </c>
      <c r="Q28" s="79"/>
      <c r="R28" s="79"/>
      <c r="S28" s="30"/>
      <c r="T28" s="22"/>
      <c r="U28" s="639" t="s">
        <v>13</v>
      </c>
      <c r="V28" s="214" t="s">
        <v>3</v>
      </c>
      <c r="W28" s="154">
        <f>ROUND(IF(M11=0,0,M28/M11),3)</f>
        <v>0</v>
      </c>
      <c r="X28" s="154">
        <f t="shared" ref="X28:Z31" si="3">ROUND(IF(N10=0,0,N28/N10),3)</f>
        <v>0</v>
      </c>
      <c r="Y28" s="154">
        <f t="shared" si="3"/>
        <v>0</v>
      </c>
      <c r="Z28" s="154">
        <f t="shared" si="3"/>
        <v>0</v>
      </c>
    </row>
    <row r="29" spans="1:26" ht="13.15" customHeight="1" x14ac:dyDescent="0.2">
      <c r="E29" s="76"/>
      <c r="F29" s="76"/>
      <c r="G29" s="76"/>
      <c r="H29" s="76"/>
      <c r="I29" s="76"/>
      <c r="K29" s="640"/>
      <c r="L29" s="112" t="s">
        <v>4</v>
      </c>
      <c r="M29" s="302">
        <f>'2ndBypasslane'!M29</f>
        <v>0</v>
      </c>
      <c r="N29" s="302">
        <f>'2ndBypasslane'!N29</f>
        <v>0</v>
      </c>
      <c r="O29" s="302">
        <f>IF($E$17="South",0,'2ndBypasslane'!O29)</f>
        <v>0</v>
      </c>
      <c r="P29" s="302">
        <f>'2ndBypasslane'!P29</f>
        <v>0</v>
      </c>
      <c r="Q29" s="79"/>
      <c r="R29" s="79"/>
      <c r="U29" s="640"/>
      <c r="V29" s="214" t="s">
        <v>4</v>
      </c>
      <c r="W29" s="154">
        <f>ROUND(IF(M11=0,0,M29/M11),3)</f>
        <v>0</v>
      </c>
      <c r="X29" s="154">
        <f t="shared" si="3"/>
        <v>0</v>
      </c>
      <c r="Y29" s="154">
        <f t="shared" si="3"/>
        <v>0</v>
      </c>
      <c r="Z29" s="154">
        <f t="shared" si="3"/>
        <v>0</v>
      </c>
    </row>
    <row r="30" spans="1:26" ht="13.15" customHeight="1" x14ac:dyDescent="0.2">
      <c r="E30" s="17"/>
      <c r="F30" s="17"/>
      <c r="G30" s="17"/>
      <c r="H30" s="17"/>
      <c r="I30" s="17"/>
      <c r="K30" s="640"/>
      <c r="L30" s="112" t="s">
        <v>5</v>
      </c>
      <c r="M30" s="302">
        <f>'2ndBypasslane'!M30</f>
        <v>0</v>
      </c>
      <c r="N30" s="302">
        <f>'2ndBypasslane'!N30</f>
        <v>0</v>
      </c>
      <c r="O30" s="302">
        <f>'2ndBypasslane'!O30</f>
        <v>0</v>
      </c>
      <c r="P30" s="302">
        <f>IF($E$17="West",0,'2ndBypasslane'!P30)</f>
        <v>0</v>
      </c>
      <c r="Q30" s="79"/>
      <c r="R30" s="79"/>
      <c r="U30" s="640"/>
      <c r="V30" s="214" t="s">
        <v>5</v>
      </c>
      <c r="W30" s="154">
        <f>ROUND(IF(M12=0,0,M29/M12),3)</f>
        <v>0</v>
      </c>
      <c r="X30" s="154">
        <f t="shared" si="3"/>
        <v>0</v>
      </c>
      <c r="Y30" s="154">
        <f t="shared" si="3"/>
        <v>0</v>
      </c>
      <c r="Z30" s="154">
        <f t="shared" si="3"/>
        <v>0</v>
      </c>
    </row>
    <row r="31" spans="1:26" ht="13.15" customHeight="1" thickBot="1" x14ac:dyDescent="0.25">
      <c r="E31" s="79"/>
      <c r="F31" s="79"/>
      <c r="G31" s="79"/>
      <c r="I31" s="79"/>
      <c r="K31" s="641"/>
      <c r="L31" s="113" t="s">
        <v>55</v>
      </c>
      <c r="M31" s="302">
        <f>IF($E$17="North",0,'2ndBypasslane'!M31)</f>
        <v>0</v>
      </c>
      <c r="N31" s="302">
        <f>'2ndBypasslane'!N31</f>
        <v>0</v>
      </c>
      <c r="O31" s="302">
        <f>'2ndBypasslane'!O31</f>
        <v>0</v>
      </c>
      <c r="P31" s="302">
        <f>'2ndBypasslane'!P31</f>
        <v>0</v>
      </c>
      <c r="Q31" s="79"/>
      <c r="R31" s="79"/>
      <c r="U31" s="641"/>
      <c r="V31" s="116" t="s">
        <v>55</v>
      </c>
      <c r="W31" s="154">
        <f>ROUND(IF(M13=0,0,M30/M13),3)</f>
        <v>0</v>
      </c>
      <c r="X31" s="154">
        <f t="shared" si="3"/>
        <v>0</v>
      </c>
      <c r="Y31" s="154">
        <f t="shared" si="3"/>
        <v>0</v>
      </c>
      <c r="Z31" s="154">
        <f t="shared" si="3"/>
        <v>0</v>
      </c>
    </row>
    <row r="32" spans="1:26" ht="13.15" customHeight="1" x14ac:dyDescent="0.2">
      <c r="E32" s="72"/>
      <c r="F32" s="72"/>
      <c r="G32" s="72"/>
      <c r="H32" s="72"/>
      <c r="I32" s="72"/>
      <c r="K32" s="80" t="s">
        <v>45</v>
      </c>
      <c r="L32" s="83"/>
      <c r="M32" s="108"/>
      <c r="N32" s="104" t="s">
        <v>12</v>
      </c>
      <c r="O32" s="103"/>
      <c r="P32" s="105"/>
      <c r="Q32" s="75"/>
      <c r="R32" s="75"/>
      <c r="U32" s="80" t="s">
        <v>24</v>
      </c>
      <c r="V32" s="83"/>
      <c r="W32" s="83"/>
      <c r="X32" s="84" t="s">
        <v>12</v>
      </c>
      <c r="Y32" s="83"/>
      <c r="Z32" s="71"/>
    </row>
    <row r="33" spans="1:29" ht="13.15" customHeight="1" thickBot="1" x14ac:dyDescent="0.3">
      <c r="A33" s="125"/>
      <c r="B33" s="124" t="s">
        <v>104</v>
      </c>
      <c r="C33" s="125"/>
      <c r="D33" s="125"/>
      <c r="E33" s="126"/>
      <c r="F33" s="126"/>
      <c r="G33" s="126"/>
      <c r="H33" s="126"/>
      <c r="I33" s="126"/>
      <c r="J33" s="125"/>
      <c r="K33" s="69" t="s">
        <v>57</v>
      </c>
      <c r="L33" s="81"/>
      <c r="M33" s="206" t="s">
        <v>3</v>
      </c>
      <c r="N33" s="207" t="s">
        <v>4</v>
      </c>
      <c r="O33" s="207" t="s">
        <v>5</v>
      </c>
      <c r="P33" s="208" t="s">
        <v>55</v>
      </c>
      <c r="Q33" s="76"/>
      <c r="R33" s="76"/>
      <c r="U33" s="212" t="s">
        <v>141</v>
      </c>
      <c r="V33" s="81"/>
      <c r="W33" s="209" t="s">
        <v>3</v>
      </c>
      <c r="X33" s="209" t="s">
        <v>4</v>
      </c>
      <c r="Y33" s="209" t="s">
        <v>5</v>
      </c>
      <c r="Z33" s="210" t="s">
        <v>55</v>
      </c>
      <c r="AC33" s="372" t="s">
        <v>90</v>
      </c>
    </row>
    <row r="34" spans="1:29" ht="13.15" customHeight="1" thickTop="1" x14ac:dyDescent="0.25">
      <c r="A34" s="342" t="s">
        <v>145</v>
      </c>
      <c r="E34" s="72"/>
      <c r="F34" s="72"/>
      <c r="G34" s="72"/>
      <c r="H34" s="72"/>
      <c r="I34" s="72"/>
      <c r="K34" s="639" t="s">
        <v>13</v>
      </c>
      <c r="L34" s="112" t="s">
        <v>3</v>
      </c>
      <c r="M34" s="302">
        <f>'2ndBypasslane'!M34</f>
        <v>0</v>
      </c>
      <c r="N34" s="302">
        <f>IF($E$17="East",0,'2ndBypasslane'!N34)</f>
        <v>0</v>
      </c>
      <c r="O34" s="302">
        <f>'2ndBypasslane'!O34</f>
        <v>0</v>
      </c>
      <c r="P34" s="302">
        <f>'2ndBypasslane'!P34</f>
        <v>0</v>
      </c>
      <c r="Q34" s="79"/>
      <c r="R34" s="79"/>
      <c r="S34" s="30"/>
      <c r="T34" s="22"/>
      <c r="U34" s="639" t="s">
        <v>13</v>
      </c>
      <c r="V34" s="214" t="s">
        <v>3</v>
      </c>
      <c r="W34" s="154">
        <f t="shared" ref="W34:Z37" si="4">ROUND(IF(M10=0,0,M34/M10),3)</f>
        <v>0</v>
      </c>
      <c r="X34" s="154">
        <f t="shared" si="4"/>
        <v>0</v>
      </c>
      <c r="Y34" s="154">
        <f t="shared" si="4"/>
        <v>0</v>
      </c>
      <c r="Z34" s="154">
        <f t="shared" si="4"/>
        <v>0</v>
      </c>
      <c r="AC34" s="372" t="s">
        <v>89</v>
      </c>
    </row>
    <row r="35" spans="1:29" ht="13.15" customHeight="1" x14ac:dyDescent="0.25">
      <c r="A35" s="342" t="s">
        <v>123</v>
      </c>
      <c r="E35" s="72"/>
      <c r="F35" s="72"/>
      <c r="G35" s="72"/>
      <c r="H35" s="72"/>
      <c r="I35" s="72"/>
      <c r="K35" s="640"/>
      <c r="L35" s="112" t="s">
        <v>4</v>
      </c>
      <c r="M35" s="302">
        <f>'2ndBypasslane'!M35</f>
        <v>0</v>
      </c>
      <c r="N35" s="302">
        <f>'2ndBypasslane'!N35</f>
        <v>0</v>
      </c>
      <c r="O35" s="302">
        <f>IF($E$17="South",0,'2ndBypasslane'!O35)</f>
        <v>0</v>
      </c>
      <c r="P35" s="302">
        <f>'2ndBypasslane'!P35</f>
        <v>0</v>
      </c>
      <c r="Q35" s="79"/>
      <c r="R35" s="79"/>
      <c r="U35" s="640"/>
      <c r="V35" s="214" t="s">
        <v>4</v>
      </c>
      <c r="W35" s="154">
        <f t="shared" si="4"/>
        <v>0</v>
      </c>
      <c r="X35" s="154">
        <f t="shared" si="4"/>
        <v>0</v>
      </c>
      <c r="Y35" s="154">
        <f t="shared" si="4"/>
        <v>0</v>
      </c>
      <c r="Z35" s="154">
        <f t="shared" si="4"/>
        <v>0</v>
      </c>
      <c r="AC35" s="372" t="s">
        <v>91</v>
      </c>
    </row>
    <row r="36" spans="1:29" ht="13.15" customHeight="1" x14ac:dyDescent="0.25">
      <c r="A36" s="342" t="s">
        <v>108</v>
      </c>
      <c r="E36" s="72"/>
      <c r="F36" s="72"/>
      <c r="G36" s="72"/>
      <c r="H36" s="72"/>
      <c r="I36" s="72"/>
      <c r="K36" s="640"/>
      <c r="L36" s="112" t="s">
        <v>5</v>
      </c>
      <c r="M36" s="302">
        <f>'2ndBypasslane'!M36</f>
        <v>0</v>
      </c>
      <c r="N36" s="302">
        <f>'2ndBypasslane'!N36</f>
        <v>0</v>
      </c>
      <c r="O36" s="302">
        <f>'2ndBypasslane'!O36</f>
        <v>0</v>
      </c>
      <c r="P36" s="302">
        <f>IF($E$17="West",0,'2ndBypasslane'!P36)</f>
        <v>0</v>
      </c>
      <c r="Q36" s="79"/>
      <c r="R36" s="79"/>
      <c r="U36" s="640"/>
      <c r="V36" s="214" t="s">
        <v>5</v>
      </c>
      <c r="W36" s="154">
        <f t="shared" si="4"/>
        <v>0</v>
      </c>
      <c r="X36" s="154">
        <f t="shared" si="4"/>
        <v>0</v>
      </c>
      <c r="Y36" s="154">
        <f t="shared" si="4"/>
        <v>0</v>
      </c>
      <c r="Z36" s="154">
        <f t="shared" si="4"/>
        <v>0</v>
      </c>
      <c r="AC36" s="372" t="s">
        <v>86</v>
      </c>
    </row>
    <row r="37" spans="1:29" ht="13.15" customHeight="1" thickBot="1" x14ac:dyDescent="0.25">
      <c r="A37" s="343" t="s">
        <v>109</v>
      </c>
      <c r="E37" s="72"/>
      <c r="F37" s="72"/>
      <c r="G37" s="72"/>
      <c r="H37" s="72"/>
      <c r="I37" s="72"/>
      <c r="K37" s="641"/>
      <c r="L37" s="113" t="s">
        <v>55</v>
      </c>
      <c r="M37" s="302">
        <f>IF($E$17="North",0,'2ndBypasslane'!M37)</f>
        <v>0</v>
      </c>
      <c r="N37" s="302">
        <f>'2ndBypasslane'!N37</f>
        <v>0</v>
      </c>
      <c r="O37" s="302">
        <f>'2ndBypasslane'!O37</f>
        <v>0</v>
      </c>
      <c r="P37" s="302">
        <f>'2ndBypasslane'!P37</f>
        <v>0</v>
      </c>
      <c r="Q37" s="79"/>
      <c r="R37" s="79"/>
      <c r="U37" s="641"/>
      <c r="V37" s="116" t="s">
        <v>55</v>
      </c>
      <c r="W37" s="154">
        <f t="shared" si="4"/>
        <v>0</v>
      </c>
      <c r="X37" s="154">
        <f t="shared" si="4"/>
        <v>0</v>
      </c>
      <c r="Y37" s="154">
        <f t="shared" si="4"/>
        <v>0</v>
      </c>
      <c r="Z37" s="154">
        <f t="shared" si="4"/>
        <v>0</v>
      </c>
    </row>
    <row r="38" spans="1:29" ht="13.15" customHeight="1" thickBot="1" x14ac:dyDescent="0.25">
      <c r="A38" s="343" t="s">
        <v>110</v>
      </c>
      <c r="E38" s="72"/>
      <c r="F38" s="72"/>
      <c r="G38" s="72"/>
      <c r="H38" s="72"/>
      <c r="I38" s="72"/>
      <c r="K38" s="438" t="s">
        <v>56</v>
      </c>
      <c r="L38" s="439"/>
      <c r="M38" s="440"/>
      <c r="N38" s="104" t="s">
        <v>12</v>
      </c>
      <c r="O38" s="441"/>
      <c r="P38" s="442"/>
      <c r="Q38" s="79"/>
    </row>
    <row r="39" spans="1:29" ht="13.15" customHeight="1" thickBot="1" x14ac:dyDescent="0.25">
      <c r="A39" s="343" t="s">
        <v>111</v>
      </c>
      <c r="E39" s="72"/>
      <c r="F39" s="72"/>
      <c r="G39" s="72"/>
      <c r="H39" s="72"/>
      <c r="I39" s="72"/>
      <c r="K39" s="139" t="s">
        <v>31</v>
      </c>
      <c r="L39" s="443"/>
      <c r="M39" s="206" t="s">
        <v>3</v>
      </c>
      <c r="N39" s="207" t="s">
        <v>4</v>
      </c>
      <c r="O39" s="207" t="s">
        <v>5</v>
      </c>
      <c r="P39" s="208" t="s">
        <v>55</v>
      </c>
      <c r="Q39" s="79"/>
      <c r="R39" s="117" t="s">
        <v>43</v>
      </c>
      <c r="S39" s="118"/>
      <c r="T39" s="118"/>
      <c r="U39" s="118"/>
      <c r="V39" s="121"/>
      <c r="W39" s="83"/>
      <c r="X39" s="84" t="s">
        <v>12</v>
      </c>
      <c r="Y39" s="83"/>
      <c r="Z39" s="71"/>
    </row>
    <row r="40" spans="1:29" ht="13.15" customHeight="1" thickTop="1" thickBot="1" x14ac:dyDescent="0.25">
      <c r="E40" s="72"/>
      <c r="F40" s="72"/>
      <c r="G40" s="72"/>
      <c r="H40" s="72"/>
      <c r="I40" s="72"/>
      <c r="K40" s="647" t="s">
        <v>13</v>
      </c>
      <c r="L40" s="231" t="s">
        <v>3</v>
      </c>
      <c r="M40" s="236">
        <f t="shared" ref="M40:P43" si="5">ROUND(IF(W16=0,0,W10/(W16)),0)</f>
        <v>0</v>
      </c>
      <c r="N40" s="236">
        <f t="shared" si="5"/>
        <v>0</v>
      </c>
      <c r="O40" s="236">
        <f t="shared" si="5"/>
        <v>0</v>
      </c>
      <c r="P40" s="237">
        <f t="shared" si="5"/>
        <v>0</v>
      </c>
      <c r="R40" s="114"/>
      <c r="S40" s="119"/>
      <c r="T40" s="119"/>
      <c r="U40" s="119"/>
      <c r="V40" s="120"/>
      <c r="W40" s="209" t="s">
        <v>3</v>
      </c>
      <c r="X40" s="209" t="s">
        <v>4</v>
      </c>
      <c r="Y40" s="209" t="s">
        <v>5</v>
      </c>
      <c r="Z40" s="210" t="s">
        <v>55</v>
      </c>
    </row>
    <row r="41" spans="1:29" ht="13.15" customHeight="1" thickTop="1" thickBot="1" x14ac:dyDescent="0.35">
      <c r="A41" s="125"/>
      <c r="B41" s="124" t="s">
        <v>103</v>
      </c>
      <c r="C41" s="125"/>
      <c r="D41" s="125"/>
      <c r="E41" s="126"/>
      <c r="F41" s="126"/>
      <c r="G41" s="126"/>
      <c r="H41" s="126"/>
      <c r="I41" s="126"/>
      <c r="J41" s="125"/>
      <c r="K41" s="640"/>
      <c r="L41" s="231" t="s">
        <v>4</v>
      </c>
      <c r="M41" s="236">
        <f t="shared" si="5"/>
        <v>0</v>
      </c>
      <c r="N41" s="236">
        <f t="shared" si="5"/>
        <v>0</v>
      </c>
      <c r="O41" s="236">
        <f t="shared" si="5"/>
        <v>0</v>
      </c>
      <c r="P41" s="237">
        <f t="shared" si="5"/>
        <v>0</v>
      </c>
      <c r="Q41" s="76"/>
      <c r="R41" s="96" t="s">
        <v>137</v>
      </c>
      <c r="S41" s="89"/>
      <c r="T41" s="89"/>
      <c r="U41" s="89"/>
      <c r="V41" s="163" t="s">
        <v>33</v>
      </c>
      <c r="W41" s="162" t="e">
        <f>ROUND(M45*M49*W44,0)</f>
        <v>#DIV/0!</v>
      </c>
      <c r="X41" s="162" t="e">
        <f>ROUND(N45*N49*X44,0)</f>
        <v>#DIV/0!</v>
      </c>
      <c r="Y41" s="162" t="e">
        <f>ROUND(O45*O49*Y44,0)</f>
        <v>#DIV/0!</v>
      </c>
      <c r="Z41" s="169" t="e">
        <f>ROUND(P45*P49*Z44,0)</f>
        <v>#DIV/0!</v>
      </c>
    </row>
    <row r="42" spans="1:29" ht="13.15" customHeight="1" thickTop="1" x14ac:dyDescent="0.3">
      <c r="A42" s="342" t="s">
        <v>105</v>
      </c>
      <c r="E42" s="72"/>
      <c r="F42" s="72"/>
      <c r="G42" s="72"/>
      <c r="H42" s="72"/>
      <c r="I42" s="72"/>
      <c r="K42" s="640"/>
      <c r="L42" s="231" t="s">
        <v>5</v>
      </c>
      <c r="M42" s="236">
        <f t="shared" si="5"/>
        <v>0</v>
      </c>
      <c r="N42" s="236">
        <f t="shared" si="5"/>
        <v>0</v>
      </c>
      <c r="O42" s="236">
        <f t="shared" si="5"/>
        <v>0</v>
      </c>
      <c r="P42" s="237">
        <f t="shared" si="5"/>
        <v>0</v>
      </c>
      <c r="R42" s="96" t="s">
        <v>72</v>
      </c>
      <c r="S42" s="89"/>
      <c r="T42" s="89"/>
      <c r="U42" s="89"/>
      <c r="V42" s="63" t="s">
        <v>31</v>
      </c>
      <c r="W42" s="162" t="e">
        <f>ROUND(M44*M47,0)</f>
        <v>#DIV/0!</v>
      </c>
      <c r="X42" s="162" t="e">
        <f>ROUND(N44*N47,0)</f>
        <v>#DIV/0!</v>
      </c>
      <c r="Y42" s="162" t="e">
        <f>ROUND(O44*O47,0)</f>
        <v>#DIV/0!</v>
      </c>
      <c r="Z42" s="169" t="e">
        <f>ROUND(P44*P47,0)</f>
        <v>#DIV/0!</v>
      </c>
    </row>
    <row r="43" spans="1:29" ht="13.15" customHeight="1" thickBot="1" x14ac:dyDescent="0.35">
      <c r="A43" s="343" t="s">
        <v>114</v>
      </c>
      <c r="E43" s="73"/>
      <c r="F43" s="73"/>
      <c r="G43" s="73"/>
      <c r="H43" s="73"/>
      <c r="I43" s="73"/>
      <c r="K43" s="641"/>
      <c r="L43" s="232" t="s">
        <v>55</v>
      </c>
      <c r="M43" s="238">
        <f t="shared" si="5"/>
        <v>0</v>
      </c>
      <c r="N43" s="238">
        <f t="shared" si="5"/>
        <v>0</v>
      </c>
      <c r="O43" s="238">
        <f t="shared" si="5"/>
        <v>0</v>
      </c>
      <c r="P43" s="239">
        <f t="shared" si="5"/>
        <v>0</v>
      </c>
      <c r="R43" s="369" t="s">
        <v>66</v>
      </c>
      <c r="S43" s="89"/>
      <c r="T43" s="89"/>
      <c r="U43" s="89"/>
      <c r="V43" s="164" t="s">
        <v>37</v>
      </c>
      <c r="W43" s="170" t="e">
        <f>ROUND((Input!$P$48*EXP((-1*Input!$P$49)*M45))*M47*W44,0)</f>
        <v>#DIV/0!</v>
      </c>
      <c r="X43" s="170" t="e">
        <f>ROUND((Input!$P$48*EXP((-1*Input!$P$49)*N45))*N47*X44,0)</f>
        <v>#DIV/0!</v>
      </c>
      <c r="Y43" s="170" t="e">
        <f>ROUND((Input!$P$48*EXP((-1*Input!$P$49)*O45))*O47*Y44,0)</f>
        <v>#DIV/0!</v>
      </c>
      <c r="Z43" s="171" t="e">
        <f>ROUND((Input!$P$48*EXP((-1*Input!$P$49)*P45))*P47*Z44,0)</f>
        <v>#DIV/0!</v>
      </c>
    </row>
    <row r="44" spans="1:29" ht="13.15" customHeight="1" thickBot="1" x14ac:dyDescent="0.25">
      <c r="A44" s="343" t="s">
        <v>112</v>
      </c>
      <c r="E44" s="76"/>
      <c r="F44" s="76"/>
      <c r="G44" s="76"/>
      <c r="H44" s="76"/>
      <c r="I44" s="76"/>
      <c r="K44" s="269" t="s">
        <v>67</v>
      </c>
      <c r="L44" s="270"/>
      <c r="M44" s="266">
        <f>SUM(M40:M43)</f>
        <v>0</v>
      </c>
      <c r="N44" s="267">
        <f>SUM(N40:N43)</f>
        <v>0</v>
      </c>
      <c r="O44" s="267">
        <f>SUM(O40:O43)</f>
        <v>0</v>
      </c>
      <c r="P44" s="268">
        <f>SUM(P40:P43)</f>
        <v>0</v>
      </c>
      <c r="R44" s="96" t="s">
        <v>102</v>
      </c>
      <c r="S44" s="89"/>
      <c r="T44" s="89"/>
      <c r="U44" s="89"/>
      <c r="V44" s="165" t="s">
        <v>51</v>
      </c>
      <c r="W44" s="162">
        <f>ROUND(IF(M45&gt;881,1,IF(W7&lt;=101,1-(0.000137*(W7)),(1119.5-(0.715*M45)-(0.644*W7)+(0.00073*M45*W7))/((1068.6-(0.654*M45))))),3)</f>
        <v>1</v>
      </c>
      <c r="X44" s="162">
        <f>ROUND(IF(N45&gt;881,1,IF(X7&lt;=101,1-(0.000137*(X7)),(1119.5-(0.715*N45)-(0.644*X7)+(0.00073*N45*X7))/((1068.6-(0.654*N45))))),3)</f>
        <v>1</v>
      </c>
      <c r="Y44" s="162">
        <f>ROUND(IF(O45&gt;881,1,IF(Y7&lt;=101,1-(0.000137*(Y7)),(1119.5-(0.715*O45)-(0.644*Y7)+(0.00073*O45*Y7))/((1068.6-(0.654*O45))))),3)</f>
        <v>1</v>
      </c>
      <c r="Z44" s="169">
        <f>ROUND(IF(P45&gt;881,1,IF(Z7&lt;=101,1-(0.000137*(Z7)),(1119.5-(0.715*P45)-(0.644*Z7)+(0.00073*P45*Z7))/((1068.6-(0.654*P45))))),3)</f>
        <v>1</v>
      </c>
    </row>
    <row r="45" spans="1:29" ht="13.15" customHeight="1" thickBot="1" x14ac:dyDescent="0.25">
      <c r="A45" s="343" t="s">
        <v>113</v>
      </c>
      <c r="E45" s="72"/>
      <c r="F45" s="72"/>
      <c r="G45" s="72"/>
      <c r="H45" s="72"/>
      <c r="I45" s="72"/>
      <c r="K45" s="312" t="s">
        <v>134</v>
      </c>
      <c r="L45" s="313"/>
      <c r="M45" s="307">
        <f>N41+N42+N43+O42+O43+P43</f>
        <v>0</v>
      </c>
      <c r="N45" s="307">
        <f>O40+O42+O43+P40+P43+M40</f>
        <v>0</v>
      </c>
      <c r="O45" s="307">
        <f>P40+P41+P43+M40+M41+N41</f>
        <v>0</v>
      </c>
      <c r="P45" s="308">
        <f>M40+M41+M42+N41+N42+O42</f>
        <v>0</v>
      </c>
      <c r="R45" s="285" t="s">
        <v>6</v>
      </c>
      <c r="S45" s="89"/>
      <c r="T45" s="89"/>
      <c r="U45" s="89"/>
      <c r="V45" s="248" t="s">
        <v>36</v>
      </c>
      <c r="W45" s="249" t="e">
        <f>ROUND((W42)/(W43),2)</f>
        <v>#DIV/0!</v>
      </c>
      <c r="X45" s="249" t="e">
        <f t="shared" ref="X45:Z45" si="6">ROUND((X42)/(X43),2)</f>
        <v>#DIV/0!</v>
      </c>
      <c r="Y45" s="249" t="e">
        <f t="shared" si="6"/>
        <v>#DIV/0!</v>
      </c>
      <c r="Z45" s="247" t="e">
        <f t="shared" si="6"/>
        <v>#DIV/0!</v>
      </c>
    </row>
    <row r="46" spans="1:29" ht="13.15" customHeight="1" thickBot="1" x14ac:dyDescent="0.25">
      <c r="E46" s="74"/>
      <c r="F46" s="74"/>
      <c r="G46" s="74"/>
      <c r="H46" s="74"/>
      <c r="I46" s="74"/>
      <c r="K46" s="444" t="s">
        <v>185</v>
      </c>
      <c r="L46" s="445"/>
      <c r="M46" s="315" t="e">
        <f>IF($E$17="North",IF($B$59=7,(0*$D$49+W46*W42)/($D$49+W42),($D$51*$D$49+W46*W42)/($D$49+W42)),'2ndBypasslane'!M46)</f>
        <v>#DIV/0!</v>
      </c>
      <c r="N46" s="315">
        <f>IF($E$17="East",IF($B$59=7,(0*$D$49+X46*X42)/($D$49+X42),($D$51*$D$49+X46*X42)/($D$49+X42)),'2ndBypasslane'!N46)</f>
        <v>0</v>
      </c>
      <c r="O46" s="315" t="e">
        <f>IF($E$17="South",IF($B$59=7,(0*$D$49+Y46*Y42)/($D$49+Y42),($D$51*$D$49+Y46*Y42)/($D$49+Y42)),'2ndBypasslane'!O46)</f>
        <v>#DIV/0!</v>
      </c>
      <c r="P46" s="315" t="e">
        <f>IF($E$17="West",IF($B$59=7,(0*$D$49+Z46*Z42)/($D$49+Z42),($D$51*$D$49+Z46*Z42)/($D$49+Z42)),'2ndBypasslane'!P46)</f>
        <v>#DIV/0!</v>
      </c>
      <c r="R46" s="282" t="s">
        <v>149</v>
      </c>
      <c r="S46" s="89"/>
      <c r="T46" s="89"/>
      <c r="U46" s="89"/>
      <c r="V46" s="138" t="s">
        <v>38</v>
      </c>
      <c r="W46" s="172" t="e">
        <f>ROUND((3600/(W43))+((900*$X$3)*(W45-1+((W45-1)^2+((3600/(W43))*W45)/(450*$X$3))^(1/2)))+(5*MIN(W45,1)),1)</f>
        <v>#DIV/0!</v>
      </c>
      <c r="X46" s="172" t="e">
        <f>ROUND((3600/(X43))+((900*$X$3)*(X45-1+((X45-1)^2+((3600/(X43))*X45)/(450*$X$3))^(1/2)))+(5*MIN(X45,1)),1)</f>
        <v>#DIV/0!</v>
      </c>
      <c r="Y46" s="172" t="e">
        <f>ROUND((3600/(Y43))+((900*$X$3)*(Y45-1+((Y45-1)^2+((3600/(Y43))*Y45)/(450*$X$3))^(1/2)))+(5*MIN(Y45,1)),1)</f>
        <v>#DIV/0!</v>
      </c>
      <c r="Z46" s="173" t="e">
        <f>ROUND((3600/(Z43))+((900*$X$3)*(Z45-1+((Z45-1)^2+((3600/(Z43))*Z45)/(450*$X$3))^(1/2)))+(5*MIN(Z45,1)),1)</f>
        <v>#DIV/0!</v>
      </c>
    </row>
    <row r="47" spans="1:29" ht="13.15" customHeight="1" thickBot="1" x14ac:dyDescent="0.25">
      <c r="D47" s="97">
        <f>ROUND((Input!$P$51*EXP((-1*Input!$P$52)*IF(E17="South",Singlelane!B48,IF(E17="North",Singlelane!B50,IF(E17="East",Singlelane!B47,Singlelane!B49))))),0)</f>
        <v>1130</v>
      </c>
      <c r="E47" s="132" t="s">
        <v>60</v>
      </c>
      <c r="F47" s="72"/>
      <c r="G47" s="133"/>
      <c r="H47" s="72"/>
      <c r="I47" s="72"/>
      <c r="K47" s="317" t="s">
        <v>150</v>
      </c>
      <c r="L47" s="381"/>
      <c r="M47" s="309" t="e">
        <f>ROUND(1/(1+(((M22+M23+M24+M25)/(M10+M11+M12+M13))*($Q$2-1))+(((M28+M29+M30+M31)/(M10+M11+M12+M13))*($Q$3-1))+(((M34+M35+M36+M37)/(M10+M11+M12+M13))*($Q$4-1))),3)</f>
        <v>#DIV/0!</v>
      </c>
      <c r="N47" s="309" t="e">
        <f>ROUND(1/(1+(((N22+N23+N24+N25)/(N10+N11+N12+N13))*($Q$2-1))+(((N28+N29+N30+N31)/(N10+N11+N12+N13))*($Q$3-1))+(((N34+N35+N36+N37)/(N10+N11+N12+N13))*($Q$4-1))),3)</f>
        <v>#DIV/0!</v>
      </c>
      <c r="O47" s="309" t="e">
        <f>ROUND(1/(1+(((O22+O23+O24+O25)/(O10+O11+O12+O13))*($Q$2-1))+(((O28+O29+O30+O31)/(O10+O11+O12+O13))*($Q$3-1))+(((O34+O35+O36+O37)/(O10+O11+O12+O13))*($Q$4-1))),3)</f>
        <v>#DIV/0!</v>
      </c>
      <c r="P47" s="310" t="e">
        <f>ROUND(1/(1+(((P22+P23+P24+P25)/(P10+P11+P12+P13))*($Q$2-1))+(((P28+P29+P30+P31)/(P10+P11+P12+P13))*($Q$3-1))+(((P34+P35+P36+P37)/(P10+P11+P12+P13))*($Q$4-1))),3)</f>
        <v>#DIV/0!</v>
      </c>
      <c r="R47" s="92" t="s">
        <v>7</v>
      </c>
      <c r="S47" s="90"/>
      <c r="T47" s="90"/>
      <c r="U47" s="90"/>
      <c r="V47" s="166" t="s">
        <v>34</v>
      </c>
      <c r="W47" s="174" t="e">
        <f>IF(W45&gt;1,"F",IF(W46&gt;50,"F",IF(W46&gt;35,"E",IF(W46&gt;25,"D",IF(W46&gt;15,"C",IF(W46&gt;10,"B","A"))))))</f>
        <v>#DIV/0!</v>
      </c>
      <c r="X47" s="174" t="e">
        <f t="shared" ref="X47:Z47" si="7">IF(X45&gt;1,"F",IF(X46&gt;50,"F",IF(X46&gt;35,"E",IF(X46&gt;25,"D",IF(X46&gt;15,"C",IF(X46&gt;10,"B","A"))))))</f>
        <v>#DIV/0!</v>
      </c>
      <c r="Y47" s="174" t="e">
        <f t="shared" si="7"/>
        <v>#DIV/0!</v>
      </c>
      <c r="Z47" s="175" t="e">
        <f t="shared" si="7"/>
        <v>#DIV/0!</v>
      </c>
    </row>
    <row r="48" spans="1:29" ht="13.15" customHeight="1" thickBot="1" x14ac:dyDescent="0.25">
      <c r="A48" s="335" t="s">
        <v>65</v>
      </c>
      <c r="C48" s="342" t="s">
        <v>61</v>
      </c>
      <c r="D48" s="97">
        <f>ROUND(D47*(IF(E17="South",'2ndBypasslane'!Y17*'2ndBypasslane'!Y44,IF(E17="North",'2ndBypasslane'!W19*'2ndBypasslane'!W44,IF(E17="East",'2ndBypasslane'!X16*'2ndBypasslane'!X16,'2ndBypasslane'!Z18*'2ndBypasslane'!Z44)))),0)</f>
        <v>1130</v>
      </c>
      <c r="E48" s="335" t="s">
        <v>63</v>
      </c>
      <c r="G48" s="134"/>
      <c r="K48" s="318" t="s">
        <v>183</v>
      </c>
      <c r="L48" s="384"/>
      <c r="M48" s="385">
        <f>Bypasslane!M48</f>
        <v>0</v>
      </c>
      <c r="N48" s="385">
        <f>Bypasslane!N48</f>
        <v>0</v>
      </c>
      <c r="O48" s="385">
        <f>Bypasslane!O48</f>
        <v>0</v>
      </c>
      <c r="P48" s="386">
        <f>Bypasslane!P48</f>
        <v>0</v>
      </c>
      <c r="R48" s="253" t="s">
        <v>173</v>
      </c>
      <c r="S48" s="93"/>
      <c r="T48" s="93"/>
      <c r="U48" s="127"/>
      <c r="V48" s="167" t="s">
        <v>147</v>
      </c>
      <c r="W48" s="176" t="e">
        <f>ROUND(((900*$X$3)*(W45-1+((1-W45)^2+((3600/(W43))*W45)/(150*$X$3))^(1/2)))*(W43/3600),0)</f>
        <v>#DIV/0!</v>
      </c>
      <c r="X48" s="176" t="e">
        <f>ROUND(((900*$X$3)*(X45-1+((1-X45)^2+((3600/(X43))*X45)/(150*$X$3))^(1/2)))*(X43/3600),0)</f>
        <v>#DIV/0!</v>
      </c>
      <c r="Y48" s="176" t="e">
        <f>ROUND(((900*$X$3)*(Y45-1+((1-Y45)^2+((3600/(Y43))*Y45)/(150*$X$3))^(1/2)))*(Y43/3600),0)</f>
        <v>#DIV/0!</v>
      </c>
      <c r="Z48" s="289" t="e">
        <f>ROUND(((900*$X$3)*(Z45-1+((1-Z45)^2+((3600/(Z43))*Z45)/(150*$X$3))^(1/2)))*(Z43/3600),0)</f>
        <v>#DIV/0!</v>
      </c>
    </row>
    <row r="49" spans="1:32" ht="13.15" customHeight="1" thickBot="1" x14ac:dyDescent="0.25">
      <c r="A49" s="335" t="s">
        <v>64</v>
      </c>
      <c r="C49" s="342" t="s">
        <v>62</v>
      </c>
      <c r="D49" s="97">
        <f>ROUND(IF(E17="South",'2ndBypasslane'!Y11,IF(E17="North",'2ndBypasslane'!W13,IF(E17="East",'2ndBypasslane'!X10,'2ndBypasslane'!Z12))),0)</f>
        <v>0</v>
      </c>
      <c r="E49" s="335" t="s">
        <v>63</v>
      </c>
      <c r="G49" s="134"/>
      <c r="H49" s="342"/>
      <c r="K49" s="276" t="s">
        <v>146</v>
      </c>
      <c r="L49" s="446"/>
      <c r="M49" s="278" t="e">
        <f>ROUND(1/(1+(((P25+N23+N24+N25+O25+O24)/(P13+N11+N12+N13+O13+O12))*($Q$2-1))+(((P31+N29+N30+N31+O31+O30)/(P13+N11+N12+N13+O13+O12))*($Q$3-1))+(((P37+N35+N36+N37+O36+O37)/(P13+N11+N12+N13+O13+O12))*($Q$4-1))),3)</f>
        <v>#DIV/0!</v>
      </c>
      <c r="N49" s="278" t="e">
        <f>ROUND(1/(1+(((O22+O24+O25+P22+P25+M22)/(O10+O12+O13+P10+P13+M10))*($Q$2-1))+(((O28+O30+O31+P28+P31+M28)/(O10+O12+O13+P10+P13+M10))*($Q$3-1))+(((O34+O36+O37+P34+P37+M34)/(O10+O12+O13+P10+P13+M10))*($Q$4-1))),3)</f>
        <v>#DIV/0!</v>
      </c>
      <c r="O49" s="279" t="e">
        <f>ROUND(1/(1+(((P22+P23+P25+N23+M23+M22)/(P10+P11+P13+N11+M11+M10))*($Q$2-1))+(((P28+P29+P31+N29+M29+M28)/(P10+P11+P13+N11+M11+M10))*($Q$3-1))+(((P34+P35+P37+N35+M34+M35)/(P10+P11+P13+N11+M11+M10))*($Q$4-1))),3)</f>
        <v>#DIV/0!</v>
      </c>
      <c r="P49" s="280" t="e">
        <f>ROUND(1/(1+(((M22+M23+M24+N23+N24+O24)/(M10+M11+M12+N11+N12+O12))*($Q$2-1))+(((M28+M29+M30+N29+N30+O30)/(M10+M11+M12+N11+N12+O12))*($Q$3-1))+(((M34+M35+M36+N35+N36+O36)/(M10+M11+M12+N11+N12+O12))*($Q$4-1))),3)</f>
        <v>#DIV/0!</v>
      </c>
      <c r="Q49" s="73"/>
    </row>
    <row r="50" spans="1:32" ht="13.15" customHeight="1" thickBot="1" x14ac:dyDescent="0.25">
      <c r="A50" s="342" t="s">
        <v>69</v>
      </c>
      <c r="C50" s="342" t="s">
        <v>68</v>
      </c>
      <c r="D50" s="263">
        <f>ROUND(D49/D48,2)</f>
        <v>0</v>
      </c>
      <c r="G50" s="134"/>
      <c r="K50" s="319" t="s">
        <v>184</v>
      </c>
      <c r="L50" s="447"/>
      <c r="M50" s="448">
        <f>'2ndBypasslane'!M50</f>
        <v>0</v>
      </c>
      <c r="N50" s="448">
        <f>'2ndBypasslane'!N50</f>
        <v>0</v>
      </c>
      <c r="O50" s="448">
        <f>'2ndBypasslane'!O50</f>
        <v>0</v>
      </c>
      <c r="P50" s="448">
        <f>'2ndBypasslane'!P50</f>
        <v>0</v>
      </c>
      <c r="Q50" s="73"/>
      <c r="R50" s="281" t="s">
        <v>148</v>
      </c>
      <c r="S50" s="91"/>
      <c r="T50" s="91"/>
      <c r="U50" s="128"/>
      <c r="V50" s="452" t="s">
        <v>35</v>
      </c>
      <c r="W50" s="642" t="e">
        <f>IF(SUM(M10:M13)=0,((N54)*(X42+N48+N50+N51)+(O54)*(Y42+O48+O50+O51)+(P54)*(Z42+P48+P50+P51))/( X42+N48+N50+N51+Y42+O48+O50+O51+Z42+P48+P50+P51),IF(SUM(N10:N13)=0,((M54)*(W42+M48+M50+M51)+(O54)*(Y42+O48+O50+O51)+(P54)*(Z42+P48+P50+P51))/(W42+M48+M50+M51+Y42+O48+O50+O51+Z42+P48+P50+P51),IF(SUM(O10:O13)=0,((M54)*(W42+M48+M50+M51)+(N54)*(X42+N48+N50+N51)+(P54)*(Z42+P48+P50+P51))/(W42+M48+M50+M51+X42+N48+N50+N51+Z42+P48+P50+P51),IF(SUM(P10:P13)=0,((M54)*(W42+M48+M50+M51)+(N54)*(X42+N48+N50+N51)+(O54)*(Y42+O48+O50+O51))/(W42+M48+M50+M51+X42+N48+N50+M51+Y42+O48+O50+O51),((M54)*(W42+M48+M50+M51)+(N54)*(X42+N48+N50+N51)+(O54)*(Y42+O48+O50+O51)+(P54)*(Z42+P48+P50+P51))/(W42+M48+M50+M51+X42+N48+N50+N51+Y42+O48+O50+O51+Z42+P48+P50+P51)))))</f>
        <v>#DIV/0!</v>
      </c>
      <c r="X50" s="659"/>
      <c r="Y50" s="659"/>
      <c r="Z50" s="660"/>
    </row>
    <row r="51" spans="1:32" ht="13.15" customHeight="1" thickBot="1" x14ac:dyDescent="0.25">
      <c r="A51" s="342" t="s">
        <v>70</v>
      </c>
      <c r="D51" s="164">
        <f>ROUND((3600/(D48))+((900*Singlelane!$N$3)*(D50-1+((D50-1)^2+((3600/(D48))*D50)/(450*Singlelane!$N$3))^(1/2)))+(5*MIN(D50,1)),1)</f>
        <v>3.2</v>
      </c>
      <c r="E51" s="342" t="s">
        <v>71</v>
      </c>
      <c r="G51" s="134"/>
      <c r="K51" s="450" t="s">
        <v>221</v>
      </c>
      <c r="L51" s="451"/>
      <c r="M51" s="449">
        <f>IF($E$17="North",$D$49,0)</f>
        <v>0</v>
      </c>
      <c r="N51" s="321">
        <f>IF($E$17="East",$D$49,0)</f>
        <v>0</v>
      </c>
      <c r="O51" s="321">
        <f>IF($E$17="South",$D$49,0)</f>
        <v>0</v>
      </c>
      <c r="P51" s="321">
        <f>IF($E$17="West",$D$49,0)</f>
        <v>0</v>
      </c>
      <c r="Q51" s="73"/>
      <c r="R51" s="92" t="s">
        <v>40</v>
      </c>
      <c r="S51" s="90"/>
      <c r="T51" s="90"/>
      <c r="U51" s="129"/>
      <c r="V51" s="168" t="s">
        <v>34</v>
      </c>
      <c r="W51" s="629" t="e">
        <f>IF(W50&gt;50,"F",IF(W50&gt;35,"E",IF(W50&gt;25,"D",IF(W50&gt;15,"C",IF(W50&gt;10,"B","A")))))</f>
        <v>#DIV/0!</v>
      </c>
      <c r="X51" s="630"/>
      <c r="Y51" s="630"/>
      <c r="Z51" s="631"/>
    </row>
    <row r="52" spans="1:32" ht="13.15" customHeight="1" x14ac:dyDescent="0.2">
      <c r="A52" s="342" t="s">
        <v>7</v>
      </c>
      <c r="D52" s="85" t="str">
        <f>IF(D50&gt;1,"F",IF(D51&gt;50,"F",IF(D51&gt;35,"E",IF(D51&gt;25,"D",IF(D51&gt;15,"C",IF(D51&gt;10,"B","A"))))))</f>
        <v>A</v>
      </c>
      <c r="G52" s="134"/>
      <c r="Q52" s="73"/>
    </row>
    <row r="53" spans="1:32" ht="13.15" customHeight="1" x14ac:dyDescent="0.2">
      <c r="A53" s="342" t="s">
        <v>213</v>
      </c>
      <c r="D53" s="85">
        <f>ROUND(((900*Singlelane!$N$3)*(D50-1+((1-D50)^2+((3600/(D48))*D50)/(150*Singlelane!$N$3))^(1/2)))*(D48/3600),0)</f>
        <v>0</v>
      </c>
      <c r="E53" s="371" t="s">
        <v>214</v>
      </c>
      <c r="L53" s="342"/>
      <c r="Q53" s="368" t="str">
        <f>Singlelane!B6</f>
        <v>Project Name</v>
      </c>
    </row>
    <row r="54" spans="1:32" ht="13.15" customHeight="1" x14ac:dyDescent="0.2">
      <c r="C54" s="190" t="s">
        <v>151</v>
      </c>
      <c r="D54" s="335" t="s">
        <v>215</v>
      </c>
      <c r="G54" s="496" t="s">
        <v>236</v>
      </c>
      <c r="M54" s="336" t="e">
        <f>ROUND((IF(M46=0,W46,M46)),1)</f>
        <v>#DIV/0!</v>
      </c>
      <c r="N54" s="336" t="e">
        <f>ROUND((IF(N46=0,X46,N46)),1)</f>
        <v>#DIV/0!</v>
      </c>
      <c r="O54" s="336" t="e">
        <f>ROUND((IF(O46=0,Y46,O46)),1)</f>
        <v>#DIV/0!</v>
      </c>
      <c r="P54" s="336" t="e">
        <f>ROUND((IF(P46=0,Z46,P46)),1)</f>
        <v>#DIV/0!</v>
      </c>
    </row>
    <row r="55" spans="1:32" ht="13.15" customHeight="1" x14ac:dyDescent="0.2">
      <c r="A55" s="342" t="s">
        <v>237</v>
      </c>
      <c r="C55" s="186"/>
      <c r="G55" s="342"/>
    </row>
    <row r="56" spans="1:32" ht="13.15" customHeight="1" x14ac:dyDescent="0.2"/>
    <row r="57" spans="1:32" ht="13.15" customHeight="1" x14ac:dyDescent="0.2">
      <c r="A57" s="75"/>
      <c r="B57" s="75"/>
      <c r="C57" s="75"/>
    </row>
    <row r="58" spans="1:32" ht="13.15" customHeight="1" x14ac:dyDescent="0.2"/>
    <row r="59" spans="1:32" ht="13.15" customHeight="1" x14ac:dyDescent="0.2">
      <c r="B59" s="336">
        <v>8</v>
      </c>
      <c r="AF59" s="349"/>
    </row>
    <row r="60" spans="1:32" ht="13.15" customHeight="1" x14ac:dyDescent="0.2">
      <c r="AF60" s="367"/>
    </row>
    <row r="61" spans="1:32" ht="13.15" customHeight="1" x14ac:dyDescent="0.2">
      <c r="A61" s="75"/>
      <c r="B61" s="75"/>
      <c r="C61" s="75"/>
      <c r="D61" s="73"/>
    </row>
    <row r="62" spans="1:32" ht="13.15" customHeight="1" x14ac:dyDescent="0.2">
      <c r="A62" s="75"/>
      <c r="B62" s="75"/>
      <c r="C62" s="75"/>
      <c r="D62" s="73"/>
    </row>
    <row r="63" spans="1:32" ht="13.15" customHeight="1" x14ac:dyDescent="0.2"/>
    <row r="64" spans="1:32" ht="13.15" customHeight="1" x14ac:dyDescent="0.2"/>
    <row r="65" spans="1:10" ht="13.15" customHeight="1" x14ac:dyDescent="0.2"/>
    <row r="66" spans="1:10" ht="13.15" customHeight="1" x14ac:dyDescent="0.2"/>
    <row r="67" spans="1:10" ht="13.15" customHeight="1" x14ac:dyDescent="0.2"/>
    <row r="68" spans="1:10" ht="13.15" customHeight="1" x14ac:dyDescent="0.2"/>
    <row r="69" spans="1:10" ht="13.15" customHeight="1" x14ac:dyDescent="0.2"/>
    <row r="70" spans="1:10" ht="13.15" customHeight="1" x14ac:dyDescent="0.2"/>
    <row r="71" spans="1:10" ht="13.15" customHeight="1" x14ac:dyDescent="0.2"/>
    <row r="72" spans="1:10" ht="13.15" customHeight="1" x14ac:dyDescent="0.2"/>
    <row r="73" spans="1:10" ht="13.15" customHeight="1" x14ac:dyDescent="0.2">
      <c r="A73" s="16"/>
      <c r="B73" s="74"/>
      <c r="C73" s="73"/>
      <c r="D73" s="73"/>
    </row>
    <row r="74" spans="1:10" ht="13.15" customHeight="1" x14ac:dyDescent="0.2">
      <c r="A74" s="16"/>
      <c r="B74" s="72"/>
      <c r="C74" s="73"/>
      <c r="D74" s="76"/>
    </row>
    <row r="75" spans="1:10" ht="13.15" customHeight="1" x14ac:dyDescent="0.2"/>
    <row r="76" spans="1:10" ht="13.15" customHeight="1" x14ac:dyDescent="0.2">
      <c r="J76" s="68"/>
    </row>
    <row r="77" spans="1:10" ht="13.15" customHeight="1" x14ac:dyDescent="0.2"/>
    <row r="78" spans="1:10" ht="13.15" customHeight="1" x14ac:dyDescent="0.2"/>
    <row r="79" spans="1:10" ht="13.15" customHeight="1" x14ac:dyDescent="0.2"/>
    <row r="80" spans="1:10" ht="13.15" customHeight="1" x14ac:dyDescent="0.2"/>
    <row r="81" ht="13.15" customHeight="1" x14ac:dyDescent="0.2"/>
    <row r="82" ht="13.15" customHeight="1" x14ac:dyDescent="0.2"/>
    <row r="83" ht="13.15" customHeight="1" x14ac:dyDescent="0.2"/>
    <row r="84" ht="13.15" customHeight="1" x14ac:dyDescent="0.2"/>
    <row r="85" ht="13.15" customHeight="1" x14ac:dyDescent="0.2"/>
    <row r="86" ht="13.15" customHeight="1" x14ac:dyDescent="0.2"/>
    <row r="87" ht="13.15" customHeight="1" x14ac:dyDescent="0.2"/>
    <row r="88" ht="13.15" customHeight="1" x14ac:dyDescent="0.2"/>
    <row r="89" ht="13.15" customHeight="1" x14ac:dyDescent="0.2"/>
    <row r="90" ht="13.15" customHeight="1" x14ac:dyDescent="0.2"/>
    <row r="91" ht="13.15" customHeight="1" x14ac:dyDescent="0.2"/>
    <row r="92" ht="13.15" customHeight="1" x14ac:dyDescent="0.2"/>
    <row r="93" ht="13.15" customHeight="1" x14ac:dyDescent="0.2"/>
    <row r="94" ht="13.15" customHeight="1" x14ac:dyDescent="0.2"/>
    <row r="95" ht="13.15" customHeight="1" x14ac:dyDescent="0.2"/>
    <row r="96" ht="13.15" customHeight="1" x14ac:dyDescent="0.2"/>
    <row r="97" ht="13.15" customHeight="1" x14ac:dyDescent="0.2"/>
    <row r="98" ht="13.15" customHeight="1" x14ac:dyDescent="0.2"/>
    <row r="99" ht="13.15" customHeight="1" x14ac:dyDescent="0.2"/>
    <row r="100" ht="13.15" customHeight="1" x14ac:dyDescent="0.2"/>
    <row r="101" ht="13.15" customHeight="1" x14ac:dyDescent="0.2"/>
    <row r="102" ht="13.15" customHeight="1" x14ac:dyDescent="0.2"/>
    <row r="103" ht="13.15" customHeight="1" x14ac:dyDescent="0.2"/>
    <row r="104" ht="13.15" customHeight="1" x14ac:dyDescent="0.2"/>
    <row r="105" ht="13.15" customHeight="1" x14ac:dyDescent="0.2"/>
    <row r="106" ht="13.15" customHeight="1" x14ac:dyDescent="0.2"/>
    <row r="107" ht="13.15" customHeight="1" x14ac:dyDescent="0.2"/>
    <row r="108" ht="13.15" customHeight="1" x14ac:dyDescent="0.2"/>
    <row r="109" ht="13.15" customHeight="1" x14ac:dyDescent="0.2"/>
    <row r="110" ht="13.15" customHeight="1" x14ac:dyDescent="0.2"/>
    <row r="111" ht="13.15" customHeight="1" x14ac:dyDescent="0.2"/>
    <row r="112" ht="13.15" customHeight="1" x14ac:dyDescent="0.2"/>
    <row r="113" spans="13:31" ht="13.15" customHeight="1" x14ac:dyDescent="0.2"/>
    <row r="114" spans="13:31" ht="13.15" customHeight="1" x14ac:dyDescent="0.2"/>
    <row r="115" spans="13:31" ht="13.15" customHeight="1" x14ac:dyDescent="0.2"/>
    <row r="116" spans="13:31" ht="13.15" customHeight="1" x14ac:dyDescent="0.2">
      <c r="M116" s="284"/>
      <c r="AB116" s="284" t="e">
        <f>EXP(-1.89+(1.498*$X$2)+(0.3403*$Y$3)-(0.005202*$AF$59)-(0.02514*#REF!)+(0.002387*M44)+(0.000004326*M44*M45)+(0.02086*W7))</f>
        <v>#REF!</v>
      </c>
      <c r="AC116" s="284" t="e">
        <f>EXP(-1.89+(1.498*$X$2)+(0.3403*$Y$3)-(0.005202*$AF$59)-(0.02514*#REF!)+(0.002387*N44)+(0.000004326*N44*N45)+(0.02086*X7))</f>
        <v>#REF!</v>
      </c>
      <c r="AD116" s="284" t="e">
        <f>EXP(-1.89+(1.498*$X$2)+(0.3403*$Y$3)-(0.005202*$AF$59)-(0.02514*#REF!)+(0.002387*O44)+(0.000004326*O44*O45)+(0.02086*Y7))</f>
        <v>#REF!</v>
      </c>
      <c r="AE116" s="284" t="e">
        <f>EXP(-1.89+(1.498*$X$2)+(0.3403*$Y$3)-(0.005202*$AF$59)-(0.02514*#REF!)+(0.002387*P44)+(0.000004326*P44*P45)+(0.02086*Z7))</f>
        <v>#REF!</v>
      </c>
    </row>
    <row r="117" spans="13:31" ht="13.15" customHeight="1" x14ac:dyDescent="0.2"/>
    <row r="118" spans="13:31" ht="13.15" customHeight="1" x14ac:dyDescent="0.2"/>
    <row r="119" spans="13:31" ht="13.15" customHeight="1" x14ac:dyDescent="0.2"/>
    <row r="120" spans="13:31" ht="13.15" customHeight="1" x14ac:dyDescent="0.2"/>
    <row r="121" spans="13:31" ht="13.15" customHeight="1" x14ac:dyDescent="0.2"/>
  </sheetData>
  <mergeCells count="19">
    <mergeCell ref="Q2:R2"/>
    <mergeCell ref="Q3:R3"/>
    <mergeCell ref="Q4:R4"/>
    <mergeCell ref="P5:S5"/>
    <mergeCell ref="Q7:R7"/>
    <mergeCell ref="W50:Z50"/>
    <mergeCell ref="A11:A14"/>
    <mergeCell ref="K16:K19"/>
    <mergeCell ref="W51:Z51"/>
    <mergeCell ref="K10:K13"/>
    <mergeCell ref="K22:K25"/>
    <mergeCell ref="K28:K31"/>
    <mergeCell ref="K34:K37"/>
    <mergeCell ref="K40:K43"/>
    <mergeCell ref="U10:U13"/>
    <mergeCell ref="U16:U19"/>
    <mergeCell ref="U22:U25"/>
    <mergeCell ref="U28:U31"/>
    <mergeCell ref="U34:U37"/>
  </mergeCells>
  <conditionalFormatting sqref="E46:I46">
    <cfRule type="expression" dxfId="35" priority="12" stopIfTrue="1">
      <formula>ISERROR(E46)</formula>
    </cfRule>
  </conditionalFormatting>
  <conditionalFormatting sqref="E45:I45">
    <cfRule type="cellIs" dxfId="34" priority="13" stopIfTrue="1" operator="equal">
      <formula>FALSE</formula>
    </cfRule>
  </conditionalFormatting>
  <conditionalFormatting sqref="E30:I30">
    <cfRule type="cellIs" dxfId="33" priority="14" stopIfTrue="1" operator="notEqual">
      <formula>0</formula>
    </cfRule>
  </conditionalFormatting>
  <conditionalFormatting sqref="E17">
    <cfRule type="cellIs" dxfId="32" priority="2" operator="equal">
      <formula>$E$6</formula>
    </cfRule>
    <cfRule type="cellIs" dxfId="31" priority="11" operator="equal">
      <formula>$E$3</formula>
    </cfRule>
  </conditionalFormatting>
  <conditionalFormatting sqref="W7:Z7 Q2:Q4">
    <cfRule type="cellIs" dxfId="30" priority="9" stopIfTrue="1" operator="lessThan">
      <formula>0</formula>
    </cfRule>
  </conditionalFormatting>
  <conditionalFormatting sqref="M16:P19">
    <cfRule type="cellIs" dxfId="29" priority="10" stopIfTrue="1" operator="greaterThan">
      <formula>1</formula>
    </cfRule>
  </conditionalFormatting>
  <conditionalFormatting sqref="W45">
    <cfRule type="cellIs" dxfId="28" priority="8" operator="greaterThan">
      <formula>1</formula>
    </cfRule>
  </conditionalFormatting>
  <conditionalFormatting sqref="X45">
    <cfRule type="cellIs" dxfId="27" priority="7" operator="greaterThan">
      <formula>1</formula>
    </cfRule>
  </conditionalFormatting>
  <conditionalFormatting sqref="Y45">
    <cfRule type="cellIs" dxfId="26" priority="6" operator="greaterThan">
      <formula>1</formula>
    </cfRule>
  </conditionalFormatting>
  <conditionalFormatting sqref="Z45">
    <cfRule type="cellIs" dxfId="25" priority="5" operator="greaterThan">
      <formula>1</formula>
    </cfRule>
  </conditionalFormatting>
  <conditionalFormatting sqref="D50">
    <cfRule type="cellIs" dxfId="24" priority="65" operator="greaterThan">
      <formula>1</formula>
    </cfRule>
  </conditionalFormatting>
  <conditionalFormatting sqref="D47:E52">
    <cfRule type="expression" dxfId="23" priority="4">
      <formula>#REF!=1</formula>
    </cfRule>
  </conditionalFormatting>
  <conditionalFormatting sqref="D53:E53">
    <cfRule type="expression" dxfId="22" priority="16">
      <formula>#REF!=1</formula>
    </cfRule>
  </conditionalFormatting>
  <conditionalFormatting sqref="D47:E53">
    <cfRule type="expression" dxfId="21" priority="15">
      <formula>$B$59=7</formula>
    </cfRule>
  </conditionalFormatting>
  <conditionalFormatting sqref="S18">
    <cfRule type="colorScale" priority="1">
      <colorScale>
        <cfvo type="num" val="-1000000"/>
        <cfvo type="num" val="10000000"/>
        <color rgb="FFFF0000"/>
        <color rgb="FFFF0000"/>
      </colorScale>
    </cfRule>
  </conditionalFormatting>
  <dataValidations disablePrompts="1" count="3">
    <dataValidation type="list" allowBlank="1" showInputMessage="1" showErrorMessage="1" sqref="E17">
      <formula1>$AC$33:$AC$36</formula1>
    </dataValidation>
    <dataValidation type="decimal" allowBlank="1" showInputMessage="1" showErrorMessage="1" sqref="AF59">
      <formula1>0</formula1>
      <formula2>1</formula2>
    </dataValidation>
    <dataValidation type="list" allowBlank="1" showInputMessage="1" showErrorMessage="1" sqref="X3">
      <formula1>"yes,no"</formula1>
    </dataValidation>
  </dataValidations>
  <pageMargins left="0.7" right="0.7" top="0.75" bottom="0.75" header="0.3" footer="0.3"/>
  <pageSetup scale="91" orientation="portrait" r:id="rId1"/>
  <headerFooter>
    <oddHeader>&amp;CSingle Lane Roundabout Input Sheet</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Option Button 1">
              <controlPr defaultSize="0" autoFill="0" autoLine="0" autoPict="0">
                <anchor moveWithCells="1">
                  <from>
                    <xdr:col>0</xdr:col>
                    <xdr:colOff>57150</xdr:colOff>
                    <xdr:row>36</xdr:row>
                    <xdr:rowOff>66675</xdr:rowOff>
                  </from>
                  <to>
                    <xdr:col>0</xdr:col>
                    <xdr:colOff>247650</xdr:colOff>
                    <xdr:row>37</xdr:row>
                    <xdr:rowOff>95250</xdr:rowOff>
                  </to>
                </anchor>
              </controlPr>
            </control>
          </mc:Choice>
        </mc:AlternateContent>
        <mc:AlternateContent xmlns:mc="http://schemas.openxmlformats.org/markup-compatibility/2006">
          <mc:Choice Requires="x14">
            <control shapeId="12290" r:id="rId5" name="Option Button 2">
              <controlPr defaultSize="0" autoFill="0" autoLine="0" autoPict="0">
                <anchor moveWithCells="1">
                  <from>
                    <xdr:col>0</xdr:col>
                    <xdr:colOff>76200</xdr:colOff>
                    <xdr:row>29</xdr:row>
                    <xdr:rowOff>19050</xdr:rowOff>
                  </from>
                  <to>
                    <xdr:col>0</xdr:col>
                    <xdr:colOff>266700</xdr:colOff>
                    <xdr:row>30</xdr:row>
                    <xdr:rowOff>28575</xdr:rowOff>
                  </to>
                </anchor>
              </controlPr>
            </control>
          </mc:Choice>
        </mc:AlternateContent>
        <mc:AlternateContent xmlns:mc="http://schemas.openxmlformats.org/markup-compatibility/2006">
          <mc:Choice Requires="x14">
            <control shapeId="12291" r:id="rId6" name="Option Button 3">
              <controlPr defaultSize="0" autoFill="0" autoLine="0" autoPict="0">
                <anchor moveWithCells="1">
                  <from>
                    <xdr:col>0</xdr:col>
                    <xdr:colOff>76200</xdr:colOff>
                    <xdr:row>29</xdr:row>
                    <xdr:rowOff>19050</xdr:rowOff>
                  </from>
                  <to>
                    <xdr:col>0</xdr:col>
                    <xdr:colOff>266700</xdr:colOff>
                    <xdr:row>30</xdr:row>
                    <xdr:rowOff>28575</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0</xdr:col>
                    <xdr:colOff>57150</xdr:colOff>
                    <xdr:row>36</xdr:row>
                    <xdr:rowOff>66675</xdr:rowOff>
                  </from>
                  <to>
                    <xdr:col>0</xdr:col>
                    <xdr:colOff>247650</xdr:colOff>
                    <xdr:row>37</xdr:row>
                    <xdr:rowOff>95250</xdr:rowOff>
                  </to>
                </anchor>
              </controlPr>
            </control>
          </mc:Choice>
        </mc:AlternateContent>
        <mc:AlternateContent xmlns:mc="http://schemas.openxmlformats.org/markup-compatibility/2006">
          <mc:Choice Requires="x14">
            <control shapeId="12293" r:id="rId8" name="Option Button 5">
              <controlPr defaultSize="0" autoFill="0" autoLine="0" autoPict="0">
                <anchor moveWithCells="1">
                  <from>
                    <xdr:col>0</xdr:col>
                    <xdr:colOff>76200</xdr:colOff>
                    <xdr:row>29</xdr:row>
                    <xdr:rowOff>19050</xdr:rowOff>
                  </from>
                  <to>
                    <xdr:col>0</xdr:col>
                    <xdr:colOff>266700</xdr:colOff>
                    <xdr:row>30</xdr:row>
                    <xdr:rowOff>28575</xdr:rowOff>
                  </to>
                </anchor>
              </controlPr>
            </control>
          </mc:Choice>
        </mc:AlternateContent>
        <mc:AlternateContent xmlns:mc="http://schemas.openxmlformats.org/markup-compatibility/2006">
          <mc:Choice Requires="x14">
            <control shapeId="12294" r:id="rId9" name="Option Button 6">
              <controlPr defaultSize="0" autoFill="0" autoLine="0" autoPict="0">
                <anchor moveWithCells="1">
                  <from>
                    <xdr:col>0</xdr:col>
                    <xdr:colOff>57150</xdr:colOff>
                    <xdr:row>36</xdr:row>
                    <xdr:rowOff>66675</xdr:rowOff>
                  </from>
                  <to>
                    <xdr:col>0</xdr:col>
                    <xdr:colOff>247650</xdr:colOff>
                    <xdr:row>37</xdr:row>
                    <xdr:rowOff>95250</xdr:rowOff>
                  </to>
                </anchor>
              </controlPr>
            </control>
          </mc:Choice>
        </mc:AlternateContent>
        <mc:AlternateContent xmlns:mc="http://schemas.openxmlformats.org/markup-compatibility/2006">
          <mc:Choice Requires="x14">
            <control shapeId="12295" r:id="rId10" name="Option Button 7">
              <controlPr defaultSize="0" autoFill="0" autoLine="0" autoPict="0">
                <anchor moveWithCells="1">
                  <from>
                    <xdr:col>0</xdr:col>
                    <xdr:colOff>76200</xdr:colOff>
                    <xdr:row>29</xdr:row>
                    <xdr:rowOff>19050</xdr:rowOff>
                  </from>
                  <to>
                    <xdr:col>0</xdr:col>
                    <xdr:colOff>266700</xdr:colOff>
                    <xdr:row>30</xdr:row>
                    <xdr:rowOff>28575</xdr:rowOff>
                  </to>
                </anchor>
              </controlPr>
            </control>
          </mc:Choice>
        </mc:AlternateContent>
        <mc:AlternateContent xmlns:mc="http://schemas.openxmlformats.org/markup-compatibility/2006">
          <mc:Choice Requires="x14">
            <control shapeId="12296" r:id="rId11" name="Option Button 8">
              <controlPr defaultSize="0" autoFill="0" autoLine="0" autoPict="0">
                <anchor moveWithCells="1">
                  <from>
                    <xdr:col>0</xdr:col>
                    <xdr:colOff>57150</xdr:colOff>
                    <xdr:row>36</xdr:row>
                    <xdr:rowOff>66675</xdr:rowOff>
                  </from>
                  <to>
                    <xdr:col>0</xdr:col>
                    <xdr:colOff>247650</xdr:colOff>
                    <xdr:row>37</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F127"/>
  <sheetViews>
    <sheetView showGridLines="0" topLeftCell="A34" zoomScaleNormal="100" zoomScalePageLayoutView="90" workbookViewId="0">
      <selection activeCell="D59" sqref="D59"/>
    </sheetView>
  </sheetViews>
  <sheetFormatPr defaultColWidth="8.85546875" defaultRowHeight="12.75" x14ac:dyDescent="0.2"/>
  <cols>
    <col min="1" max="2" width="10.5703125" style="335" customWidth="1"/>
    <col min="3" max="3" width="7.85546875" style="335" customWidth="1"/>
    <col min="4" max="4" width="8.140625" style="335" customWidth="1"/>
    <col min="5" max="5" width="7.140625" style="335" customWidth="1"/>
    <col min="6" max="6" width="8" style="335" customWidth="1"/>
    <col min="7" max="7" width="0.7109375" style="335" customWidth="1"/>
    <col min="8" max="8" width="8.85546875" style="335"/>
    <col min="9" max="9" width="8.85546875" style="335" customWidth="1"/>
    <col min="10" max="10" width="10.28515625" style="335" customWidth="1"/>
    <col min="11" max="11" width="7.85546875" style="335" customWidth="1"/>
    <col min="12" max="12" width="9.7109375" style="335" customWidth="1"/>
    <col min="13" max="16" width="7.28515625" style="335" customWidth="1"/>
    <col min="17" max="17" width="0.85546875" style="335" customWidth="1"/>
    <col min="18" max="18" width="5.5703125" style="335" customWidth="1"/>
    <col min="19" max="19" width="4.7109375" style="335" customWidth="1"/>
    <col min="20" max="20" width="0.85546875" style="335" customWidth="1"/>
    <col min="21" max="21" width="7.28515625" style="335" customWidth="1"/>
    <col min="22" max="22" width="5" style="335" customWidth="1"/>
    <col min="23" max="24" width="7.28515625" style="335" customWidth="1"/>
    <col min="25" max="26" width="7.42578125" style="335" customWidth="1"/>
    <col min="27" max="27" width="8.85546875" style="335"/>
    <col min="28" max="31" width="8.85546875" style="335" hidden="1" customWidth="1"/>
    <col min="32" max="16384" width="8.85546875" style="335"/>
  </cols>
  <sheetData>
    <row r="1" spans="1:26" ht="13.15" customHeight="1" thickBot="1" x14ac:dyDescent="0.25">
      <c r="A1" s="145" t="s">
        <v>224</v>
      </c>
      <c r="B1" s="65"/>
      <c r="C1" s="65"/>
      <c r="F1" s="73"/>
      <c r="G1" s="73"/>
      <c r="H1" s="73"/>
      <c r="I1" s="73"/>
      <c r="K1" s="36" t="s">
        <v>11</v>
      </c>
      <c r="L1" s="38"/>
      <c r="M1" s="6"/>
      <c r="N1" s="37"/>
      <c r="O1" s="258" t="s">
        <v>20</v>
      </c>
      <c r="P1" s="7"/>
      <c r="Q1" s="86"/>
      <c r="R1" s="86"/>
      <c r="S1" s="240" t="s">
        <v>44</v>
      </c>
      <c r="U1" s="27" t="s">
        <v>42</v>
      </c>
      <c r="V1" s="6"/>
      <c r="W1" s="6"/>
      <c r="X1" s="37"/>
      <c r="Y1" s="68"/>
    </row>
    <row r="2" spans="1:26" ht="13.15" customHeight="1" thickTop="1" thickBot="1" x14ac:dyDescent="0.25">
      <c r="A2" s="342" t="s">
        <v>99</v>
      </c>
      <c r="B2" s="65"/>
      <c r="C2" s="65"/>
      <c r="F2" s="73"/>
      <c r="G2" s="73"/>
      <c r="H2" s="73"/>
      <c r="I2" s="73"/>
      <c r="K2" s="99" t="s">
        <v>0</v>
      </c>
      <c r="L2" s="252" t="str">
        <f>Singlelane!B2</f>
        <v>Pat Stoplight PE</v>
      </c>
      <c r="M2" s="241"/>
      <c r="N2" s="34"/>
      <c r="O2" s="353" t="s">
        <v>15</v>
      </c>
      <c r="P2" s="245" t="s">
        <v>16</v>
      </c>
      <c r="Q2" s="658">
        <f>Singlelane!G2</f>
        <v>1</v>
      </c>
      <c r="R2" s="649"/>
      <c r="S2" s="216">
        <v>1</v>
      </c>
      <c r="U2" s="285" t="s">
        <v>39</v>
      </c>
      <c r="V2" s="57"/>
      <c r="W2" s="89"/>
      <c r="X2" s="219">
        <f>Singlelane!N2</f>
        <v>4</v>
      </c>
      <c r="Y2" s="406" t="s">
        <v>48</v>
      </c>
      <c r="Z2" s="45"/>
    </row>
    <row r="3" spans="1:26" ht="13.15" customHeight="1" thickTop="1" thickBot="1" x14ac:dyDescent="0.25">
      <c r="A3" s="94"/>
      <c r="B3" s="95"/>
      <c r="C3" s="95"/>
      <c r="D3" s="188" t="s">
        <v>107</v>
      </c>
      <c r="E3" s="187" t="str">
        <f>Bypasslane!E13</f>
        <v>South</v>
      </c>
      <c r="F3" s="94" t="s">
        <v>85</v>
      </c>
      <c r="G3" s="73"/>
      <c r="H3" s="73"/>
      <c r="I3" s="73"/>
      <c r="K3" s="100" t="s">
        <v>19</v>
      </c>
      <c r="L3" s="455" t="str">
        <f>Singlelane!B3</f>
        <v>Safety City</v>
      </c>
      <c r="M3" s="68"/>
      <c r="N3" s="136"/>
      <c r="O3" s="354" t="s">
        <v>21</v>
      </c>
      <c r="P3" s="244" t="s">
        <v>14</v>
      </c>
      <c r="Q3" s="658">
        <f>Singlelane!G3</f>
        <v>1.5</v>
      </c>
      <c r="R3" s="649"/>
      <c r="S3" s="217">
        <v>1.5</v>
      </c>
      <c r="U3" s="285" t="s">
        <v>29</v>
      </c>
      <c r="V3" s="57"/>
      <c r="W3" s="89"/>
      <c r="X3" s="46">
        <f>Singlelane!N3</f>
        <v>0.25</v>
      </c>
      <c r="Y3" s="68"/>
      <c r="Z3" s="393"/>
    </row>
    <row r="4" spans="1:26" ht="13.15" customHeight="1" thickTop="1" thickBot="1" x14ac:dyDescent="0.25">
      <c r="A4" s="94"/>
      <c r="B4" s="95"/>
      <c r="C4" s="95"/>
      <c r="D4" s="188" t="s">
        <v>54</v>
      </c>
      <c r="E4" s="187" t="str">
        <f>Bypasslane!E14</f>
        <v>East</v>
      </c>
      <c r="F4" s="94" t="s">
        <v>85</v>
      </c>
      <c r="G4" s="73"/>
      <c r="H4" s="73"/>
      <c r="I4" s="73"/>
      <c r="K4" s="100" t="s">
        <v>1</v>
      </c>
      <c r="L4" s="47">
        <f>Singlelane!B4</f>
        <v>42269</v>
      </c>
      <c r="M4" s="242"/>
      <c r="N4" s="136"/>
      <c r="O4" s="60" t="s">
        <v>22</v>
      </c>
      <c r="P4" s="246" t="s">
        <v>17</v>
      </c>
      <c r="Q4" s="658">
        <f>Singlelane!G4</f>
        <v>2</v>
      </c>
      <c r="R4" s="649"/>
      <c r="S4" s="218">
        <v>2</v>
      </c>
      <c r="U4" s="350" t="s">
        <v>49</v>
      </c>
      <c r="V4" s="351">
        <f>Singlelane!L4</f>
        <v>0</v>
      </c>
      <c r="W4" s="351" t="str">
        <f>Singlelane!M4</f>
        <v>00</v>
      </c>
      <c r="X4" s="352" t="str">
        <f>Singlelane!N4</f>
        <v>PM</v>
      </c>
      <c r="Y4" s="44">
        <v>5</v>
      </c>
      <c r="Z4" s="45">
        <f>IF(M12&gt;0,IF(N13&gt;0,IF(O10&gt;0,IF(P11&gt;0,4,3),3),3),3)</f>
        <v>3</v>
      </c>
    </row>
    <row r="5" spans="1:26" ht="13.15" customHeight="1" thickBot="1" x14ac:dyDescent="0.25">
      <c r="A5" s="342" t="s">
        <v>217</v>
      </c>
      <c r="K5" s="328" t="s">
        <v>192</v>
      </c>
      <c r="L5" s="380">
        <f>Singlelane!B5</f>
        <v>0</v>
      </c>
      <c r="M5" s="380"/>
      <c r="N5" s="419"/>
      <c r="O5" s="453" t="s">
        <v>193</v>
      </c>
      <c r="P5" s="663">
        <f>Singlelane!E5</f>
        <v>0</v>
      </c>
      <c r="Q5" s="664"/>
      <c r="R5" s="664"/>
      <c r="S5" s="665"/>
      <c r="T5" s="68"/>
      <c r="U5" s="80" t="s">
        <v>206</v>
      </c>
      <c r="V5" s="83"/>
      <c r="W5" s="108"/>
      <c r="X5" s="104" t="s">
        <v>12</v>
      </c>
      <c r="Y5" s="103"/>
      <c r="Z5" s="105"/>
    </row>
    <row r="6" spans="1:26" ht="13.15" customHeight="1" thickBot="1" x14ac:dyDescent="0.25">
      <c r="A6" s="95"/>
      <c r="B6" s="95"/>
      <c r="C6" s="95"/>
      <c r="D6" s="188" t="s">
        <v>107</v>
      </c>
      <c r="E6" s="95" t="str">
        <f>'2ndBypasslane'!E14</f>
        <v>North</v>
      </c>
      <c r="F6" s="94" t="s">
        <v>85</v>
      </c>
      <c r="K6" s="415" t="s">
        <v>18</v>
      </c>
      <c r="L6" s="456" t="str">
        <f>Singlelane!B6</f>
        <v>Project Name</v>
      </c>
      <c r="M6" s="416"/>
      <c r="N6" s="292"/>
      <c r="P6" s="101" t="s">
        <v>2</v>
      </c>
      <c r="Q6" s="356" t="str">
        <f>Singlelane!F6</f>
        <v>20yrs &gt; build</v>
      </c>
      <c r="R6" s="243"/>
      <c r="S6" s="39"/>
      <c r="T6" s="68"/>
      <c r="U6" s="366" t="s">
        <v>208</v>
      </c>
      <c r="V6" s="111"/>
      <c r="W6" s="109" t="s">
        <v>3</v>
      </c>
      <c r="X6" s="106" t="s">
        <v>4</v>
      </c>
      <c r="Y6" s="106" t="s">
        <v>5</v>
      </c>
      <c r="Z6" s="107" t="s">
        <v>55</v>
      </c>
    </row>
    <row r="7" spans="1:26" ht="13.15" customHeight="1" thickTop="1" thickBot="1" x14ac:dyDescent="0.25">
      <c r="A7" s="95"/>
      <c r="B7" s="95"/>
      <c r="C7" s="95"/>
      <c r="D7" s="188" t="s">
        <v>54</v>
      </c>
      <c r="E7" s="95" t="str">
        <f>'2ndBypasslane'!E15</f>
        <v>West</v>
      </c>
      <c r="F7" s="94" t="s">
        <v>85</v>
      </c>
      <c r="Q7" s="68"/>
      <c r="R7" s="14"/>
      <c r="S7" s="73"/>
      <c r="U7" s="404" t="s">
        <v>207</v>
      </c>
      <c r="V7" s="390"/>
      <c r="W7" s="454">
        <f>Singlelane!M7</f>
        <v>0</v>
      </c>
      <c r="X7" s="391">
        <f>Singlelane!N7</f>
        <v>0</v>
      </c>
      <c r="Y7" s="391">
        <f>Singlelane!O7</f>
        <v>0</v>
      </c>
      <c r="Z7" s="392">
        <f>Singlelane!P7</f>
        <v>0</v>
      </c>
    </row>
    <row r="8" spans="1:26" ht="13.15" customHeight="1" x14ac:dyDescent="0.2">
      <c r="A8" s="342" t="s">
        <v>222</v>
      </c>
      <c r="K8" s="80" t="s">
        <v>41</v>
      </c>
      <c r="L8" s="83"/>
      <c r="M8" s="108"/>
      <c r="N8" s="104" t="s">
        <v>12</v>
      </c>
      <c r="O8" s="103"/>
      <c r="P8" s="105"/>
      <c r="Q8" s="68"/>
      <c r="R8" s="73"/>
      <c r="S8" s="467"/>
      <c r="U8" s="80" t="s">
        <v>30</v>
      </c>
      <c r="V8" s="83"/>
      <c r="W8" s="83"/>
      <c r="X8" s="84" t="s">
        <v>12</v>
      </c>
      <c r="Y8" s="83"/>
      <c r="Z8" s="71"/>
    </row>
    <row r="9" spans="1:26" ht="13.15" customHeight="1" thickBot="1" x14ac:dyDescent="0.25">
      <c r="A9" s="95"/>
      <c r="B9" s="95"/>
      <c r="C9" s="95"/>
      <c r="D9" s="188" t="s">
        <v>107</v>
      </c>
      <c r="E9" s="95" t="str">
        <f>'3rdBypasslane'!$E$17</f>
        <v>West</v>
      </c>
      <c r="F9" s="94" t="s">
        <v>85</v>
      </c>
      <c r="K9" s="69" t="s">
        <v>57</v>
      </c>
      <c r="L9" s="111"/>
      <c r="M9" s="206" t="s">
        <v>3</v>
      </c>
      <c r="N9" s="207" t="s">
        <v>4</v>
      </c>
      <c r="O9" s="207" t="s">
        <v>5</v>
      </c>
      <c r="P9" s="208" t="s">
        <v>55</v>
      </c>
      <c r="R9" s="65"/>
      <c r="S9" s="65"/>
      <c r="U9" s="139" t="s">
        <v>31</v>
      </c>
      <c r="V9" s="81"/>
      <c r="W9" s="209" t="s">
        <v>3</v>
      </c>
      <c r="X9" s="209" t="s">
        <v>4</v>
      </c>
      <c r="Y9" s="209" t="s">
        <v>5</v>
      </c>
      <c r="Z9" s="210" t="s">
        <v>55</v>
      </c>
    </row>
    <row r="10" spans="1:26" ht="13.15" customHeight="1" thickTop="1" x14ac:dyDescent="0.2">
      <c r="A10" s="95"/>
      <c r="B10" s="95"/>
      <c r="C10" s="95"/>
      <c r="D10" s="188" t="s">
        <v>54</v>
      </c>
      <c r="E10" s="95" t="str">
        <f>'3rdBypasslane'!$E$18</f>
        <v>South</v>
      </c>
      <c r="F10" s="94" t="s">
        <v>85</v>
      </c>
      <c r="K10" s="639" t="s">
        <v>13</v>
      </c>
      <c r="L10" s="112" t="s">
        <v>3</v>
      </c>
      <c r="M10" s="302">
        <f>'3rdBypasslane'!M10</f>
        <v>0</v>
      </c>
      <c r="N10" s="302">
        <f>IF($E$20="East",0,'3rdBypasslane'!N10)</f>
        <v>0</v>
      </c>
      <c r="O10" s="302">
        <f>'3rdBypasslane'!O10</f>
        <v>0</v>
      </c>
      <c r="P10" s="302">
        <f>'3rdBypasslane'!P10</f>
        <v>0</v>
      </c>
      <c r="Q10" s="68"/>
      <c r="R10" s="65"/>
      <c r="S10" s="65"/>
      <c r="T10" s="68"/>
      <c r="U10" s="639" t="s">
        <v>13</v>
      </c>
      <c r="V10" s="214" t="s">
        <v>3</v>
      </c>
      <c r="W10" s="149">
        <f t="shared" ref="W10:Z13" si="0">ROUND(IF(M16=0,0,M10/M16),0)</f>
        <v>0</v>
      </c>
      <c r="X10" s="149">
        <f t="shared" si="0"/>
        <v>0</v>
      </c>
      <c r="Y10" s="149">
        <f t="shared" si="0"/>
        <v>0</v>
      </c>
      <c r="Z10" s="150">
        <f t="shared" si="0"/>
        <v>0</v>
      </c>
    </row>
    <row r="11" spans="1:26" ht="13.15" customHeight="1" thickBot="1" x14ac:dyDescent="0.25">
      <c r="A11" s="342" t="s">
        <v>218</v>
      </c>
      <c r="E11" s="73"/>
      <c r="F11" s="73"/>
      <c r="G11" s="73"/>
      <c r="K11" s="640"/>
      <c r="L11" s="112" t="s">
        <v>4</v>
      </c>
      <c r="M11" s="302">
        <f>'3rdBypasslane'!M11</f>
        <v>0</v>
      </c>
      <c r="N11" s="302">
        <f>'3rdBypasslane'!N11</f>
        <v>0</v>
      </c>
      <c r="O11" s="302">
        <f>IF($E$20="South",0,'3rdBypasslane'!O11)</f>
        <v>0</v>
      </c>
      <c r="P11" s="302">
        <f>'3rdBypasslane'!P11</f>
        <v>0</v>
      </c>
      <c r="Q11" s="65"/>
      <c r="R11" s="147" t="s">
        <v>223</v>
      </c>
      <c r="T11" s="65"/>
      <c r="U11" s="640"/>
      <c r="V11" s="214" t="s">
        <v>4</v>
      </c>
      <c r="W11" s="149">
        <f t="shared" si="0"/>
        <v>0</v>
      </c>
      <c r="X11" s="149">
        <f t="shared" si="0"/>
        <v>0</v>
      </c>
      <c r="Y11" s="149">
        <f t="shared" si="0"/>
        <v>0</v>
      </c>
      <c r="Z11" s="150">
        <f t="shared" si="0"/>
        <v>0</v>
      </c>
    </row>
    <row r="12" spans="1:26" ht="13.15" customHeight="1" x14ac:dyDescent="0.2">
      <c r="A12" s="80" t="s">
        <v>41</v>
      </c>
      <c r="B12" s="122"/>
      <c r="C12" s="108"/>
      <c r="D12" s="104" t="s">
        <v>12</v>
      </c>
      <c r="E12" s="103"/>
      <c r="F12" s="105"/>
      <c r="G12" s="73"/>
      <c r="K12" s="640"/>
      <c r="L12" s="112" t="s">
        <v>5</v>
      </c>
      <c r="M12" s="302">
        <f>'3rdBypasslane'!M12</f>
        <v>0</v>
      </c>
      <c r="N12" s="302">
        <f>'3rdBypasslane'!N12</f>
        <v>0</v>
      </c>
      <c r="O12" s="302">
        <f>'3rdBypasslane'!O12</f>
        <v>0</v>
      </c>
      <c r="P12" s="302">
        <f>IF($E$20="West",0,'3rdBypasslane'!P12)</f>
        <v>0</v>
      </c>
      <c r="Q12" s="65"/>
      <c r="R12" s="146" t="s">
        <v>101</v>
      </c>
      <c r="T12" s="65"/>
      <c r="U12" s="640"/>
      <c r="V12" s="214" t="s">
        <v>5</v>
      </c>
      <c r="W12" s="149">
        <f t="shared" si="0"/>
        <v>0</v>
      </c>
      <c r="X12" s="149">
        <f t="shared" si="0"/>
        <v>0</v>
      </c>
      <c r="Y12" s="149">
        <f t="shared" si="0"/>
        <v>0</v>
      </c>
      <c r="Z12" s="150">
        <f t="shared" si="0"/>
        <v>0</v>
      </c>
    </row>
    <row r="13" spans="1:26" ht="13.15" customHeight="1" thickBot="1" x14ac:dyDescent="0.25">
      <c r="A13" s="69" t="s">
        <v>57</v>
      </c>
      <c r="B13" s="111"/>
      <c r="C13" s="109" t="s">
        <v>3</v>
      </c>
      <c r="D13" s="106" t="s">
        <v>4</v>
      </c>
      <c r="E13" s="106" t="s">
        <v>5</v>
      </c>
      <c r="F13" s="107" t="s">
        <v>55</v>
      </c>
      <c r="G13" s="73"/>
      <c r="K13" s="641"/>
      <c r="L13" s="113" t="s">
        <v>55</v>
      </c>
      <c r="M13" s="302">
        <f>IF($E$20="North",0,'3rdBypasslane'!M13)</f>
        <v>0</v>
      </c>
      <c r="N13" s="302">
        <f>'3rdBypasslane'!N13</f>
        <v>0</v>
      </c>
      <c r="O13" s="302">
        <f>'3rdBypasslane'!O13</f>
        <v>0</v>
      </c>
      <c r="P13" s="302">
        <f>'3rdBypasslane'!P13</f>
        <v>0</v>
      </c>
      <c r="U13" s="641"/>
      <c r="V13" s="116" t="s">
        <v>55</v>
      </c>
      <c r="W13" s="149">
        <f t="shared" si="0"/>
        <v>0</v>
      </c>
      <c r="X13" s="149">
        <f t="shared" si="0"/>
        <v>0</v>
      </c>
      <c r="Y13" s="149">
        <f t="shared" si="0"/>
        <v>0</v>
      </c>
      <c r="Z13" s="150">
        <f t="shared" si="0"/>
        <v>0</v>
      </c>
    </row>
    <row r="14" spans="1:26" ht="13.15" customHeight="1" thickTop="1" x14ac:dyDescent="0.2">
      <c r="A14" s="639" t="s">
        <v>13</v>
      </c>
      <c r="B14" s="112" t="s">
        <v>3</v>
      </c>
      <c r="C14" s="102">
        <f>'3rdBypasslane'!$M$10</f>
        <v>0</v>
      </c>
      <c r="D14" s="233">
        <f>'3rdBypasslane'!$N$10</f>
        <v>0</v>
      </c>
      <c r="E14" s="102">
        <f>'3rdBypasslane'!$O$10</f>
        <v>0</v>
      </c>
      <c r="F14" s="102">
        <f>'3rdBypasslane'!$P$10</f>
        <v>0</v>
      </c>
      <c r="G14" s="73"/>
      <c r="K14" s="80" t="s">
        <v>47</v>
      </c>
      <c r="L14" s="83"/>
      <c r="M14" s="83"/>
      <c r="N14" s="84" t="s">
        <v>12</v>
      </c>
      <c r="O14" s="83"/>
      <c r="P14" s="71"/>
      <c r="S14" s="79"/>
      <c r="U14" s="80" t="s">
        <v>84</v>
      </c>
      <c r="V14" s="83"/>
      <c r="W14" s="83"/>
      <c r="X14" s="84" t="s">
        <v>12</v>
      </c>
      <c r="Y14" s="83"/>
      <c r="Z14" s="71"/>
    </row>
    <row r="15" spans="1:26" s="65" customFormat="1" ht="13.15" customHeight="1" thickBot="1" x14ac:dyDescent="0.25">
      <c r="A15" s="640"/>
      <c r="B15" s="112" t="s">
        <v>4</v>
      </c>
      <c r="C15" s="102">
        <f>'3rdBypasslane'!$M$11</f>
        <v>0</v>
      </c>
      <c r="D15" s="102">
        <f>'3rdBypasslane'!$N$11</f>
        <v>0</v>
      </c>
      <c r="E15" s="233">
        <f>'3rdBypasslane'!$O$11</f>
        <v>0</v>
      </c>
      <c r="F15" s="102">
        <f>'3rdBypasslane'!$P$11</f>
        <v>0</v>
      </c>
      <c r="G15" s="73"/>
      <c r="H15" s="335"/>
      <c r="I15" s="335"/>
      <c r="J15" s="335"/>
      <c r="K15" s="293" t="s">
        <v>9</v>
      </c>
      <c r="L15" s="373"/>
      <c r="M15" s="67" t="s">
        <v>3</v>
      </c>
      <c r="N15" s="67" t="s">
        <v>4</v>
      </c>
      <c r="O15" s="67" t="s">
        <v>5</v>
      </c>
      <c r="P15" s="70" t="s">
        <v>55</v>
      </c>
      <c r="Q15" s="335"/>
      <c r="R15" s="14"/>
      <c r="S15" s="73"/>
      <c r="T15" s="135"/>
      <c r="U15" s="211" t="s">
        <v>138</v>
      </c>
      <c r="V15" s="81"/>
      <c r="W15" s="209" t="s">
        <v>3</v>
      </c>
      <c r="X15" s="209" t="s">
        <v>4</v>
      </c>
      <c r="Y15" s="209" t="s">
        <v>5</v>
      </c>
      <c r="Z15" s="210" t="s">
        <v>55</v>
      </c>
    </row>
    <row r="16" spans="1:26" ht="13.15" customHeight="1" thickTop="1" x14ac:dyDescent="0.2">
      <c r="A16" s="640"/>
      <c r="B16" s="112" t="s">
        <v>5</v>
      </c>
      <c r="C16" s="102">
        <f>'3rdBypasslane'!$M$12</f>
        <v>0</v>
      </c>
      <c r="D16" s="102">
        <f>'3rdBypasslane'!$N$12</f>
        <v>0</v>
      </c>
      <c r="E16" s="102">
        <f>'3rdBypasslane'!$O$12</f>
        <v>0</v>
      </c>
      <c r="F16" s="233">
        <f>'3rdBypasslane'!$P$12</f>
        <v>0</v>
      </c>
      <c r="G16" s="73"/>
      <c r="K16" s="639" t="s">
        <v>13</v>
      </c>
      <c r="L16" s="214" t="s">
        <v>3</v>
      </c>
      <c r="M16" s="148">
        <f>'3rdBypasslane'!M16</f>
        <v>0</v>
      </c>
      <c r="N16" s="148">
        <f>IF($E$20="East",0,'3rdBypasslane'!N16)</f>
        <v>0</v>
      </c>
      <c r="O16" s="148">
        <f>'3rdBypasslane'!O16</f>
        <v>0</v>
      </c>
      <c r="P16" s="148">
        <f>'3rdBypasslane'!P16</f>
        <v>0</v>
      </c>
      <c r="R16" s="140"/>
      <c r="S16" s="73"/>
      <c r="T16" s="73"/>
      <c r="U16" s="639" t="s">
        <v>13</v>
      </c>
      <c r="V16" s="214" t="s">
        <v>3</v>
      </c>
      <c r="W16" s="153">
        <f t="shared" ref="W16:Z19" si="1">ROUND(1/(1+(W22*($Q$2-1))+(W28*($Q$3-1))+(W34*($Q$4-1))),3)</f>
        <v>1</v>
      </c>
      <c r="X16" s="153">
        <f t="shared" si="1"/>
        <v>1</v>
      </c>
      <c r="Y16" s="153">
        <f t="shared" si="1"/>
        <v>1</v>
      </c>
      <c r="Z16" s="153">
        <f t="shared" si="1"/>
        <v>1</v>
      </c>
    </row>
    <row r="17" spans="1:26" ht="13.15" customHeight="1" thickBot="1" x14ac:dyDescent="0.25">
      <c r="A17" s="641"/>
      <c r="B17" s="113" t="s">
        <v>55</v>
      </c>
      <c r="C17" s="233">
        <f>'3rdBypasslane'!$M$13</f>
        <v>0</v>
      </c>
      <c r="D17" s="102">
        <f>'3rdBypasslane'!$N$13</f>
        <v>0</v>
      </c>
      <c r="E17" s="102">
        <f>'3rdBypasslane'!$O$13</f>
        <v>0</v>
      </c>
      <c r="F17" s="102">
        <f>'3rdBypasslane'!$P$13</f>
        <v>0</v>
      </c>
      <c r="G17" s="75"/>
      <c r="K17" s="640"/>
      <c r="L17" s="214" t="s">
        <v>4</v>
      </c>
      <c r="M17" s="148">
        <f>'3rdBypasslane'!M17</f>
        <v>0</v>
      </c>
      <c r="N17" s="148">
        <f>'3rdBypasslane'!N17</f>
        <v>0</v>
      </c>
      <c r="O17" s="148">
        <f>IF($E$20="South",0,'3rdBypasslane'!O17)</f>
        <v>0</v>
      </c>
      <c r="P17" s="148">
        <f>'3rdBypasslane'!P17</f>
        <v>0</v>
      </c>
      <c r="R17" s="73"/>
      <c r="S17" s="73"/>
      <c r="U17" s="640"/>
      <c r="V17" s="214" t="s">
        <v>4</v>
      </c>
      <c r="W17" s="153">
        <f t="shared" si="1"/>
        <v>1</v>
      </c>
      <c r="X17" s="153">
        <f t="shared" si="1"/>
        <v>1</v>
      </c>
      <c r="Y17" s="153">
        <f t="shared" si="1"/>
        <v>1</v>
      </c>
      <c r="Z17" s="153">
        <f t="shared" si="1"/>
        <v>1</v>
      </c>
    </row>
    <row r="18" spans="1:26" ht="13.15" customHeight="1" x14ac:dyDescent="0.2">
      <c r="K18" s="640"/>
      <c r="L18" s="214" t="s">
        <v>5</v>
      </c>
      <c r="M18" s="148">
        <f>'3rdBypasslane'!M18</f>
        <v>0</v>
      </c>
      <c r="N18" s="148">
        <f>'3rdBypasslane'!N18</f>
        <v>0</v>
      </c>
      <c r="O18" s="148">
        <f>'3rdBypasslane'!O18</f>
        <v>0</v>
      </c>
      <c r="P18" s="148">
        <f>IF($E$20="West",0,'3rdBypasslane'!P18)</f>
        <v>0</v>
      </c>
      <c r="R18" s="557"/>
      <c r="S18" s="560"/>
      <c r="U18" s="640"/>
      <c r="V18" s="214" t="s">
        <v>5</v>
      </c>
      <c r="W18" s="153">
        <f t="shared" si="1"/>
        <v>1</v>
      </c>
      <c r="X18" s="153">
        <f t="shared" si="1"/>
        <v>1</v>
      </c>
      <c r="Y18" s="153">
        <f t="shared" si="1"/>
        <v>1</v>
      </c>
      <c r="Z18" s="153">
        <f t="shared" si="1"/>
        <v>1</v>
      </c>
    </row>
    <row r="19" spans="1:26" ht="13.15" customHeight="1" thickBot="1" x14ac:dyDescent="0.25">
      <c r="A19" s="95"/>
      <c r="B19" s="95"/>
      <c r="C19" s="95"/>
      <c r="D19" s="95"/>
      <c r="E19" s="95"/>
      <c r="F19" s="95"/>
      <c r="K19" s="641"/>
      <c r="L19" s="116" t="s">
        <v>55</v>
      </c>
      <c r="M19" s="148">
        <f>IF($E$20="North",0,'3rdBypasslane'!M19)</f>
        <v>0</v>
      </c>
      <c r="N19" s="148">
        <f>'3rdBypasslane'!N19</f>
        <v>0</v>
      </c>
      <c r="O19" s="148">
        <f>'3rdBypasslane'!O19</f>
        <v>0</v>
      </c>
      <c r="P19" s="148">
        <f>'3rdBypasslane'!P19</f>
        <v>0</v>
      </c>
      <c r="U19" s="641"/>
      <c r="V19" s="116" t="s">
        <v>55</v>
      </c>
      <c r="W19" s="153">
        <f t="shared" si="1"/>
        <v>1</v>
      </c>
      <c r="X19" s="153">
        <f t="shared" si="1"/>
        <v>1</v>
      </c>
      <c r="Y19" s="153">
        <f t="shared" si="1"/>
        <v>1</v>
      </c>
      <c r="Z19" s="153">
        <f t="shared" si="1"/>
        <v>1</v>
      </c>
    </row>
    <row r="20" spans="1:26" ht="13.15" customHeight="1" x14ac:dyDescent="0.2">
      <c r="A20" s="94" t="s">
        <v>53</v>
      </c>
      <c r="B20" s="95"/>
      <c r="C20" s="95"/>
      <c r="D20" s="95"/>
      <c r="E20" s="143" t="s">
        <v>89</v>
      </c>
      <c r="F20" s="264" t="s">
        <v>8</v>
      </c>
      <c r="K20" s="80" t="s">
        <v>46</v>
      </c>
      <c r="L20" s="83"/>
      <c r="M20" s="108"/>
      <c r="N20" s="104" t="s">
        <v>12</v>
      </c>
      <c r="O20" s="103"/>
      <c r="P20" s="105"/>
      <c r="U20" s="80" t="s">
        <v>25</v>
      </c>
      <c r="V20" s="83"/>
      <c r="W20" s="83"/>
      <c r="X20" s="84" t="s">
        <v>12</v>
      </c>
      <c r="Y20" s="83"/>
      <c r="Z20" s="71"/>
    </row>
    <row r="21" spans="1:26" ht="13.15" customHeight="1" thickBot="1" x14ac:dyDescent="0.25">
      <c r="A21" s="94" t="s">
        <v>54</v>
      </c>
      <c r="B21" s="95"/>
      <c r="C21" s="95"/>
      <c r="D21" s="95"/>
      <c r="E21" s="95" t="str">
        <f>IF(E20="South","East",IF(E20="West","South",IF(E20="North","West",IF(E20="East","North",use pull down))))</f>
        <v>East</v>
      </c>
      <c r="F21" s="94" t="s">
        <v>85</v>
      </c>
      <c r="K21" s="69" t="s">
        <v>57</v>
      </c>
      <c r="L21" s="81"/>
      <c r="M21" s="206" t="s">
        <v>3</v>
      </c>
      <c r="N21" s="207" t="s">
        <v>4</v>
      </c>
      <c r="O21" s="207" t="s">
        <v>5</v>
      </c>
      <c r="P21" s="208" t="s">
        <v>55</v>
      </c>
      <c r="U21" s="212" t="s">
        <v>139</v>
      </c>
      <c r="V21" s="81"/>
      <c r="W21" s="209" t="s">
        <v>3</v>
      </c>
      <c r="X21" s="209" t="s">
        <v>4</v>
      </c>
      <c r="Y21" s="209" t="s">
        <v>5</v>
      </c>
      <c r="Z21" s="210" t="s">
        <v>55</v>
      </c>
    </row>
    <row r="22" spans="1:26" ht="13.15" customHeight="1" thickTop="1" x14ac:dyDescent="0.2">
      <c r="A22" s="95"/>
      <c r="B22" s="95"/>
      <c r="C22" s="95"/>
      <c r="D22" s="95"/>
      <c r="E22" s="95"/>
      <c r="F22" s="95"/>
      <c r="I22" s="494"/>
      <c r="K22" s="639" t="s">
        <v>13</v>
      </c>
      <c r="L22" s="112" t="s">
        <v>3</v>
      </c>
      <c r="M22" s="302">
        <f>'3rdBypasslane'!M22</f>
        <v>0</v>
      </c>
      <c r="N22" s="302">
        <f>IF($E$20="East",0,'3rdBypasslane'!N22)</f>
        <v>0</v>
      </c>
      <c r="O22" s="302">
        <f>'3rdBypasslane'!O22</f>
        <v>0</v>
      </c>
      <c r="P22" s="302">
        <f>'3rdBypasslane'!P22</f>
        <v>0</v>
      </c>
      <c r="Q22" s="82"/>
      <c r="R22" s="82"/>
      <c r="S22" s="82"/>
      <c r="T22" s="82"/>
      <c r="U22" s="639" t="s">
        <v>13</v>
      </c>
      <c r="V22" s="214" t="s">
        <v>3</v>
      </c>
      <c r="W22" s="154">
        <f t="shared" ref="W22:Z25" si="2">ROUND(IF(M10=0,0,M22/M10),3)</f>
        <v>0</v>
      </c>
      <c r="X22" s="154">
        <f t="shared" si="2"/>
        <v>0</v>
      </c>
      <c r="Y22" s="154">
        <f t="shared" si="2"/>
        <v>0</v>
      </c>
      <c r="Z22" s="154">
        <f t="shared" si="2"/>
        <v>0</v>
      </c>
    </row>
    <row r="23" spans="1:26" ht="13.15" customHeight="1" x14ac:dyDescent="0.2">
      <c r="C23" s="494"/>
      <c r="I23" s="494"/>
      <c r="K23" s="640"/>
      <c r="L23" s="112" t="s">
        <v>4</v>
      </c>
      <c r="M23" s="302">
        <f>'3rdBypasslane'!M23</f>
        <v>0</v>
      </c>
      <c r="N23" s="302">
        <f>'3rdBypasslane'!N23</f>
        <v>0</v>
      </c>
      <c r="O23" s="302">
        <f>IF($E$20="South",0,'3rdBypasslane'!O23)</f>
        <v>0</v>
      </c>
      <c r="P23" s="302">
        <f>'3rdBypasslane'!P23</f>
        <v>0</v>
      </c>
      <c r="Q23" s="75"/>
      <c r="R23" s="75"/>
      <c r="U23" s="640"/>
      <c r="V23" s="214" t="s">
        <v>4</v>
      </c>
      <c r="W23" s="154">
        <f t="shared" si="2"/>
        <v>0</v>
      </c>
      <c r="X23" s="154">
        <f t="shared" si="2"/>
        <v>0</v>
      </c>
      <c r="Y23" s="154">
        <f t="shared" si="2"/>
        <v>0</v>
      </c>
      <c r="Z23" s="154">
        <f t="shared" si="2"/>
        <v>0</v>
      </c>
    </row>
    <row r="24" spans="1:26" ht="13.15" customHeight="1" x14ac:dyDescent="0.2">
      <c r="C24" s="494"/>
      <c r="I24" s="494"/>
      <c r="K24" s="640"/>
      <c r="L24" s="112" t="s">
        <v>5</v>
      </c>
      <c r="M24" s="302">
        <f>'3rdBypasslane'!M24</f>
        <v>0</v>
      </c>
      <c r="N24" s="302">
        <f>'3rdBypasslane'!N24</f>
        <v>0</v>
      </c>
      <c r="O24" s="302">
        <f>'3rdBypasslane'!O24</f>
        <v>0</v>
      </c>
      <c r="P24" s="302">
        <f>IF($E$20="West",0,'3rdBypasslane'!P24)</f>
        <v>0</v>
      </c>
      <c r="Q24" s="76"/>
      <c r="R24" s="76"/>
      <c r="U24" s="640"/>
      <c r="V24" s="214" t="s">
        <v>5</v>
      </c>
      <c r="W24" s="154">
        <f t="shared" si="2"/>
        <v>0</v>
      </c>
      <c r="X24" s="154">
        <f t="shared" si="2"/>
        <v>0</v>
      </c>
      <c r="Y24" s="154">
        <f t="shared" si="2"/>
        <v>0</v>
      </c>
      <c r="Z24" s="154">
        <f t="shared" si="2"/>
        <v>0</v>
      </c>
    </row>
    <row r="25" spans="1:26" ht="13.15" customHeight="1" thickBot="1" x14ac:dyDescent="0.25">
      <c r="A25" s="4"/>
      <c r="B25" s="68"/>
      <c r="C25" s="494"/>
      <c r="E25" s="79"/>
      <c r="F25" s="79"/>
      <c r="G25" s="79"/>
      <c r="H25" s="79"/>
      <c r="I25" s="79"/>
      <c r="K25" s="641"/>
      <c r="L25" s="113" t="s">
        <v>55</v>
      </c>
      <c r="M25" s="302">
        <f>IF($E$20="North",0,'3rdBypasslane'!M25)</f>
        <v>0</v>
      </c>
      <c r="N25" s="302">
        <f>'3rdBypasslane'!N25</f>
        <v>0</v>
      </c>
      <c r="O25" s="302">
        <f>'3rdBypasslane'!O25</f>
        <v>0</v>
      </c>
      <c r="P25" s="302">
        <f>'3rdBypasslane'!P25</f>
        <v>0</v>
      </c>
      <c r="Q25" s="79"/>
      <c r="R25" s="79"/>
      <c r="U25" s="641"/>
      <c r="V25" s="116" t="s">
        <v>55</v>
      </c>
      <c r="W25" s="154">
        <f t="shared" si="2"/>
        <v>0</v>
      </c>
      <c r="X25" s="154">
        <f t="shared" si="2"/>
        <v>0</v>
      </c>
      <c r="Y25" s="154">
        <f t="shared" si="2"/>
        <v>0</v>
      </c>
      <c r="Z25" s="154">
        <f t="shared" si="2"/>
        <v>0</v>
      </c>
    </row>
    <row r="26" spans="1:26" ht="13.15" customHeight="1" x14ac:dyDescent="0.2">
      <c r="C26" s="190" t="s">
        <v>260</v>
      </c>
      <c r="E26" s="79"/>
      <c r="F26" s="79"/>
      <c r="G26" s="79"/>
      <c r="H26" s="79"/>
      <c r="I26" s="79" t="s">
        <v>258</v>
      </c>
      <c r="K26" s="80" t="s">
        <v>58</v>
      </c>
      <c r="L26" s="83"/>
      <c r="M26" s="108"/>
      <c r="N26" s="104" t="s">
        <v>12</v>
      </c>
      <c r="O26" s="103"/>
      <c r="P26" s="105"/>
      <c r="Q26" s="79"/>
      <c r="R26" s="79"/>
      <c r="U26" s="80" t="s">
        <v>23</v>
      </c>
      <c r="V26" s="83"/>
      <c r="W26" s="83"/>
      <c r="X26" s="84" t="s">
        <v>12</v>
      </c>
      <c r="Y26" s="83"/>
      <c r="Z26" s="71"/>
    </row>
    <row r="27" spans="1:26" ht="13.15" customHeight="1" thickBot="1" x14ac:dyDescent="0.25">
      <c r="C27" s="494" t="s">
        <v>261</v>
      </c>
      <c r="E27" s="79"/>
      <c r="F27" s="79"/>
      <c r="G27" s="79"/>
      <c r="H27" s="79"/>
      <c r="I27" s="79" t="s">
        <v>259</v>
      </c>
      <c r="K27" s="69" t="s">
        <v>57</v>
      </c>
      <c r="L27" s="81"/>
      <c r="M27" s="206" t="s">
        <v>3</v>
      </c>
      <c r="N27" s="207" t="s">
        <v>4</v>
      </c>
      <c r="O27" s="207" t="s">
        <v>5</v>
      </c>
      <c r="P27" s="208" t="s">
        <v>55</v>
      </c>
      <c r="Q27" s="79"/>
      <c r="R27" s="79"/>
      <c r="U27" s="212" t="s">
        <v>140</v>
      </c>
      <c r="V27" s="81"/>
      <c r="W27" s="209" t="s">
        <v>3</v>
      </c>
      <c r="X27" s="209" t="s">
        <v>4</v>
      </c>
      <c r="Y27" s="209" t="s">
        <v>5</v>
      </c>
      <c r="Z27" s="210" t="s">
        <v>55</v>
      </c>
    </row>
    <row r="28" spans="1:26" ht="13.15" customHeight="1" thickTop="1" x14ac:dyDescent="0.2">
      <c r="E28" s="79"/>
      <c r="F28" s="79"/>
      <c r="G28" s="79"/>
      <c r="H28" s="79"/>
      <c r="I28" s="79"/>
      <c r="K28" s="639" t="s">
        <v>13</v>
      </c>
      <c r="L28" s="112" t="s">
        <v>3</v>
      </c>
      <c r="M28" s="302">
        <f>'3rdBypasslane'!M28</f>
        <v>0</v>
      </c>
      <c r="N28" s="302">
        <f>IF($E$20="East",0,'3rdBypasslane'!N28)</f>
        <v>0</v>
      </c>
      <c r="O28" s="302">
        <f>'3rdBypasslane'!O28</f>
        <v>0</v>
      </c>
      <c r="P28" s="302">
        <f>'3rdBypasslane'!P28</f>
        <v>0</v>
      </c>
      <c r="Q28" s="79"/>
      <c r="R28" s="79"/>
      <c r="S28" s="30"/>
      <c r="T28" s="22"/>
      <c r="U28" s="639" t="s">
        <v>13</v>
      </c>
      <c r="V28" s="214" t="s">
        <v>3</v>
      </c>
      <c r="W28" s="154">
        <f>ROUND(IF(M11=0,0,M28/M11),3)</f>
        <v>0</v>
      </c>
      <c r="X28" s="154">
        <f t="shared" ref="X28:Z31" si="3">ROUND(IF(N10=0,0,N28/N10),3)</f>
        <v>0</v>
      </c>
      <c r="Y28" s="154">
        <f t="shared" si="3"/>
        <v>0</v>
      </c>
      <c r="Z28" s="154">
        <f t="shared" si="3"/>
        <v>0</v>
      </c>
    </row>
    <row r="29" spans="1:26" ht="13.15" customHeight="1" x14ac:dyDescent="0.2">
      <c r="E29" s="79"/>
      <c r="F29" s="79"/>
      <c r="G29" s="79"/>
      <c r="H29" s="79"/>
      <c r="I29" s="79"/>
      <c r="K29" s="640"/>
      <c r="L29" s="112" t="s">
        <v>4</v>
      </c>
      <c r="M29" s="302">
        <f>'3rdBypasslane'!M29</f>
        <v>0</v>
      </c>
      <c r="N29" s="302">
        <f>'3rdBypasslane'!N29</f>
        <v>0</v>
      </c>
      <c r="O29" s="302">
        <f>IF($E$20="South",0,'3rdBypasslane'!O29)</f>
        <v>0</v>
      </c>
      <c r="P29" s="302">
        <f>'3rdBypasslane'!P29</f>
        <v>0</v>
      </c>
      <c r="Q29" s="79"/>
      <c r="R29" s="79"/>
      <c r="U29" s="640"/>
      <c r="V29" s="214" t="s">
        <v>4</v>
      </c>
      <c r="W29" s="154">
        <f>ROUND(IF(M11=0,0,M29/M11),3)</f>
        <v>0</v>
      </c>
      <c r="X29" s="154">
        <f t="shared" si="3"/>
        <v>0</v>
      </c>
      <c r="Y29" s="154">
        <f t="shared" si="3"/>
        <v>0</v>
      </c>
      <c r="Z29" s="154">
        <f t="shared" si="3"/>
        <v>0</v>
      </c>
    </row>
    <row r="30" spans="1:26" ht="13.15" customHeight="1" x14ac:dyDescent="0.2">
      <c r="E30" s="79"/>
      <c r="F30" s="79"/>
      <c r="G30" s="79"/>
      <c r="H30" s="79"/>
      <c r="I30" s="79"/>
      <c r="K30" s="640"/>
      <c r="L30" s="112" t="s">
        <v>5</v>
      </c>
      <c r="M30" s="302">
        <f>'3rdBypasslane'!M30</f>
        <v>0</v>
      </c>
      <c r="N30" s="302">
        <f>'3rdBypasslane'!N30</f>
        <v>0</v>
      </c>
      <c r="O30" s="302">
        <f>'3rdBypasslane'!O30</f>
        <v>0</v>
      </c>
      <c r="P30" s="302">
        <f>IF($E$20="West",0,'3rdBypasslane'!P30)</f>
        <v>0</v>
      </c>
      <c r="Q30" s="79"/>
      <c r="R30" s="79"/>
      <c r="U30" s="640"/>
      <c r="V30" s="214" t="s">
        <v>5</v>
      </c>
      <c r="W30" s="154">
        <f>ROUND(IF(M12=0,0,M29/M12),3)</f>
        <v>0</v>
      </c>
      <c r="X30" s="154">
        <f t="shared" si="3"/>
        <v>0</v>
      </c>
      <c r="Y30" s="154">
        <f t="shared" si="3"/>
        <v>0</v>
      </c>
      <c r="Z30" s="154">
        <f t="shared" si="3"/>
        <v>0</v>
      </c>
    </row>
    <row r="31" spans="1:26" ht="13.15" customHeight="1" thickBot="1" x14ac:dyDescent="0.25">
      <c r="E31" s="73"/>
      <c r="F31" s="73"/>
      <c r="G31" s="73"/>
      <c r="H31" s="73"/>
      <c r="I31" s="73"/>
      <c r="K31" s="641"/>
      <c r="L31" s="113" t="s">
        <v>55</v>
      </c>
      <c r="M31" s="302">
        <f>IF($E$20="North",0,'3rdBypasslane'!M31)</f>
        <v>0</v>
      </c>
      <c r="N31" s="302">
        <f>'3rdBypasslane'!N31</f>
        <v>0</v>
      </c>
      <c r="O31" s="302">
        <f>'3rdBypasslane'!O31</f>
        <v>0</v>
      </c>
      <c r="P31" s="302">
        <f>'3rdBypasslane'!P31</f>
        <v>0</v>
      </c>
      <c r="Q31" s="79"/>
      <c r="R31" s="79"/>
      <c r="U31" s="641"/>
      <c r="V31" s="116" t="s">
        <v>55</v>
      </c>
      <c r="W31" s="154">
        <f>ROUND(IF(M13=0,0,M30/M13),3)</f>
        <v>0</v>
      </c>
      <c r="X31" s="154">
        <f t="shared" si="3"/>
        <v>0</v>
      </c>
      <c r="Y31" s="154">
        <f t="shared" si="3"/>
        <v>0</v>
      </c>
      <c r="Z31" s="154">
        <f t="shared" si="3"/>
        <v>0</v>
      </c>
    </row>
    <row r="32" spans="1:26" ht="13.15" customHeight="1" x14ac:dyDescent="0.2">
      <c r="E32" s="76"/>
      <c r="F32" s="76"/>
      <c r="G32" s="76"/>
      <c r="H32" s="76"/>
      <c r="I32" s="76"/>
      <c r="K32" s="80" t="s">
        <v>45</v>
      </c>
      <c r="L32" s="83"/>
      <c r="M32" s="108"/>
      <c r="N32" s="104" t="s">
        <v>12</v>
      </c>
      <c r="O32" s="103"/>
      <c r="P32" s="105"/>
      <c r="Q32" s="75"/>
      <c r="R32" s="75"/>
      <c r="U32" s="80" t="s">
        <v>24</v>
      </c>
      <c r="V32" s="83"/>
      <c r="W32" s="83"/>
      <c r="X32" s="84" t="s">
        <v>12</v>
      </c>
      <c r="Y32" s="83"/>
      <c r="Z32" s="71"/>
    </row>
    <row r="33" spans="1:29" ht="13.15" customHeight="1" thickBot="1" x14ac:dyDescent="0.25">
      <c r="E33" s="17"/>
      <c r="F33" s="17"/>
      <c r="G33" s="17"/>
      <c r="H33" s="17"/>
      <c r="I33" s="17"/>
      <c r="K33" s="69" t="s">
        <v>57</v>
      </c>
      <c r="L33" s="81"/>
      <c r="M33" s="206" t="s">
        <v>3</v>
      </c>
      <c r="N33" s="207" t="s">
        <v>4</v>
      </c>
      <c r="O33" s="207" t="s">
        <v>5</v>
      </c>
      <c r="P33" s="208" t="s">
        <v>55</v>
      </c>
      <c r="Q33" s="76"/>
      <c r="R33" s="76"/>
      <c r="U33" s="212" t="s">
        <v>141</v>
      </c>
      <c r="V33" s="81"/>
      <c r="W33" s="209" t="s">
        <v>3</v>
      </c>
      <c r="X33" s="209" t="s">
        <v>4</v>
      </c>
      <c r="Y33" s="209" t="s">
        <v>5</v>
      </c>
      <c r="Z33" s="210" t="s">
        <v>55</v>
      </c>
    </row>
    <row r="34" spans="1:29" ht="13.15" customHeight="1" thickTop="1" x14ac:dyDescent="0.2">
      <c r="E34" s="79"/>
      <c r="F34" s="79"/>
      <c r="G34" s="79"/>
      <c r="I34" s="79"/>
      <c r="K34" s="639" t="s">
        <v>13</v>
      </c>
      <c r="L34" s="112" t="s">
        <v>3</v>
      </c>
      <c r="M34" s="302">
        <f>'3rdBypasslane'!M34</f>
        <v>0</v>
      </c>
      <c r="N34" s="302">
        <f>IF($E$20="East",0,'3rdBypasslane'!N34)</f>
        <v>0</v>
      </c>
      <c r="O34" s="302">
        <f>'3rdBypasslane'!O34</f>
        <v>0</v>
      </c>
      <c r="P34" s="302">
        <f>'3rdBypasslane'!P34</f>
        <v>0</v>
      </c>
      <c r="Q34" s="79"/>
      <c r="R34" s="79"/>
      <c r="S34" s="30"/>
      <c r="T34" s="22"/>
      <c r="U34" s="639" t="s">
        <v>13</v>
      </c>
      <c r="V34" s="214" t="s">
        <v>3</v>
      </c>
      <c r="W34" s="154">
        <f t="shared" ref="W34:Z37" si="4">ROUND(IF(M10=0,0,M34/M10),3)</f>
        <v>0</v>
      </c>
      <c r="X34" s="154">
        <f t="shared" si="4"/>
        <v>0</v>
      </c>
      <c r="Y34" s="154">
        <f t="shared" si="4"/>
        <v>0</v>
      </c>
      <c r="Z34" s="154">
        <f t="shared" si="4"/>
        <v>0</v>
      </c>
    </row>
    <row r="35" spans="1:29" ht="13.15" customHeight="1" x14ac:dyDescent="0.2">
      <c r="E35" s="72"/>
      <c r="F35" s="72"/>
      <c r="G35" s="72"/>
      <c r="H35" s="72"/>
      <c r="I35" s="72"/>
      <c r="K35" s="640"/>
      <c r="L35" s="112" t="s">
        <v>4</v>
      </c>
      <c r="M35" s="302">
        <f>'3rdBypasslane'!M35</f>
        <v>0</v>
      </c>
      <c r="N35" s="302">
        <f>'3rdBypasslane'!N35</f>
        <v>0</v>
      </c>
      <c r="O35" s="302">
        <f>IF($E$20="South",0,'3rdBypasslane'!O35)</f>
        <v>0</v>
      </c>
      <c r="P35" s="302">
        <f>'3rdBypasslane'!P35</f>
        <v>0</v>
      </c>
      <c r="Q35" s="79"/>
      <c r="R35" s="79"/>
      <c r="U35" s="640"/>
      <c r="V35" s="214" t="s">
        <v>4</v>
      </c>
      <c r="W35" s="154">
        <f t="shared" si="4"/>
        <v>0</v>
      </c>
      <c r="X35" s="154">
        <f t="shared" si="4"/>
        <v>0</v>
      </c>
      <c r="Y35" s="154">
        <f t="shared" si="4"/>
        <v>0</v>
      </c>
      <c r="Z35" s="154">
        <f t="shared" si="4"/>
        <v>0</v>
      </c>
    </row>
    <row r="36" spans="1:29" ht="13.15" customHeight="1" thickBot="1" x14ac:dyDescent="0.25">
      <c r="A36" s="125"/>
      <c r="B36" s="124" t="s">
        <v>104</v>
      </c>
      <c r="C36" s="125"/>
      <c r="D36" s="125"/>
      <c r="E36" s="126"/>
      <c r="F36" s="126"/>
      <c r="G36" s="126"/>
      <c r="H36" s="126"/>
      <c r="I36" s="126"/>
      <c r="J36" s="125"/>
      <c r="K36" s="640"/>
      <c r="L36" s="112" t="s">
        <v>5</v>
      </c>
      <c r="M36" s="302">
        <f>'3rdBypasslane'!M36</f>
        <v>0</v>
      </c>
      <c r="N36" s="302">
        <f>'3rdBypasslane'!N36</f>
        <v>0</v>
      </c>
      <c r="O36" s="302">
        <f>'3rdBypasslane'!O36</f>
        <v>0</v>
      </c>
      <c r="P36" s="302">
        <f>IF($E$20="West",0,'3rdBypasslane'!P36)</f>
        <v>0</v>
      </c>
      <c r="Q36" s="79"/>
      <c r="R36" s="79"/>
      <c r="U36" s="640"/>
      <c r="V36" s="214" t="s">
        <v>5</v>
      </c>
      <c r="W36" s="154">
        <f t="shared" si="4"/>
        <v>0</v>
      </c>
      <c r="X36" s="154">
        <f t="shared" si="4"/>
        <v>0</v>
      </c>
      <c r="Y36" s="154">
        <f t="shared" si="4"/>
        <v>0</v>
      </c>
      <c r="Z36" s="154">
        <f t="shared" si="4"/>
        <v>0</v>
      </c>
    </row>
    <row r="37" spans="1:29" ht="13.15" customHeight="1" thickTop="1" thickBot="1" x14ac:dyDescent="0.3">
      <c r="A37" s="342" t="s">
        <v>145</v>
      </c>
      <c r="E37" s="72"/>
      <c r="F37" s="72"/>
      <c r="G37" s="72"/>
      <c r="H37" s="72"/>
      <c r="I37" s="72"/>
      <c r="K37" s="641"/>
      <c r="L37" s="113" t="s">
        <v>55</v>
      </c>
      <c r="M37" s="302">
        <f>IF($E$20="North",0,'3rdBypasslane'!M37)</f>
        <v>0</v>
      </c>
      <c r="N37" s="302">
        <f>'3rdBypasslane'!N37</f>
        <v>0</v>
      </c>
      <c r="O37" s="302">
        <f>'3rdBypasslane'!O37</f>
        <v>0</v>
      </c>
      <c r="P37" s="302">
        <f>'3rdBypasslane'!P37</f>
        <v>0</v>
      </c>
      <c r="Q37" s="79"/>
      <c r="R37" s="79"/>
      <c r="U37" s="641"/>
      <c r="V37" s="116" t="s">
        <v>55</v>
      </c>
      <c r="W37" s="154">
        <f t="shared" si="4"/>
        <v>0</v>
      </c>
      <c r="X37" s="154">
        <f t="shared" si="4"/>
        <v>0</v>
      </c>
      <c r="Y37" s="154">
        <f t="shared" si="4"/>
        <v>0</v>
      </c>
      <c r="Z37" s="154">
        <f t="shared" si="4"/>
        <v>0</v>
      </c>
      <c r="AC37" s="372" t="s">
        <v>90</v>
      </c>
    </row>
    <row r="38" spans="1:29" ht="13.15" customHeight="1" thickBot="1" x14ac:dyDescent="0.3">
      <c r="A38" s="342" t="s">
        <v>123</v>
      </c>
      <c r="E38" s="72"/>
      <c r="F38" s="72"/>
      <c r="G38" s="72"/>
      <c r="H38" s="72"/>
      <c r="I38" s="72"/>
      <c r="K38" s="438" t="s">
        <v>56</v>
      </c>
      <c r="L38" s="439"/>
      <c r="M38" s="440"/>
      <c r="N38" s="104" t="s">
        <v>12</v>
      </c>
      <c r="O38" s="441"/>
      <c r="P38" s="442"/>
      <c r="Q38" s="79"/>
      <c r="AC38" s="372" t="s">
        <v>89</v>
      </c>
    </row>
    <row r="39" spans="1:29" ht="13.15" customHeight="1" thickBot="1" x14ac:dyDescent="0.3">
      <c r="A39" s="342" t="s">
        <v>108</v>
      </c>
      <c r="E39" s="72"/>
      <c r="F39" s="72"/>
      <c r="G39" s="72"/>
      <c r="H39" s="72"/>
      <c r="I39" s="72"/>
      <c r="K39" s="139" t="s">
        <v>31</v>
      </c>
      <c r="L39" s="443"/>
      <c r="M39" s="206" t="s">
        <v>3</v>
      </c>
      <c r="N39" s="207" t="s">
        <v>4</v>
      </c>
      <c r="O39" s="207" t="s">
        <v>5</v>
      </c>
      <c r="P39" s="208" t="s">
        <v>55</v>
      </c>
      <c r="Q39" s="79"/>
      <c r="R39" s="117" t="s">
        <v>43</v>
      </c>
      <c r="S39" s="118"/>
      <c r="T39" s="118"/>
      <c r="U39" s="118"/>
      <c r="V39" s="121"/>
      <c r="W39" s="83"/>
      <c r="X39" s="84" t="s">
        <v>12</v>
      </c>
      <c r="Y39" s="83"/>
      <c r="Z39" s="71"/>
      <c r="AC39" s="372" t="s">
        <v>91</v>
      </c>
    </row>
    <row r="40" spans="1:29" ht="13.15" customHeight="1" thickTop="1" thickBot="1" x14ac:dyDescent="0.3">
      <c r="A40" s="343" t="s">
        <v>109</v>
      </c>
      <c r="E40" s="72"/>
      <c r="F40" s="72"/>
      <c r="G40" s="72"/>
      <c r="H40" s="72"/>
      <c r="I40" s="72"/>
      <c r="K40" s="647" t="s">
        <v>13</v>
      </c>
      <c r="L40" s="231" t="s">
        <v>3</v>
      </c>
      <c r="M40" s="236">
        <f t="shared" ref="M40:P43" si="5">ROUND(IF(W16=0,0,W10/(W16)),0)</f>
        <v>0</v>
      </c>
      <c r="N40" s="236">
        <f t="shared" si="5"/>
        <v>0</v>
      </c>
      <c r="O40" s="236">
        <f t="shared" si="5"/>
        <v>0</v>
      </c>
      <c r="P40" s="237">
        <f t="shared" si="5"/>
        <v>0</v>
      </c>
      <c r="R40" s="114"/>
      <c r="S40" s="119"/>
      <c r="T40" s="119"/>
      <c r="U40" s="119"/>
      <c r="V40" s="120"/>
      <c r="W40" s="209" t="s">
        <v>3</v>
      </c>
      <c r="X40" s="209" t="s">
        <v>4</v>
      </c>
      <c r="Y40" s="209" t="s">
        <v>5</v>
      </c>
      <c r="Z40" s="210" t="s">
        <v>55</v>
      </c>
      <c r="AC40" s="372" t="s">
        <v>86</v>
      </c>
    </row>
    <row r="41" spans="1:29" ht="13.15" customHeight="1" thickTop="1" x14ac:dyDescent="0.3">
      <c r="A41" s="343" t="s">
        <v>110</v>
      </c>
      <c r="E41" s="72"/>
      <c r="F41" s="72"/>
      <c r="G41" s="72"/>
      <c r="H41" s="72"/>
      <c r="I41" s="72"/>
      <c r="K41" s="640"/>
      <c r="L41" s="231" t="s">
        <v>4</v>
      </c>
      <c r="M41" s="236">
        <f t="shared" si="5"/>
        <v>0</v>
      </c>
      <c r="N41" s="236">
        <f t="shared" si="5"/>
        <v>0</v>
      </c>
      <c r="O41" s="236">
        <f t="shared" si="5"/>
        <v>0</v>
      </c>
      <c r="P41" s="237">
        <f t="shared" si="5"/>
        <v>0</v>
      </c>
      <c r="Q41" s="76"/>
      <c r="R41" s="96" t="s">
        <v>137</v>
      </c>
      <c r="S41" s="89"/>
      <c r="T41" s="89"/>
      <c r="U41" s="89"/>
      <c r="V41" s="163" t="s">
        <v>33</v>
      </c>
      <c r="W41" s="162" t="e">
        <f>ROUND(M45*M49*W44,0)</f>
        <v>#DIV/0!</v>
      </c>
      <c r="X41" s="162" t="e">
        <f>ROUND(N45*N49*X44,0)</f>
        <v>#DIV/0!</v>
      </c>
      <c r="Y41" s="162" t="e">
        <f>ROUND(O45*O49*Y44,0)</f>
        <v>#DIV/0!</v>
      </c>
      <c r="Z41" s="169" t="e">
        <f>ROUND(P45*P49*Z44,0)</f>
        <v>#DIV/0!</v>
      </c>
    </row>
    <row r="42" spans="1:29" ht="13.15" customHeight="1" x14ac:dyDescent="0.3">
      <c r="A42" s="343" t="s">
        <v>111</v>
      </c>
      <c r="E42" s="72"/>
      <c r="F42" s="72"/>
      <c r="G42" s="72"/>
      <c r="H42" s="72"/>
      <c r="I42" s="72"/>
      <c r="K42" s="640"/>
      <c r="L42" s="231" t="s">
        <v>5</v>
      </c>
      <c r="M42" s="236">
        <f t="shared" si="5"/>
        <v>0</v>
      </c>
      <c r="N42" s="236">
        <f t="shared" si="5"/>
        <v>0</v>
      </c>
      <c r="O42" s="236">
        <f t="shared" si="5"/>
        <v>0</v>
      </c>
      <c r="P42" s="237">
        <f t="shared" si="5"/>
        <v>0</v>
      </c>
      <c r="R42" s="96" t="s">
        <v>72</v>
      </c>
      <c r="S42" s="89"/>
      <c r="T42" s="89"/>
      <c r="U42" s="89"/>
      <c r="V42" s="63" t="s">
        <v>31</v>
      </c>
      <c r="W42" s="162" t="e">
        <f>ROUND(M44*M47,0)</f>
        <v>#DIV/0!</v>
      </c>
      <c r="X42" s="162" t="e">
        <f>ROUND(N44*N47,0)</f>
        <v>#DIV/0!</v>
      </c>
      <c r="Y42" s="162" t="e">
        <f>ROUND(O44*O47,0)</f>
        <v>#DIV/0!</v>
      </c>
      <c r="Z42" s="169" t="e">
        <f>ROUND(P44*P47,0)</f>
        <v>#DIV/0!</v>
      </c>
    </row>
    <row r="43" spans="1:29" ht="13.15" customHeight="1" thickBot="1" x14ac:dyDescent="0.35">
      <c r="E43" s="72"/>
      <c r="F43" s="72"/>
      <c r="G43" s="72"/>
      <c r="H43" s="72"/>
      <c r="I43" s="72"/>
      <c r="K43" s="641"/>
      <c r="L43" s="232" t="s">
        <v>55</v>
      </c>
      <c r="M43" s="238">
        <f t="shared" si="5"/>
        <v>0</v>
      </c>
      <c r="N43" s="238">
        <f t="shared" si="5"/>
        <v>0</v>
      </c>
      <c r="O43" s="238">
        <f t="shared" si="5"/>
        <v>0</v>
      </c>
      <c r="P43" s="239">
        <f t="shared" si="5"/>
        <v>0</v>
      </c>
      <c r="R43" s="379" t="s">
        <v>66</v>
      </c>
      <c r="S43" s="89"/>
      <c r="T43" s="89"/>
      <c r="U43" s="89"/>
      <c r="V43" s="164" t="s">
        <v>37</v>
      </c>
      <c r="W43" s="170" t="e">
        <f>ROUND((Input!$P$48*EXP((-1*Input!$P$49)*M45))*M47*W44,0)</f>
        <v>#DIV/0!</v>
      </c>
      <c r="X43" s="170" t="e">
        <f>ROUND((Input!$P$48*EXP((-1*Input!$P$49)*N45))*N47*X44,0)</f>
        <v>#DIV/0!</v>
      </c>
      <c r="Y43" s="170" t="e">
        <f>ROUND((Input!$P$48*EXP((-1*Input!$P$49)*O45))*O47*Y44,0)</f>
        <v>#DIV/0!</v>
      </c>
      <c r="Z43" s="171" t="e">
        <f>ROUND((Input!$P$48*EXP((-1*Input!$P$49)*P45))*P47*Z44,0)</f>
        <v>#DIV/0!</v>
      </c>
    </row>
    <row r="44" spans="1:29" ht="13.15" customHeight="1" thickBot="1" x14ac:dyDescent="0.25">
      <c r="A44" s="125"/>
      <c r="B44" s="124" t="s">
        <v>103</v>
      </c>
      <c r="C44" s="125"/>
      <c r="D44" s="125"/>
      <c r="E44" s="126"/>
      <c r="F44" s="126"/>
      <c r="G44" s="126"/>
      <c r="H44" s="126"/>
      <c r="I44" s="126"/>
      <c r="J44" s="125"/>
      <c r="K44" s="269" t="s">
        <v>67</v>
      </c>
      <c r="L44" s="270"/>
      <c r="M44" s="266">
        <f>SUM(M40:M43)</f>
        <v>0</v>
      </c>
      <c r="N44" s="267">
        <f>SUM(N40:N43)</f>
        <v>0</v>
      </c>
      <c r="O44" s="267">
        <f>SUM(O40:O43)</f>
        <v>0</v>
      </c>
      <c r="P44" s="268">
        <f>SUM(P40:P43)</f>
        <v>0</v>
      </c>
      <c r="R44" s="96" t="s">
        <v>102</v>
      </c>
      <c r="S44" s="89"/>
      <c r="T44" s="89"/>
      <c r="U44" s="89"/>
      <c r="V44" s="165" t="s">
        <v>51</v>
      </c>
      <c r="W44" s="162">
        <f>ROUND(IF(M45&gt;881,1,IF(W7&lt;=101,1-(0.000137*(W7)),(1119.5-(0.715*M45)-(0.644*W7)+(0.00073*M45*W7))/((1068.6-(0.654*M45))))),3)</f>
        <v>1</v>
      </c>
      <c r="X44" s="162">
        <f>ROUND(IF(N45&gt;881,1,IF(X7&lt;=101,1-(0.000137*(X7)),(1119.5-(0.715*N45)-(0.644*X7)+(0.00073*N45*X7))/((1068.6-(0.654*N45))))),3)</f>
        <v>1</v>
      </c>
      <c r="Y44" s="162">
        <f>ROUND(IF(O45&gt;881,1,IF(Y7&lt;=101,1-(0.000137*(Y7)),(1119.5-(0.715*O45)-(0.644*Y7)+(0.00073*O45*Y7))/((1068.6-(0.654*O45))))),3)</f>
        <v>1</v>
      </c>
      <c r="Z44" s="169">
        <f>ROUND(IF(P45&gt;881,1,IF(Z7&lt;=101,1-(0.000137*(Z7)),(1119.5-(0.715*P45)-(0.644*Z7)+(0.00073*P45*Z7))/((1068.6-(0.654*P45))))),3)</f>
        <v>1</v>
      </c>
    </row>
    <row r="45" spans="1:29" ht="13.15" customHeight="1" thickTop="1" thickBot="1" x14ac:dyDescent="0.25">
      <c r="A45" s="342" t="s">
        <v>105</v>
      </c>
      <c r="E45" s="72"/>
      <c r="F45" s="72"/>
      <c r="G45" s="72"/>
      <c r="H45" s="72"/>
      <c r="I45" s="72"/>
      <c r="K45" s="312" t="s">
        <v>134</v>
      </c>
      <c r="L45" s="313"/>
      <c r="M45" s="307">
        <f>N41+N42+N43+O42+O43+P43</f>
        <v>0</v>
      </c>
      <c r="N45" s="307">
        <f>O40+O42+O43+P40+P43+M40</f>
        <v>0</v>
      </c>
      <c r="O45" s="307">
        <f>P40+P41+P43+M40+M41+N41</f>
        <v>0</v>
      </c>
      <c r="P45" s="308">
        <f>M40+M41+M42+N41+N42+O42</f>
        <v>0</v>
      </c>
      <c r="R45" s="285" t="s">
        <v>6</v>
      </c>
      <c r="S45" s="89"/>
      <c r="T45" s="89"/>
      <c r="U45" s="89"/>
      <c r="V45" s="248" t="s">
        <v>36</v>
      </c>
      <c r="W45" s="249" t="e">
        <f>ROUND((W42)/(W43),2)</f>
        <v>#DIV/0!</v>
      </c>
      <c r="X45" s="249" t="e">
        <f t="shared" ref="X45:Z45" si="6">ROUND((X42)/(X43),2)</f>
        <v>#DIV/0!</v>
      </c>
      <c r="Y45" s="249" t="e">
        <f t="shared" si="6"/>
        <v>#DIV/0!</v>
      </c>
      <c r="Z45" s="247" t="e">
        <f t="shared" si="6"/>
        <v>#DIV/0!</v>
      </c>
    </row>
    <row r="46" spans="1:29" ht="13.15" customHeight="1" thickBot="1" x14ac:dyDescent="0.25">
      <c r="A46" s="343" t="s">
        <v>114</v>
      </c>
      <c r="E46" s="73"/>
      <c r="F46" s="73"/>
      <c r="G46" s="73"/>
      <c r="H46" s="73"/>
      <c r="I46" s="73"/>
      <c r="K46" s="444" t="s">
        <v>185</v>
      </c>
      <c r="L46" s="445"/>
      <c r="M46" s="315" t="e">
        <f>IF($E$20="North",IF($B$61=7,(0*$D$52+W46*W42)/($D$52+W42),($D$54*$D$52+W46*W42)/($D$52+W42)),'3rdBypasslane'!M46)</f>
        <v>#DIV/0!</v>
      </c>
      <c r="N46" s="315">
        <f>IF($E$20="East",IF($B$61=7,(0*$D$52+X46*X42)/($D$52+X42),($D$54*$D$52+X46*X42)/($D$52+X42)),'3rdBypasslane'!N46)</f>
        <v>0</v>
      </c>
      <c r="O46" s="315" t="e">
        <f>IF($E$20="South",IF($B$61=7,(0*$D$52+Y46*Y42)/($D$52+Y42),($D$54*$D$52+Y46*Y42)/($D$52+Y42)),'3rdBypasslane'!O46)</f>
        <v>#DIV/0!</v>
      </c>
      <c r="P46" s="315" t="e">
        <f>IF($E$20="West",IF($B$61=7,(0*$D$52+Z46*Z42)/($D$52+Z42),($D$54*$D$52+Z46*Z42)/($D$52+Z42)),'3rdBypasslane'!P46)</f>
        <v>#DIV/0!</v>
      </c>
      <c r="R46" s="282" t="s">
        <v>149</v>
      </c>
      <c r="S46" s="89"/>
      <c r="T46" s="89"/>
      <c r="U46" s="89"/>
      <c r="V46" s="138" t="s">
        <v>38</v>
      </c>
      <c r="W46" s="172" t="e">
        <f>ROUND((3600/(W43))+((900*$X$3)*(W45-1+((W45-1)^2+((3600/(W43))*W45)/(450*$X$3))^(1/2)))+(5*MIN(W45,1)),1)</f>
        <v>#DIV/0!</v>
      </c>
      <c r="X46" s="172" t="e">
        <f>ROUND((3600/(X43))+((900*$X$3)*(X45-1+((X45-1)^2+((3600/(X43))*X45)/(450*$X$3))^(1/2)))+(5*MIN(X45,1)),1)</f>
        <v>#DIV/0!</v>
      </c>
      <c r="Y46" s="172" t="e">
        <f>ROUND((3600/(Y43))+((900*$X$3)*(Y45-1+((Y45-1)^2+((3600/(Y43))*Y45)/(450*$X$3))^(1/2)))+(5*MIN(Y45,1)),1)</f>
        <v>#DIV/0!</v>
      </c>
      <c r="Z46" s="173" t="e">
        <f>ROUND((3600/(Z43))+((900*$X$3)*(Z45-1+((Z45-1)^2+((3600/(Z43))*Z45)/(450*$X$3))^(1/2)))+(5*MIN(Z45,1)),1)</f>
        <v>#DIV/0!</v>
      </c>
    </row>
    <row r="47" spans="1:29" ht="13.15" customHeight="1" thickBot="1" x14ac:dyDescent="0.25">
      <c r="A47" s="343" t="s">
        <v>112</v>
      </c>
      <c r="E47" s="76"/>
      <c r="F47" s="76"/>
      <c r="G47" s="76"/>
      <c r="H47" s="76"/>
      <c r="I47" s="76"/>
      <c r="K47" s="317" t="s">
        <v>150</v>
      </c>
      <c r="L47" s="381"/>
      <c r="M47" s="309" t="e">
        <f>ROUND(1/(1+(((M22+M23+M24+M25)/(M10+M11+M12+M13))*($Q$2-1))+(((M28+M29+M30+M31)/(M10+M11+M12+M13))*($Q$3-1))+(((M34+M35+M36+M37)/(M10+M11+M12+M13))*($Q$4-1))),3)</f>
        <v>#DIV/0!</v>
      </c>
      <c r="N47" s="309" t="e">
        <f>ROUND(1/(1+(((N22+N23+N24+N25)/(N10+N11+N12+N13))*($Q$2-1))+(((N28+N29+N30+N31)/(N10+N11+N12+N13))*($Q$3-1))+(((N34+N35+N36+N37)/(N10+N11+N12+N13))*($Q$4-1))),3)</f>
        <v>#DIV/0!</v>
      </c>
      <c r="O47" s="309" t="e">
        <f>ROUND(1/(1+(((O22+O23+O24+O25)/(O10+O11+O12+O13))*($Q$2-1))+(((O28+O29+O30+O31)/(O10+O11+O12+O13))*($Q$3-1))+(((O34+O35+O36+O37)/(O10+O11+O12+O13))*($Q$4-1))),3)</f>
        <v>#DIV/0!</v>
      </c>
      <c r="P47" s="310" t="e">
        <f>ROUND(1/(1+(((P22+P23+P24+P25)/(P10+P11+P12+P13))*($Q$2-1))+(((P28+P29+P30+P31)/(P10+P11+P12+P13))*($Q$3-1))+(((P34+P35+P36+P37)/(P10+P11+P12+P13))*($Q$4-1))),3)</f>
        <v>#DIV/0!</v>
      </c>
      <c r="R47" s="92" t="s">
        <v>7</v>
      </c>
      <c r="S47" s="90"/>
      <c r="T47" s="90"/>
      <c r="U47" s="90"/>
      <c r="V47" s="166" t="s">
        <v>34</v>
      </c>
      <c r="W47" s="174" t="e">
        <f>IF(W45&gt;1,"F",IF(W46&gt;50,"F",IF(W46&gt;35,"E",IF(W46&gt;25,"D",IF(W46&gt;15,"C",IF(W46&gt;10,"B","A"))))))</f>
        <v>#DIV/0!</v>
      </c>
      <c r="X47" s="174" t="e">
        <f t="shared" ref="X47:Z47" si="7">IF(X45&gt;1,"F",IF(X46&gt;50,"F",IF(X46&gt;35,"E",IF(X46&gt;25,"D",IF(X46&gt;15,"C",IF(X46&gt;10,"B","A"))))))</f>
        <v>#DIV/0!</v>
      </c>
      <c r="Y47" s="174" t="e">
        <f t="shared" si="7"/>
        <v>#DIV/0!</v>
      </c>
      <c r="Z47" s="175" t="e">
        <f t="shared" si="7"/>
        <v>#DIV/0!</v>
      </c>
    </row>
    <row r="48" spans="1:29" ht="13.15" customHeight="1" thickBot="1" x14ac:dyDescent="0.25">
      <c r="A48" s="343" t="s">
        <v>113</v>
      </c>
      <c r="E48" s="72"/>
      <c r="F48" s="72"/>
      <c r="G48" s="72"/>
      <c r="H48" s="72"/>
      <c r="I48" s="72"/>
      <c r="K48" s="318" t="s">
        <v>183</v>
      </c>
      <c r="L48" s="384"/>
      <c r="M48" s="385">
        <f>Bypasslane!M48</f>
        <v>0</v>
      </c>
      <c r="N48" s="385">
        <f>Bypasslane!N48</f>
        <v>0</v>
      </c>
      <c r="O48" s="385">
        <f>Bypasslane!O48</f>
        <v>0</v>
      </c>
      <c r="P48" s="386">
        <f>Bypasslane!P48</f>
        <v>0</v>
      </c>
      <c r="R48" s="253" t="s">
        <v>173</v>
      </c>
      <c r="S48" s="93"/>
      <c r="T48" s="93"/>
      <c r="U48" s="127"/>
      <c r="V48" s="167" t="s">
        <v>147</v>
      </c>
      <c r="W48" s="176" t="e">
        <f>ROUND(((900*$X$3)*(W45-1+((1-W45)^2+((3600/(W43))*W45)/(150*$X$3))^(1/2)))*(W43/3600),0)</f>
        <v>#DIV/0!</v>
      </c>
      <c r="X48" s="176" t="e">
        <f>ROUND(((900*$X$3)*(X45-1+((1-X45)^2+((3600/(X43))*X45)/(150*$X$3))^(1/2)))*(X43/3600),0)</f>
        <v>#DIV/0!</v>
      </c>
      <c r="Y48" s="176" t="e">
        <f>ROUND(((900*$X$3)*(Y45-1+((1-Y45)^2+((3600/(Y43))*Y45)/(150*$X$3))^(1/2)))*(Y43/3600),0)</f>
        <v>#DIV/0!</v>
      </c>
      <c r="Z48" s="289" t="e">
        <f>ROUND(((900*$X$3)*(Z45-1+((1-Z45)^2+((3600/(Z43))*Z45)/(150*$X$3))^(1/2)))*(Z43/3600),0)</f>
        <v>#DIV/0!</v>
      </c>
    </row>
    <row r="49" spans="1:32" ht="13.15" customHeight="1" thickBot="1" x14ac:dyDescent="0.25">
      <c r="E49" s="74"/>
      <c r="F49" s="74"/>
      <c r="G49" s="74"/>
      <c r="H49" s="74"/>
      <c r="I49" s="74"/>
      <c r="K49" s="276" t="s">
        <v>146</v>
      </c>
      <c r="L49" s="446"/>
      <c r="M49" s="278" t="e">
        <f>ROUND(1/(1+(((P25+N23+N24+N25+O25+O24)/(P13+N11+N12+N13+O13+O12))*($Q$2-1))+(((P31+N29+N30+N31+O31+O30)/(P13+N11+N12+N13+O13+O12))*($Q$3-1))+(((P37+N35+N36+N37+O36+O37)/(P13+N11+N12+N13+O13+O12))*($Q$4-1))),3)</f>
        <v>#DIV/0!</v>
      </c>
      <c r="N49" s="278" t="e">
        <f>ROUND(1/(1+(((O22+O24+O25+P22+P25+M22)/(O10+O12+O13+P10+P13+M10))*($Q$2-1))+(((O28+O30+O31+P28+P31+M28)/(O10+O12+O13+P10+P13+M10))*($Q$3-1))+(((O34+O36+O37+P34+P37+M34)/(O10+O12+O13+P10+P13+M10))*($Q$4-1))),3)</f>
        <v>#DIV/0!</v>
      </c>
      <c r="O49" s="279" t="e">
        <f>ROUND(1/(1+(((P22+P23+P25+N23+M23+M22)/(P10+P11+P13+N11+M11+M10))*($Q$2-1))+(((P28+P29+P31+N29+M29+M28)/(P10+P11+P13+N11+M11+M10))*($Q$3-1))+(((P34+P35+P37+N35+M34+M35)/(P10+P11+P13+N11+M11+M10))*($Q$4-1))),3)</f>
        <v>#DIV/0!</v>
      </c>
      <c r="P49" s="280" t="e">
        <f>ROUND(1/(1+(((M22+M23+M24+N23+N24+O24)/(M10+M11+M12+N11+N12+O12))*($Q$2-1))+(((M28+M29+M30+N29+N30+O30)/(M10+M11+M12+N11+N12+O12))*($Q$3-1))+(((M34+M35+M36+N35+N36+O36)/(M10+M11+M12+N11+N12+O12))*($Q$4-1))),3)</f>
        <v>#DIV/0!</v>
      </c>
      <c r="Q49" s="73"/>
    </row>
    <row r="50" spans="1:32" ht="13.15" customHeight="1" thickBot="1" x14ac:dyDescent="0.25">
      <c r="D50" s="97">
        <f>ROUND((Input!$P$51*EXP((-1*Input!$P$52)*IF(E20="South",Singlelane!B48,IF(E20="North",Singlelane!B50,IF(E20="East",Singlelane!B47,Singlelane!B49))))),0)</f>
        <v>1130</v>
      </c>
      <c r="E50" s="132" t="s">
        <v>60</v>
      </c>
      <c r="F50" s="72"/>
      <c r="G50" s="133"/>
      <c r="H50" s="72"/>
      <c r="I50" s="72"/>
      <c r="K50" s="319" t="s">
        <v>184</v>
      </c>
      <c r="L50" s="447"/>
      <c r="M50" s="448">
        <f>'2ndBypasslane'!M50</f>
        <v>0</v>
      </c>
      <c r="N50" s="448">
        <f>'2ndBypasslane'!N50</f>
        <v>0</v>
      </c>
      <c r="O50" s="448">
        <f>'2ndBypasslane'!O50</f>
        <v>0</v>
      </c>
      <c r="P50" s="448">
        <f>'2ndBypasslane'!P50</f>
        <v>0</v>
      </c>
      <c r="Q50" s="73"/>
    </row>
    <row r="51" spans="1:32" ht="13.15" customHeight="1" thickBot="1" x14ac:dyDescent="0.25">
      <c r="A51" s="335" t="s">
        <v>65</v>
      </c>
      <c r="C51" s="342" t="s">
        <v>61</v>
      </c>
      <c r="D51" s="97">
        <f>ROUND(D50*(IF(E20="South",'2ndBypasslane'!Y17*'2ndBypasslane'!Y44,IF(E20="North",'2ndBypasslane'!W19*'2ndBypasslane'!W44,IF(E20="East",'2ndBypasslane'!X16*'2ndBypasslane'!X16,'2ndBypasslane'!Z18*'2ndBypasslane'!Z44)))),0)</f>
        <v>1130</v>
      </c>
      <c r="E51" s="335" t="s">
        <v>63</v>
      </c>
      <c r="G51" s="134"/>
      <c r="K51" s="450" t="s">
        <v>221</v>
      </c>
      <c r="L51" s="462"/>
      <c r="M51" s="463">
        <f>'3rdBypasslane'!M51</f>
        <v>0</v>
      </c>
      <c r="N51" s="464">
        <f>'3rdBypasslane'!N50</f>
        <v>0</v>
      </c>
      <c r="O51" s="464">
        <f>'3rdBypasslane'!O50</f>
        <v>0</v>
      </c>
      <c r="P51" s="464">
        <f>'3rdBypasslane'!P50</f>
        <v>0</v>
      </c>
      <c r="Q51" s="73"/>
      <c r="R51" s="281" t="s">
        <v>148</v>
      </c>
      <c r="S51" s="91"/>
      <c r="T51" s="91"/>
      <c r="U51" s="128"/>
      <c r="V51" s="452" t="s">
        <v>35</v>
      </c>
      <c r="W51" s="642" t="e">
        <f>IF(SUM(M10:M13)=0,((N54)*(X42+N48+N50+N51+N52)+(O54)*(Y42+O48+O50+O51+O52)+(P54)*(Z42+P48+P50+P51+P52))/( X42+N48+N50+N51+N52+Y42+O48+O50+O51+O52+Z42+P48+P50+P51+P52),IF(SUM(N10:N13)=0,((M54)*(W42+M48+M50+M51+M52)+(O54)*(Y42+O48+O50+O51+O52)+(P54)*(Z42+P48+P50+P51+P52))/(W42+M48+M50+M51+M52+Y42+O48+O50+O51+O52+Z42+P48+P50+P51+P52),IF(SUM(O10:O13)=0,((M54)*(W42+M48+M50+M51+M52)+(N54)*(X42+N48+N50+N51+N52)+(P54)*(Z42+P48+P50+P51+P52))/(W42+M48+M50+M51+M52+X42+N48+N50+N51+N52+Z42+P48+P50+P51+P52),IF(SUM(P10:P13)=0,((M54)*(W42+M48+M50+M51+M52)+(N54)*(X42+N48+N50+N51+N52)+(O54)*(Y42+O48+O50+O51+O52))/(W42+M48+M50+M51+M52+X42+N48+N50+M51+M52+Y42+O48+O50+O51+O52),((M54)*(W42+M48+M50+M51+M52)+(N54)*(X42+N48+N50+N51+N52)+(O54)*(Y42+O48+O50+O51+O52)+(P54)*(Z42+P48+P50+P51+P52))/(W42+M48+M50+M51+M52+X42+N48+N50+N51+N52+Y42+O48+O50+O51+O52+Z42+P48+P50+P51+P52)))))</f>
        <v>#DIV/0!</v>
      </c>
      <c r="X51" s="659"/>
      <c r="Y51" s="659"/>
      <c r="Z51" s="660"/>
    </row>
    <row r="52" spans="1:32" ht="13.15" customHeight="1" thickBot="1" x14ac:dyDescent="0.25">
      <c r="A52" s="335" t="s">
        <v>64</v>
      </c>
      <c r="C52" s="342" t="s">
        <v>62</v>
      </c>
      <c r="D52" s="97">
        <f>ROUND(IF(E20="South",'2ndBypasslane'!Y11,IF(E20="North",'2ndBypasslane'!W13,IF(E20="East",'2ndBypasslane'!X10,'2ndBypasslane'!Z12))),0)</f>
        <v>0</v>
      </c>
      <c r="E52" s="335" t="s">
        <v>63</v>
      </c>
      <c r="G52" s="134"/>
      <c r="H52" s="342"/>
      <c r="K52" s="450" t="s">
        <v>225</v>
      </c>
      <c r="L52" s="451"/>
      <c r="M52" s="449">
        <f>IF($E$20="North",$D$52,0)</f>
        <v>0</v>
      </c>
      <c r="N52" s="321">
        <f>IF($E$20="East",$D$52,0)</f>
        <v>0</v>
      </c>
      <c r="O52" s="321">
        <f>IF($E$20="South",$D$52,0)</f>
        <v>0</v>
      </c>
      <c r="P52" s="321">
        <f>IF($E$20="West",$D$52,0)</f>
        <v>0</v>
      </c>
      <c r="Q52" s="73"/>
      <c r="R52" s="92" t="s">
        <v>40</v>
      </c>
      <c r="S52" s="90"/>
      <c r="T52" s="90"/>
      <c r="U52" s="129"/>
      <c r="V52" s="168" t="s">
        <v>34</v>
      </c>
      <c r="W52" s="629" t="e">
        <f>IF(W51&gt;50,"F",IF(W51&gt;35,"E",IF(W51&gt;25,"D",IF(W51&gt;15,"C",IF(W51&gt;10,"B","A")))))</f>
        <v>#DIV/0!</v>
      </c>
      <c r="X52" s="630"/>
      <c r="Y52" s="630"/>
      <c r="Z52" s="631"/>
    </row>
    <row r="53" spans="1:32" ht="13.15" customHeight="1" x14ac:dyDescent="0.2">
      <c r="A53" s="342" t="s">
        <v>69</v>
      </c>
      <c r="C53" s="342" t="s">
        <v>68</v>
      </c>
      <c r="D53" s="263">
        <f>ROUND(D52/D51,2)</f>
        <v>0</v>
      </c>
      <c r="G53" s="134"/>
      <c r="L53" s="342"/>
      <c r="Q53" s="393" t="str">
        <f>Singlelane!B6</f>
        <v>Project Name</v>
      </c>
    </row>
    <row r="54" spans="1:32" ht="13.15" customHeight="1" x14ac:dyDescent="0.2">
      <c r="A54" s="342" t="s">
        <v>70</v>
      </c>
      <c r="D54" s="164">
        <f>ROUND((3600/(D51))+((900*Singlelane!$N$3)*(D53-1+((D53-1)^2+((3600/(D51))*D53)/(450*Singlelane!$N$3))^(1/2)))+(5*MIN(D53,1)),1)</f>
        <v>3.2</v>
      </c>
      <c r="E54" s="342" t="s">
        <v>71</v>
      </c>
      <c r="G54" s="134"/>
      <c r="M54" s="336" t="e">
        <f>ROUND((IF(M46=0,W46,M46)),1)</f>
        <v>#DIV/0!</v>
      </c>
      <c r="N54" s="336" t="e">
        <f>ROUND((IF(N46=0,X46,N46)),1)</f>
        <v>#DIV/0!</v>
      </c>
      <c r="O54" s="336" t="e">
        <f>ROUND((IF(O46=0,Y46,O46)),1)</f>
        <v>#DIV/0!</v>
      </c>
      <c r="P54" s="336" t="e">
        <f>ROUND((IF(P46=0,Z46,P46)),1)</f>
        <v>#DIV/0!</v>
      </c>
    </row>
    <row r="55" spans="1:32" ht="13.15" customHeight="1" x14ac:dyDescent="0.2">
      <c r="A55" s="342" t="s">
        <v>7</v>
      </c>
      <c r="D55" s="85" t="str">
        <f>IF(D53&gt;1,"F",IF(D54&gt;50,"F",IF(D54&gt;35,"E",IF(D54&gt;25,"D",IF(D54&gt;15,"C",IF(D54&gt;10,"B","A"))))))</f>
        <v>A</v>
      </c>
      <c r="G55" s="134"/>
    </row>
    <row r="56" spans="1:32" ht="13.15" customHeight="1" x14ac:dyDescent="0.2">
      <c r="A56" s="342" t="s">
        <v>213</v>
      </c>
      <c r="D56" s="85"/>
      <c r="E56" s="371" t="s">
        <v>214</v>
      </c>
    </row>
    <row r="57" spans="1:32" ht="13.15" customHeight="1" x14ac:dyDescent="0.2">
      <c r="C57" s="190" t="s">
        <v>151</v>
      </c>
      <c r="G57" s="496" t="s">
        <v>236</v>
      </c>
    </row>
    <row r="58" spans="1:32" ht="13.15" customHeight="1" x14ac:dyDescent="0.2">
      <c r="A58" s="342" t="s">
        <v>237</v>
      </c>
      <c r="C58" s="186"/>
      <c r="G58" s="342"/>
      <c r="O58" s="393"/>
      <c r="P58" s="393"/>
      <c r="Q58" s="393"/>
      <c r="R58" s="393"/>
      <c r="S58" s="393"/>
      <c r="T58" s="393"/>
      <c r="U58" s="393"/>
      <c r="V58" s="3"/>
    </row>
    <row r="59" spans="1:32" ht="13.15" customHeight="1" x14ac:dyDescent="0.2">
      <c r="A59" s="75"/>
      <c r="B59" s="75"/>
      <c r="C59" s="75"/>
      <c r="O59" s="393"/>
      <c r="P59" s="393"/>
      <c r="Q59" s="393"/>
      <c r="R59" s="393"/>
      <c r="S59" s="393"/>
      <c r="T59" s="393"/>
      <c r="U59" s="393"/>
      <c r="V59" s="3"/>
    </row>
    <row r="60" spans="1:32" ht="13.15" customHeight="1" x14ac:dyDescent="0.2">
      <c r="O60" s="393"/>
      <c r="P60" s="393"/>
      <c r="Q60" s="393"/>
      <c r="R60" s="393"/>
      <c r="S60" s="393"/>
      <c r="T60" s="393"/>
      <c r="U60" s="393"/>
      <c r="V60" s="3"/>
    </row>
    <row r="61" spans="1:32" ht="13.15" customHeight="1" x14ac:dyDescent="0.2">
      <c r="B61" s="336">
        <v>8</v>
      </c>
    </row>
    <row r="62" spans="1:32" ht="13.15" customHeight="1" x14ac:dyDescent="0.2"/>
    <row r="63" spans="1:32" ht="13.15" customHeight="1" x14ac:dyDescent="0.2">
      <c r="A63" s="75"/>
      <c r="B63" s="75"/>
      <c r="C63" s="75"/>
      <c r="D63" s="73"/>
      <c r="AF63" s="349"/>
    </row>
    <row r="64" spans="1:32" ht="13.15" customHeight="1" x14ac:dyDescent="0.2">
      <c r="A64" s="75"/>
      <c r="B64" s="75"/>
      <c r="C64" s="75"/>
      <c r="D64" s="73"/>
      <c r="AF64" s="367"/>
    </row>
    <row r="65" spans="1:10" ht="13.15" customHeight="1" x14ac:dyDescent="0.2"/>
    <row r="66" spans="1:10" ht="13.15" customHeight="1" x14ac:dyDescent="0.2"/>
    <row r="67" spans="1:10" ht="13.15" customHeight="1" x14ac:dyDescent="0.2"/>
    <row r="68" spans="1:10" ht="13.15" customHeight="1" x14ac:dyDescent="0.2"/>
    <row r="69" spans="1:10" ht="13.15" customHeight="1" x14ac:dyDescent="0.2"/>
    <row r="70" spans="1:10" ht="13.15" customHeight="1" x14ac:dyDescent="0.2"/>
    <row r="71" spans="1:10" ht="13.15" customHeight="1" x14ac:dyDescent="0.2"/>
    <row r="72" spans="1:10" ht="13.15" customHeight="1" x14ac:dyDescent="0.2"/>
    <row r="73" spans="1:10" ht="13.15" customHeight="1" x14ac:dyDescent="0.2"/>
    <row r="74" spans="1:10" ht="13.15" customHeight="1" x14ac:dyDescent="0.2"/>
    <row r="75" spans="1:10" ht="13.15" customHeight="1" x14ac:dyDescent="0.2">
      <c r="A75" s="16"/>
      <c r="B75" s="74"/>
      <c r="C75" s="73"/>
      <c r="D75" s="73"/>
    </row>
    <row r="76" spans="1:10" ht="13.15" customHeight="1" x14ac:dyDescent="0.2">
      <c r="A76" s="16"/>
      <c r="B76" s="72"/>
      <c r="C76" s="73"/>
      <c r="D76" s="76"/>
    </row>
    <row r="77" spans="1:10" ht="13.15" customHeight="1" x14ac:dyDescent="0.2"/>
    <row r="78" spans="1:10" ht="13.15" customHeight="1" x14ac:dyDescent="0.2">
      <c r="J78" s="68"/>
    </row>
    <row r="79" spans="1:10" ht="13.15" customHeight="1" x14ac:dyDescent="0.2"/>
    <row r="80" spans="1:10" ht="13.15" customHeight="1" x14ac:dyDescent="0.2"/>
    <row r="81" ht="13.15" customHeight="1" x14ac:dyDescent="0.2"/>
    <row r="82" ht="13.15" customHeight="1" x14ac:dyDescent="0.2"/>
    <row r="83" ht="13.15" customHeight="1" x14ac:dyDescent="0.2"/>
    <row r="84" ht="13.15" customHeight="1" x14ac:dyDescent="0.2"/>
    <row r="85" ht="13.15" customHeight="1" x14ac:dyDescent="0.2"/>
    <row r="86" ht="13.15" customHeight="1" x14ac:dyDescent="0.2"/>
    <row r="87" ht="13.15" customHeight="1" x14ac:dyDescent="0.2"/>
    <row r="88" ht="13.15" customHeight="1" x14ac:dyDescent="0.2"/>
    <row r="89" ht="13.15" customHeight="1" x14ac:dyDescent="0.2"/>
    <row r="90" ht="13.15" customHeight="1" x14ac:dyDescent="0.2"/>
    <row r="91" ht="13.15" customHeight="1" x14ac:dyDescent="0.2"/>
    <row r="92" ht="13.15" customHeight="1" x14ac:dyDescent="0.2"/>
    <row r="93" ht="13.15" customHeight="1" x14ac:dyDescent="0.2"/>
    <row r="94" ht="13.15" customHeight="1" x14ac:dyDescent="0.2"/>
    <row r="95" ht="13.15" customHeight="1" x14ac:dyDescent="0.2"/>
    <row r="96" ht="13.15" customHeight="1" x14ac:dyDescent="0.2"/>
    <row r="97" ht="13.15" customHeight="1" x14ac:dyDescent="0.2"/>
    <row r="98" ht="13.15" customHeight="1" x14ac:dyDescent="0.2"/>
    <row r="99" ht="13.15" customHeight="1" x14ac:dyDescent="0.2"/>
    <row r="100" ht="13.15" customHeight="1" x14ac:dyDescent="0.2"/>
    <row r="101" ht="13.15" customHeight="1" x14ac:dyDescent="0.2"/>
    <row r="102" ht="13.15" customHeight="1" x14ac:dyDescent="0.2"/>
    <row r="103" ht="13.15" customHeight="1" x14ac:dyDescent="0.2"/>
    <row r="104" ht="13.15" customHeight="1" x14ac:dyDescent="0.2"/>
    <row r="105" ht="13.15" customHeight="1" x14ac:dyDescent="0.2"/>
    <row r="106" ht="13.15" customHeight="1" x14ac:dyDescent="0.2"/>
    <row r="107" ht="13.15" customHeight="1" x14ac:dyDescent="0.2"/>
    <row r="108" ht="13.15" customHeight="1" x14ac:dyDescent="0.2"/>
    <row r="109" ht="13.15" customHeight="1" x14ac:dyDescent="0.2"/>
    <row r="110" ht="13.15" customHeight="1" x14ac:dyDescent="0.2"/>
    <row r="111" ht="13.15" customHeight="1" x14ac:dyDescent="0.2"/>
    <row r="112" ht="13.15" customHeight="1" x14ac:dyDescent="0.2"/>
    <row r="113" spans="13:31" ht="13.15" customHeight="1" x14ac:dyDescent="0.2"/>
    <row r="114" spans="13:31" ht="13.15" customHeight="1" x14ac:dyDescent="0.2"/>
    <row r="115" spans="13:31" ht="13.15" customHeight="1" x14ac:dyDescent="0.2"/>
    <row r="116" spans="13:31" ht="13.15" customHeight="1" x14ac:dyDescent="0.2"/>
    <row r="117" spans="13:31" ht="13.15" customHeight="1" x14ac:dyDescent="0.2"/>
    <row r="118" spans="13:31" ht="13.15" customHeight="1" x14ac:dyDescent="0.2"/>
    <row r="119" spans="13:31" ht="13.15" customHeight="1" x14ac:dyDescent="0.2"/>
    <row r="120" spans="13:31" ht="13.15" customHeight="1" x14ac:dyDescent="0.2">
      <c r="M120" s="284"/>
      <c r="AB120" s="284" t="e">
        <f>EXP(-1.89+(1.498*$X$2)+(0.3403*$Y$3)-(0.005202*$AF$63)-(0.02514*#REF!)+(0.002387*M44)+(0.000004326*M44*M45)+(0.02086*W7))</f>
        <v>#REF!</v>
      </c>
      <c r="AC120" s="284" t="e">
        <f>EXP(-1.89+(1.498*$X$2)+(0.3403*$Y$3)-(0.005202*$AF$63)-(0.02514*#REF!)+(0.002387*N44)+(0.000004326*N44*N45)+(0.02086*X7))</f>
        <v>#REF!</v>
      </c>
      <c r="AD120" s="284" t="e">
        <f>EXP(-1.89+(1.498*$X$2)+(0.3403*$Y$3)-(0.005202*$AF$63)-(0.02514*#REF!)+(0.002387*O44)+(0.000004326*O44*O45)+(0.02086*Y7))</f>
        <v>#REF!</v>
      </c>
      <c r="AE120" s="284" t="e">
        <f>EXP(-1.89+(1.498*$X$2)+(0.3403*$Y$3)-(0.005202*$AF$63)-(0.02514*#REF!)+(0.002387*P44)+(0.000004326*P44*P45)+(0.02086*Z7))</f>
        <v>#REF!</v>
      </c>
    </row>
    <row r="121" spans="13:31" ht="13.15" customHeight="1" x14ac:dyDescent="0.2"/>
    <row r="122" spans="13:31" ht="13.15" customHeight="1" x14ac:dyDescent="0.2"/>
    <row r="123" spans="13:31" ht="13.15" customHeight="1" x14ac:dyDescent="0.2"/>
    <row r="124" spans="13:31" ht="13.15" customHeight="1" x14ac:dyDescent="0.2"/>
    <row r="125" spans="13:31" ht="13.15" customHeight="1" x14ac:dyDescent="0.2"/>
    <row r="126" spans="13:31" ht="13.15" customHeight="1" x14ac:dyDescent="0.2"/>
    <row r="127" spans="13:31" ht="13.15" customHeight="1" x14ac:dyDescent="0.2"/>
  </sheetData>
  <mergeCells count="18">
    <mergeCell ref="K22:K25"/>
    <mergeCell ref="U22:U25"/>
    <mergeCell ref="A14:A17"/>
    <mergeCell ref="Q2:R2"/>
    <mergeCell ref="Q3:R3"/>
    <mergeCell ref="Q4:R4"/>
    <mergeCell ref="P5:S5"/>
    <mergeCell ref="K16:K19"/>
    <mergeCell ref="K10:K13"/>
    <mergeCell ref="U10:U13"/>
    <mergeCell ref="U16:U19"/>
    <mergeCell ref="W52:Z52"/>
    <mergeCell ref="K28:K31"/>
    <mergeCell ref="U28:U31"/>
    <mergeCell ref="K34:K37"/>
    <mergeCell ref="U34:U37"/>
    <mergeCell ref="K40:K43"/>
    <mergeCell ref="W51:Z51"/>
  </mergeCells>
  <conditionalFormatting sqref="E49:I49">
    <cfRule type="expression" dxfId="20" priority="21" stopIfTrue="1">
      <formula>ISERROR(E49)</formula>
    </cfRule>
  </conditionalFormatting>
  <conditionalFormatting sqref="E48:I48">
    <cfRule type="cellIs" dxfId="19" priority="22" stopIfTrue="1" operator="equal">
      <formula>FALSE</formula>
    </cfRule>
  </conditionalFormatting>
  <conditionalFormatting sqref="E33:I33">
    <cfRule type="cellIs" dxfId="18" priority="23" stopIfTrue="1" operator="notEqual">
      <formula>0</formula>
    </cfRule>
  </conditionalFormatting>
  <conditionalFormatting sqref="E20">
    <cfRule type="cellIs" dxfId="17" priority="2" operator="equal">
      <formula>$E$9</formula>
    </cfRule>
    <cfRule type="expression" dxfId="16" priority="4">
      <formula>SUM($F$14:$F$17)=0</formula>
    </cfRule>
    <cfRule type="expression" dxfId="15" priority="5">
      <formula>SUM($E$14:$E$17)=0</formula>
    </cfRule>
    <cfRule type="expression" dxfId="14" priority="6">
      <formula>SUM($D$14:$D$17)=0</formula>
    </cfRule>
    <cfRule type="expression" dxfId="13" priority="7">
      <formula>SUM($C$14:$C$17)=0</formula>
    </cfRule>
    <cfRule type="cellIs" dxfId="12" priority="11" operator="equal">
      <formula>$E$6</formula>
    </cfRule>
    <cfRule type="cellIs" dxfId="11" priority="20" operator="equal">
      <formula>$E$3</formula>
    </cfRule>
  </conditionalFormatting>
  <conditionalFormatting sqref="W7:Z7 Q2:Q4">
    <cfRule type="cellIs" dxfId="10" priority="18" stopIfTrue="1" operator="lessThan">
      <formula>0</formula>
    </cfRule>
  </conditionalFormatting>
  <conditionalFormatting sqref="M16:P19">
    <cfRule type="cellIs" dxfId="9" priority="19" stopIfTrue="1" operator="greaterThan">
      <formula>1</formula>
    </cfRule>
  </conditionalFormatting>
  <conditionalFormatting sqref="W45">
    <cfRule type="cellIs" dxfId="8" priority="17" operator="greaterThan">
      <formula>1</formula>
    </cfRule>
  </conditionalFormatting>
  <conditionalFormatting sqref="X45">
    <cfRule type="cellIs" dxfId="7" priority="16" operator="greaterThan">
      <formula>1</formula>
    </cfRule>
  </conditionalFormatting>
  <conditionalFormatting sqref="Y45">
    <cfRule type="cellIs" dxfId="6" priority="15" operator="greaterThan">
      <formula>1</formula>
    </cfRule>
  </conditionalFormatting>
  <conditionalFormatting sqref="Z45">
    <cfRule type="cellIs" dxfId="5" priority="14" operator="greaterThan">
      <formula>1</formula>
    </cfRule>
  </conditionalFormatting>
  <conditionalFormatting sqref="D53">
    <cfRule type="cellIs" dxfId="4" priority="68" operator="greaterThan">
      <formula>1</formula>
    </cfRule>
  </conditionalFormatting>
  <conditionalFormatting sqref="D50:E55">
    <cfRule type="expression" dxfId="3" priority="13">
      <formula>#REF!=1</formula>
    </cfRule>
  </conditionalFormatting>
  <conditionalFormatting sqref="D56:E56">
    <cfRule type="expression" dxfId="2" priority="25">
      <formula>#REF!=1</formula>
    </cfRule>
  </conditionalFormatting>
  <conditionalFormatting sqref="D50:E56">
    <cfRule type="expression" dxfId="1" priority="24">
      <formula>$B$61=7</formula>
    </cfRule>
  </conditionalFormatting>
  <conditionalFormatting sqref="S18">
    <cfRule type="colorScale" priority="1">
      <colorScale>
        <cfvo type="num" val="-100000000"/>
        <cfvo type="num" val="10000000"/>
        <color rgb="FFFF0000"/>
        <color rgb="FFFF0000"/>
      </colorScale>
    </cfRule>
  </conditionalFormatting>
  <dataValidations disablePrompts="1" count="3">
    <dataValidation type="list" allowBlank="1" showInputMessage="1" showErrorMessage="1" sqref="X3">
      <formula1>"yes,no"</formula1>
    </dataValidation>
    <dataValidation type="decimal" allowBlank="1" showInputMessage="1" showErrorMessage="1" sqref="AF63">
      <formula1>0</formula1>
      <formula2>1</formula2>
    </dataValidation>
    <dataValidation type="list" allowBlank="1" showInputMessage="1" showErrorMessage="1" sqref="E20">
      <formula1>$AC$37:$AC$40</formula1>
    </dataValidation>
  </dataValidations>
  <pageMargins left="0.7" right="0.7" top="0.75" bottom="0.75" header="0.3" footer="0.3"/>
  <pageSetup scale="91" orientation="portrait" r:id="rId1"/>
  <headerFooter>
    <oddHeader>&amp;CSingle Lane Roundabout Input Sheet</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Option Button 1">
              <controlPr defaultSize="0" autoFill="0" autoLine="0" autoPict="0">
                <anchor moveWithCells="1">
                  <from>
                    <xdr:col>0</xdr:col>
                    <xdr:colOff>57150</xdr:colOff>
                    <xdr:row>39</xdr:row>
                    <xdr:rowOff>28575</xdr:rowOff>
                  </from>
                  <to>
                    <xdr:col>0</xdr:col>
                    <xdr:colOff>247650</xdr:colOff>
                    <xdr:row>40</xdr:row>
                    <xdr:rowOff>57150</xdr:rowOff>
                  </to>
                </anchor>
              </controlPr>
            </control>
          </mc:Choice>
        </mc:AlternateContent>
        <mc:AlternateContent xmlns:mc="http://schemas.openxmlformats.org/markup-compatibility/2006">
          <mc:Choice Requires="x14">
            <control shapeId="15362" r:id="rId5" name="Option Button 2">
              <controlPr defaultSize="0" autoFill="0" autoLine="0" autoPict="0">
                <anchor moveWithCells="1">
                  <from>
                    <xdr:col>0</xdr:col>
                    <xdr:colOff>76200</xdr:colOff>
                    <xdr:row>31</xdr:row>
                    <xdr:rowOff>133350</xdr:rowOff>
                  </from>
                  <to>
                    <xdr:col>0</xdr:col>
                    <xdr:colOff>266700</xdr:colOff>
                    <xdr:row>32</xdr:row>
                    <xdr:rowOff>152400</xdr:rowOff>
                  </to>
                </anchor>
              </controlPr>
            </control>
          </mc:Choice>
        </mc:AlternateContent>
        <mc:AlternateContent xmlns:mc="http://schemas.openxmlformats.org/markup-compatibility/2006">
          <mc:Choice Requires="x14">
            <control shapeId="15363" r:id="rId6" name="Option Button 3">
              <controlPr defaultSize="0" autoFill="0" autoLine="0" autoPict="0">
                <anchor moveWithCells="1">
                  <from>
                    <xdr:col>0</xdr:col>
                    <xdr:colOff>76200</xdr:colOff>
                    <xdr:row>31</xdr:row>
                    <xdr:rowOff>133350</xdr:rowOff>
                  </from>
                  <to>
                    <xdr:col>0</xdr:col>
                    <xdr:colOff>266700</xdr:colOff>
                    <xdr:row>32</xdr:row>
                    <xdr:rowOff>152400</xdr:rowOff>
                  </to>
                </anchor>
              </controlPr>
            </control>
          </mc:Choice>
        </mc:AlternateContent>
        <mc:AlternateContent xmlns:mc="http://schemas.openxmlformats.org/markup-compatibility/2006">
          <mc:Choice Requires="x14">
            <control shapeId="15364" r:id="rId7" name="Option Button 4">
              <controlPr defaultSize="0" autoFill="0" autoLine="0" autoPict="0">
                <anchor moveWithCells="1">
                  <from>
                    <xdr:col>0</xdr:col>
                    <xdr:colOff>57150</xdr:colOff>
                    <xdr:row>39</xdr:row>
                    <xdr:rowOff>28575</xdr:rowOff>
                  </from>
                  <to>
                    <xdr:col>0</xdr:col>
                    <xdr:colOff>247650</xdr:colOff>
                    <xdr:row>40</xdr:row>
                    <xdr:rowOff>57150</xdr:rowOff>
                  </to>
                </anchor>
              </controlPr>
            </control>
          </mc:Choice>
        </mc:AlternateContent>
        <mc:AlternateContent xmlns:mc="http://schemas.openxmlformats.org/markup-compatibility/2006">
          <mc:Choice Requires="x14">
            <control shapeId="15365" r:id="rId8" name="Option Button 5">
              <controlPr defaultSize="0" autoFill="0" autoLine="0" autoPict="0">
                <anchor moveWithCells="1">
                  <from>
                    <xdr:col>0</xdr:col>
                    <xdr:colOff>76200</xdr:colOff>
                    <xdr:row>31</xdr:row>
                    <xdr:rowOff>133350</xdr:rowOff>
                  </from>
                  <to>
                    <xdr:col>0</xdr:col>
                    <xdr:colOff>266700</xdr:colOff>
                    <xdr:row>32</xdr:row>
                    <xdr:rowOff>152400</xdr:rowOff>
                  </to>
                </anchor>
              </controlPr>
            </control>
          </mc:Choice>
        </mc:AlternateContent>
        <mc:AlternateContent xmlns:mc="http://schemas.openxmlformats.org/markup-compatibility/2006">
          <mc:Choice Requires="x14">
            <control shapeId="15366" r:id="rId9" name="Option Button 6">
              <controlPr defaultSize="0" autoFill="0" autoLine="0" autoPict="0">
                <anchor moveWithCells="1">
                  <from>
                    <xdr:col>0</xdr:col>
                    <xdr:colOff>57150</xdr:colOff>
                    <xdr:row>39</xdr:row>
                    <xdr:rowOff>28575</xdr:rowOff>
                  </from>
                  <to>
                    <xdr:col>0</xdr:col>
                    <xdr:colOff>247650</xdr:colOff>
                    <xdr:row>40</xdr:row>
                    <xdr:rowOff>57150</xdr:rowOff>
                  </to>
                </anchor>
              </controlPr>
            </control>
          </mc:Choice>
        </mc:AlternateContent>
        <mc:AlternateContent xmlns:mc="http://schemas.openxmlformats.org/markup-compatibility/2006">
          <mc:Choice Requires="x14">
            <control shapeId="15367" r:id="rId10" name="Option Button 7">
              <controlPr defaultSize="0" autoFill="0" autoLine="0" autoPict="0">
                <anchor moveWithCells="1">
                  <from>
                    <xdr:col>0</xdr:col>
                    <xdr:colOff>76200</xdr:colOff>
                    <xdr:row>31</xdr:row>
                    <xdr:rowOff>133350</xdr:rowOff>
                  </from>
                  <to>
                    <xdr:col>0</xdr:col>
                    <xdr:colOff>266700</xdr:colOff>
                    <xdr:row>32</xdr:row>
                    <xdr:rowOff>152400</xdr:rowOff>
                  </to>
                </anchor>
              </controlPr>
            </control>
          </mc:Choice>
        </mc:AlternateContent>
        <mc:AlternateContent xmlns:mc="http://schemas.openxmlformats.org/markup-compatibility/2006">
          <mc:Choice Requires="x14">
            <control shapeId="15368" r:id="rId11" name="Option Button 8">
              <controlPr defaultSize="0" autoFill="0" autoLine="0" autoPict="0">
                <anchor moveWithCells="1">
                  <from>
                    <xdr:col>0</xdr:col>
                    <xdr:colOff>57150</xdr:colOff>
                    <xdr:row>39</xdr:row>
                    <xdr:rowOff>28575</xdr:rowOff>
                  </from>
                  <to>
                    <xdr:col>0</xdr:col>
                    <xdr:colOff>247650</xdr:colOff>
                    <xdr:row>40</xdr:row>
                    <xdr:rowOff>57150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9" id="{0E75DC56-C5F3-4275-B378-2EA6889FB073}">
            <xm:f>Input!$F$2=3</xm:f>
            <x14:dxf>
              <fill>
                <patternFill>
                  <bgColor rgb="FFFF0000"/>
                </patternFill>
              </fill>
            </x14:dxf>
          </x14:cfRule>
          <xm:sqref>E20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zoomScaleNormal="100" zoomScalePageLayoutView="115" workbookViewId="0">
      <selection activeCell="D59" sqref="D59"/>
    </sheetView>
  </sheetViews>
  <sheetFormatPr defaultColWidth="8.85546875" defaultRowHeight="15" x14ac:dyDescent="0.25"/>
  <cols>
    <col min="1" max="1" width="10.5703125" style="564" bestFit="1" customWidth="1"/>
    <col min="2" max="2" width="13.140625" style="564" customWidth="1"/>
    <col min="3" max="3" width="23.28515625" style="564" customWidth="1"/>
    <col min="4" max="4" width="75.140625" style="565" customWidth="1"/>
    <col min="5" max="16384" width="8.85546875" style="565"/>
  </cols>
  <sheetData>
    <row r="1" spans="1:4" s="563" customFormat="1" x14ac:dyDescent="0.25">
      <c r="A1" s="562" t="s">
        <v>265</v>
      </c>
      <c r="B1" s="562" t="s">
        <v>157</v>
      </c>
      <c r="C1" s="562" t="s">
        <v>266</v>
      </c>
      <c r="D1" s="562" t="s">
        <v>267</v>
      </c>
    </row>
    <row r="2" spans="1:4" x14ac:dyDescent="0.25">
      <c r="A2" s="564">
        <v>1</v>
      </c>
      <c r="B2" s="566">
        <v>42217</v>
      </c>
      <c r="C2" s="564" t="s">
        <v>268</v>
      </c>
      <c r="D2" s="565" t="s">
        <v>269</v>
      </c>
    </row>
    <row r="3" spans="1:4" x14ac:dyDescent="0.25">
      <c r="A3" s="564">
        <v>2</v>
      </c>
      <c r="B3" s="495"/>
    </row>
    <row r="4" spans="1:4" x14ac:dyDescent="0.25">
      <c r="A4" s="564">
        <v>3</v>
      </c>
      <c r="B4" s="495"/>
    </row>
    <row r="5" spans="1:4" x14ac:dyDescent="0.25">
      <c r="A5" s="564">
        <v>4</v>
      </c>
      <c r="B5" s="495"/>
    </row>
    <row r="6" spans="1:4" x14ac:dyDescent="0.25">
      <c r="A6" s="564">
        <v>5</v>
      </c>
      <c r="B6" s="495"/>
    </row>
    <row r="7" spans="1:4" x14ac:dyDescent="0.25">
      <c r="A7" s="564">
        <v>6</v>
      </c>
      <c r="B7" s="495"/>
    </row>
    <row r="8" spans="1:4" x14ac:dyDescent="0.25">
      <c r="A8" s="564">
        <v>7</v>
      </c>
      <c r="B8" s="495"/>
    </row>
    <row r="9" spans="1:4" x14ac:dyDescent="0.25">
      <c r="A9" s="564">
        <v>8</v>
      </c>
      <c r="B9" s="495"/>
    </row>
    <row r="10" spans="1:4" x14ac:dyDescent="0.25">
      <c r="A10" s="564">
        <v>9</v>
      </c>
      <c r="B10" s="495"/>
    </row>
    <row r="11" spans="1:4" x14ac:dyDescent="0.25">
      <c r="A11" s="564">
        <v>10</v>
      </c>
      <c r="B11" s="495"/>
    </row>
    <row r="12" spans="1:4" x14ac:dyDescent="0.25">
      <c r="B12" s="495"/>
    </row>
    <row r="13" spans="1:4" x14ac:dyDescent="0.25">
      <c r="B13" s="495"/>
    </row>
    <row r="14" spans="1:4" x14ac:dyDescent="0.25">
      <c r="B14" s="495"/>
    </row>
    <row r="15" spans="1:4" x14ac:dyDescent="0.25">
      <c r="B15" s="495"/>
    </row>
    <row r="16" spans="1:4" x14ac:dyDescent="0.25">
      <c r="B16" s="495"/>
    </row>
    <row r="17" spans="2:2" x14ac:dyDescent="0.25">
      <c r="B17" s="495"/>
    </row>
    <row r="18" spans="2:2" x14ac:dyDescent="0.25">
      <c r="B18" s="495"/>
    </row>
    <row r="19" spans="2:2" x14ac:dyDescent="0.25">
      <c r="B19" s="495"/>
    </row>
    <row r="20" spans="2:2" x14ac:dyDescent="0.25">
      <c r="B20" s="495"/>
    </row>
    <row r="21" spans="2:2" x14ac:dyDescent="0.25">
      <c r="B21" s="495"/>
    </row>
    <row r="22" spans="2:2" x14ac:dyDescent="0.25">
      <c r="B22" s="495"/>
    </row>
    <row r="23" spans="2:2" x14ac:dyDescent="0.25">
      <c r="B23" s="495"/>
    </row>
    <row r="24" spans="2:2" x14ac:dyDescent="0.25">
      <c r="B24" s="495"/>
    </row>
    <row r="25" spans="2:2" x14ac:dyDescent="0.25">
      <c r="B25" s="495"/>
    </row>
    <row r="26" spans="2:2" x14ac:dyDescent="0.25">
      <c r="B26" s="495"/>
    </row>
    <row r="27" spans="2:2" x14ac:dyDescent="0.25">
      <c r="B27" s="495"/>
    </row>
    <row r="28" spans="2:2" x14ac:dyDescent="0.25">
      <c r="B28" s="495"/>
    </row>
    <row r="29" spans="2:2" x14ac:dyDescent="0.25">
      <c r="B29" s="495"/>
    </row>
    <row r="30" spans="2:2" x14ac:dyDescent="0.25">
      <c r="B30" s="495"/>
    </row>
    <row r="31" spans="2:2" x14ac:dyDescent="0.25">
      <c r="B31" s="495"/>
    </row>
    <row r="32" spans="2:2" x14ac:dyDescent="0.25">
      <c r="B32" s="495"/>
    </row>
    <row r="33" spans="2:2" x14ac:dyDescent="0.25">
      <c r="B33" s="495"/>
    </row>
    <row r="34" spans="2:2" x14ac:dyDescent="0.25">
      <c r="B34" s="495"/>
    </row>
    <row r="35" spans="2:2" x14ac:dyDescent="0.25">
      <c r="B35" s="495"/>
    </row>
  </sheetData>
  <pageMargins left="0.7" right="0.7" top="0.75" bottom="0.75" header="0.3" footer="0.3"/>
  <pageSetup scale="75" orientation="portrait" r:id="rId1"/>
  <headerFooter>
    <oddHeader>&amp;CSingle Lane Roundabout Input Sheet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B2DFAD4587A44B81EBC84AD11B367D" ma:contentTypeVersion="2" ma:contentTypeDescription="Create a new document." ma:contentTypeScope="" ma:versionID="824740b7514ae530b2f123befcfbea90">
  <xsd:schema xmlns:xsd="http://www.w3.org/2001/XMLSchema" xmlns:xs="http://www.w3.org/2001/XMLSchema" xmlns:p="http://schemas.microsoft.com/office/2006/metadata/properties" xmlns:ns2="6ec60af1-6d1e-4575-bf73-1b6e791fcd10" xmlns:ns3="e968650e-6e53-4aa3-a5d7-9315be94c5e2" targetNamespace="http://schemas.microsoft.com/office/2006/metadata/properties" ma:root="true" ma:fieldsID="d68f8d4a39af5107cb0bcbdccb82c183" ns2:_="" ns3:_="">
    <xsd:import namespace="6ec60af1-6d1e-4575-bf73-1b6e791fcd10"/>
    <xsd:import namespace="e968650e-6e53-4aa3-a5d7-9315be94c5e2"/>
    <xsd:element name="properties">
      <xsd:complexType>
        <xsd:sequence>
          <xsd:element name="documentManagement">
            <xsd:complexType>
              <xsd:all>
                <xsd:element ref="ns2:SharedWithUsers" minOccurs="0"/>
                <xsd:element ref="ns3:Retention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968650e-6e53-4aa3-a5d7-9315be94c5e2" elementFormDefault="qualified">
    <xsd:import namespace="http://schemas.microsoft.com/office/2006/documentManagement/types"/>
    <xsd:import namespace="http://schemas.microsoft.com/office/infopath/2007/PartnerControls"/>
    <xsd:element name="Retention_x0020_Date" ma:index="9" nillable="true" ma:displayName="Retention Date" ma:description="Date document is due for review." ma:format="DateOnly" ma:internalName="Reten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tention_x0020_Date xmlns="e968650e-6e53-4aa3-a5d7-9315be94c5e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D8C277-9361-4797-9EAC-542CB7229B8D}"/>
</file>

<file path=customXml/itemProps2.xml><?xml version="1.0" encoding="utf-8"?>
<ds:datastoreItem xmlns:ds="http://schemas.openxmlformats.org/officeDocument/2006/customXml" ds:itemID="{0B5C8E9F-0E0A-4D28-A425-3CF1394A162D}"/>
</file>

<file path=customXml/itemProps3.xml><?xml version="1.0" encoding="utf-8"?>
<ds:datastoreItem xmlns:ds="http://schemas.openxmlformats.org/officeDocument/2006/customXml" ds:itemID="{BFD6AFAB-8F2B-4DF8-A8BE-08FD7FDC3A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Notes</vt:lpstr>
      <vt:lpstr>Input</vt:lpstr>
      <vt:lpstr>Singlelane</vt:lpstr>
      <vt:lpstr>Bypasslane</vt:lpstr>
      <vt:lpstr>2ndBypasslane</vt:lpstr>
      <vt:lpstr>3rdBypasslane</vt:lpstr>
      <vt:lpstr>4thBypasslane</vt:lpstr>
      <vt:lpstr>VersionLog</vt:lpstr>
      <vt:lpstr>Notes!PicEast</vt:lpstr>
      <vt:lpstr>Notes!PicNorth</vt:lpstr>
      <vt:lpstr>Notes!PicSouth</vt:lpstr>
      <vt:lpstr>Notes!PicWest</vt:lpstr>
      <vt:lpstr>'2ndBypasslane'!Print_Area</vt:lpstr>
      <vt:lpstr>'3rdBypasslane'!Print_Area</vt:lpstr>
      <vt:lpstr>'4thBypasslane'!Print_Area</vt:lpstr>
      <vt:lpstr>Bypasslane!Print_Area</vt:lpstr>
      <vt:lpstr>Input!Print_Area</vt:lpstr>
      <vt:lpstr>Notes!Print_Area</vt:lpstr>
      <vt:lpstr>Singlelane!Print_Area</vt:lpstr>
    </vt:vector>
  </TitlesOfParts>
  <Manager>Brian Dunn</Manager>
  <Company>ODOT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Roundabout</dc:title>
  <dc:subject>Roundabouts</dc:subject>
  <dc:creator>Joseph Meek</dc:creator>
  <cp:keywords>roundabout</cp:keywords>
  <dc:description>Joe version after removing fhv overwrite; and modifying instructions to add how to enter proportion of trucks and bikes directly</dc:description>
  <cp:lastModifiedBy>Alyssa Rash</cp:lastModifiedBy>
  <cp:lastPrinted>2015-08-04T19:36:12Z</cp:lastPrinted>
  <dcterms:created xsi:type="dcterms:W3CDTF">2007-07-30T19:37:12Z</dcterms:created>
  <dcterms:modified xsi:type="dcterms:W3CDTF">2016-12-20T16:19:40Z</dcterms:modified>
  <cp:category>roundabout</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Locale">
    <vt:lpwstr>en</vt:lpwstr>
  </property>
  <property fmtid="{D5CDD505-2E9C-101B-9397-08002B2CF9AE}" pid="3" name="xd_Signature">
    <vt:lpwstr/>
  </property>
  <property fmtid="{D5CDD505-2E9C-101B-9397-08002B2CF9AE}" pid="4" name="Order">
    <vt:lpwstr>98400.0000000000</vt:lpwstr>
  </property>
  <property fmtid="{D5CDD505-2E9C-101B-9397-08002B2CF9AE}" pid="5" name="TemplateUrl">
    <vt:lpwstr/>
  </property>
  <property fmtid="{D5CDD505-2E9C-101B-9397-08002B2CF9AE}" pid="6" name="RetentionPeriodDate">
    <vt:lpwstr/>
  </property>
  <property fmtid="{D5CDD505-2E9C-101B-9397-08002B2CF9AE}" pid="7" name="xd_ProgID">
    <vt:lpwstr/>
  </property>
  <property fmtid="{D5CDD505-2E9C-101B-9397-08002B2CF9AE}" pid="8" name="CopyToStateLib">
    <vt:lpwstr>0</vt:lpwstr>
  </property>
  <property fmtid="{D5CDD505-2E9C-101B-9397-08002B2CF9AE}" pid="9" name="ContentTypeId">
    <vt:lpwstr>0x010100AAB2DFAD4587A44B81EBC84AD11B367D</vt:lpwstr>
  </property>
  <property fmtid="{D5CDD505-2E9C-101B-9397-08002B2CF9AE}" pid="10" name="Metadata">
    <vt:lpwstr/>
  </property>
  <property fmtid="{D5CDD505-2E9C-101B-9397-08002B2CF9AE}" pid="11" name="_SourceUrl">
    <vt:lpwstr/>
  </property>
  <property fmtid="{D5CDD505-2E9C-101B-9397-08002B2CF9AE}" pid="12" name="RoutingRuleDescription">
    <vt:lpwstr/>
  </property>
</Properties>
</file>