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T:\TPR - CFEC\MM Gap Summary_Highway Impacts Summary\HIS_Guidance_Worksheet\"/>
    </mc:Choice>
  </mc:AlternateContent>
  <xr:revisionPtr revIDLastSave="0" documentId="13_ncr:1_{6E387F72-C834-4C94-829B-8F830A11FBA7}" xr6:coauthVersionLast="47" xr6:coauthVersionMax="47" xr10:uidLastSave="{00000000-0000-0000-0000-000000000000}"/>
  <bookViews>
    <workbookView xWindow="-109" yWindow="-109" windowWidth="26301" windowHeight="14169" tabRatio="829" xr2:uid="{152DD141-FDD4-4127-96FA-B8DDDAE83FB6}"/>
  </bookViews>
  <sheets>
    <sheet name="Data_Sources" sheetId="6" r:id="rId1"/>
    <sheet name="Local_Data_Gathering_Worksheet" sheetId="9" r:id="rId2"/>
    <sheet name="Table 1. Existing_DevCap" sheetId="1" r:id="rId3"/>
    <sheet name="Table 2. Proposed_DevCap" sheetId="2" r:id="rId4"/>
    <sheet name="Table 3. Existing_TripGen" sheetId="4" r:id="rId5"/>
    <sheet name="Table 4. Proposed_TripGen" sheetId="5" r:id="rId6"/>
    <sheet name="Table 5. Difference_TripGen" sheetId="3" r:id="rId7"/>
    <sheet name="Table 6. Crashes" sheetId="7" r:id="rId8"/>
    <sheet name="Table 7. SPIS" sheetId="8" r:id="rId9"/>
  </sheets>
  <definedNames>
    <definedName name="_xlnm._FilterDatabase" localSheetId="0" hidden="1">Data_Sources!$A$1:$C$16</definedName>
    <definedName name="_xlnm._FilterDatabase" localSheetId="8" hidden="1">'Table 7. SPIS'!$A$2:$H$24</definedName>
    <definedName name="_Hlk163132952" localSheetId="2">'Table 1. Existing_DevCap'!#REF!</definedName>
    <definedName name="_Hlk163138188" localSheetId="2">'Table 1. Existing_DevCap'!#REF!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 l="1"/>
  <c r="C6" i="4"/>
  <c r="G6" i="5"/>
  <c r="F6" i="5"/>
  <c r="C6" i="5"/>
  <c r="C5" i="5"/>
  <c r="B19" i="4"/>
  <c r="B18" i="4"/>
  <c r="B14" i="5"/>
  <c r="C9" i="5"/>
  <c r="F9" i="5" s="1"/>
  <c r="G9" i="5" s="1"/>
  <c r="C8" i="5"/>
  <c r="F8" i="5" s="1"/>
  <c r="G8" i="5" s="1"/>
  <c r="C7" i="5"/>
  <c r="F7" i="5" s="1"/>
  <c r="G7" i="5" s="1"/>
  <c r="C12" i="4"/>
  <c r="F12" i="4" s="1"/>
  <c r="C11" i="4"/>
  <c r="F11" i="4" s="1"/>
  <c r="C10" i="4"/>
  <c r="C9" i="4"/>
  <c r="F9" i="4" s="1"/>
  <c r="C8" i="4"/>
  <c r="F8" i="4" s="1"/>
  <c r="C7" i="4"/>
  <c r="F7" i="4" s="1"/>
  <c r="C5" i="4"/>
  <c r="F5" i="4" s="1"/>
  <c r="H5" i="2"/>
  <c r="G5" i="2"/>
  <c r="G6" i="1"/>
  <c r="G5" i="1"/>
  <c r="C10" i="5"/>
  <c r="F10" i="5" l="1"/>
  <c r="C10" i="2"/>
  <c r="G10" i="5" l="1"/>
  <c r="F14" i="4"/>
  <c r="F13" i="4"/>
  <c r="C5" i="2"/>
  <c r="E5" i="2" s="1"/>
  <c r="B6" i="1"/>
  <c r="C6" i="1" s="1"/>
  <c r="E6" i="1" s="1"/>
  <c r="H6" i="1" s="1"/>
  <c r="C5" i="1"/>
  <c r="E5" i="1" s="1"/>
  <c r="H5" i="1" s="1"/>
  <c r="C11" i="1"/>
  <c r="I5" i="2" l="1"/>
  <c r="J5" i="2" s="1"/>
  <c r="I6" i="1"/>
  <c r="J6" i="1" s="1"/>
  <c r="F10" i="4" s="1"/>
  <c r="I5" i="1"/>
  <c r="J5" i="1" s="1"/>
  <c r="F5" i="5" l="1"/>
  <c r="G5" i="5" s="1"/>
  <c r="G11" i="5" s="1"/>
  <c r="B5" i="3" s="1"/>
  <c r="F15" i="4"/>
  <c r="A5" i="3" s="1"/>
  <c r="C5" i="3" l="1"/>
  <c r="D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tc={3A8FD73A-E131-439B-A44D-EBF0B71C03A9}</author>
    <author>tc={5AFC0357-4350-4518-8F5B-C046A78286E7}</author>
  </authors>
  <commentList>
    <comment ref="A3" authorId="0" shapeId="0" xr:uid="{3A8FD73A-E131-439B-A44D-EBF0B71C03A9}">
      <text>
        <t xml:space="preserve">[Threaded comment]
Your version of Excel allows you to read this threaded comment; however, any edits to it will get removed if the file is opened in a newer version of Excel. Learn more: https://go.microsoft.com/fwlink/?linkid=870924
Comment:
    Adopted land use zone or district as defined in the city or county's comprehensive plan &amp; local development code. </t>
      </text>
    </comment>
    <comment ref="D3" authorId="1" shapeId="0" xr:uid="{5AFC0357-4350-4518-8F5B-C046A78286E7}">
      <text>
        <t>[Threaded comment]
Your version of Excel allows you to read this threaded comment; however, any edits to it will get removed if the file is opened in a newer version of Excel. Learn more: https://go.microsoft.com/fwlink/?linkid=870924
Comment:
    Unbuildable lot area by land use zone based on development standards such as required setbacks, on-site parking or vehicular access, pedestrian circulation, landscaping, or open space requirements.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tc={261FADE8-5FCB-491D-881A-2C1039976C8C}</author>
    <author>tc={EE2A66BD-B7B1-4E23-9E11-6014260C250B}</author>
  </authors>
  <commentList>
    <comment ref="A3" authorId="0" shapeId="0" xr:uid="{261FADE8-5FCB-491D-881A-2C1039976C8C}">
      <text>
        <t xml:space="preserve">[Threaded comment]
Your version of Excel allows you to read this threaded comment; however, any edits to it will get removed if the file is opened in a newer version of Excel. Learn more: https://go.microsoft.com/fwlink/?linkid=870924
Comment:
    Adopted land use zone or district as defined in the city or county's comprehensive plan &amp; local development code. </t>
      </text>
    </comment>
    <comment ref="D3" authorId="1" shapeId="0" xr:uid="{EE2A66BD-B7B1-4E23-9E11-6014260C250B}">
      <text>
        <t>[Threaded comment]
Your version of Excel allows you to read this threaded comment; however, any edits to it will get removed if the file is opened in a newer version of Excel. Learn more: https://go.microsoft.com/fwlink/?linkid=870924
Comment:
    Unbuildable lot area by land use zone based on development standards such as required setbacks, on-site parking or vehicular access, pedestrian circulation, landscaping, or open space requirements.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tc={B4D902D5-73F6-417D-B9BC-BE7BF47C6D3F}</author>
    <author>tc={1148074D-78B1-4BD2-B78B-6D17A99FAC2D}</author>
    <author>tc={8A1CE1FC-0D83-4271-BEB6-5CCC0307DC01}</author>
  </authors>
  <commentList>
    <comment ref="B3" authorId="0" shapeId="0" xr:uid="{B4D902D5-73F6-417D-B9BC-BE7BF47C6D3F}">
      <text>
        <t>[Threaded comment]
Your version of Excel allows you to read this threaded comment; however, any edits to it will get removed if the file is opened in a newer version of Excel. Learn more: https://go.microsoft.com/fwlink/?linkid=870924
Comment:
    High-level estimate of percentage of CFA or Metro Region 2040 center for non-residential land uses only.</t>
      </text>
    </comment>
    <comment ref="C3" authorId="1" shapeId="0" xr:uid="{1148074D-78B1-4BD2-B78B-6D17A99FAC2D}">
      <text>
        <t>[Threaded comment]
Your version of Excel allows you to read this threaded comment; however, any edits to it will get removed if the file is opened in a newer version of Excel. Learn more: https://go.microsoft.com/fwlink/?linkid=870924
Comment:
    Non-residential development capacity should be listed in square footage; dwelling units should be listed by number of dwelling units.</t>
      </text>
    </comment>
    <comment ref="B17" authorId="2" shapeId="0" xr:uid="{8A1CE1FC-0D83-4271-BEB6-5CCC0307DC01}">
      <text>
        <t>[Threaded comment]
Your version of Excel allows you to read this threaded comment; however, any edits to it will get removed if the file is opened in a newer version of Excel. Learn more: https://go.microsoft.com/fwlink/?linkid=870924
Comment:
    Verify that percentages by land use zone total 100.</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tc={8DE21745-C1F7-48F5-B1DC-55E3C2674DAA}</author>
    <author>tc={84D72CFF-CB86-45F7-B9CB-74E711D4246D}</author>
    <author>tc={4A841030-04A1-4F34-8286-2659C94E69B3}</author>
  </authors>
  <commentList>
    <comment ref="B3" authorId="0" shapeId="0" xr:uid="{8DE21745-C1F7-48F5-B1DC-55E3C2674DAA}">
      <text>
        <t>[Threaded comment]
Your version of Excel allows you to read this threaded comment; however, any edits to it will get removed if the file is opened in a newer version of Excel. Learn more: https://go.microsoft.com/fwlink/?linkid=870924
Comment:
    High-level estimate of percentage of CFA or Metro Region 2040 center for non-residential land uses only.</t>
      </text>
    </comment>
    <comment ref="C3" authorId="1" shapeId="0" xr:uid="{84D72CFF-CB86-45F7-B9CB-74E711D4246D}">
      <text>
        <t>[Threaded comment]
Your version of Excel allows you to read this threaded comment; however, any edits to it will get removed if the file is opened in a newer version of Excel. Learn more: https://go.microsoft.com/fwlink/?linkid=870924
Comment:
    Non-residential development capacity should be listed in square footage; dwelling units should be listed by number of dwelling units.</t>
      </text>
    </comment>
    <comment ref="B13" authorId="2" shapeId="0" xr:uid="{4A841030-04A1-4F34-8286-2659C94E69B3}">
      <text>
        <t>[Threaded comment]
Your version of Excel allows you to read this threaded comment; however, any edits to it will get removed if the file is opened in a newer version of Excel. Learn more: https://go.microsoft.com/fwlink/?linkid=870924
Comment:
    Verify that percentages by land use zone total 100.</t>
      </text>
    </comment>
  </commentList>
</comments>
</file>

<file path=xl/sharedStrings.xml><?xml version="1.0" encoding="utf-8"?>
<sst xmlns="http://schemas.openxmlformats.org/spreadsheetml/2006/main" count="314" uniqueCount="177">
  <si>
    <t>Net Developable Area (sq ft)</t>
  </si>
  <si>
    <t>Allowed Building Height</t>
  </si>
  <si>
    <t>ITE Code</t>
  </si>
  <si>
    <t>Existing Average Daily Trips</t>
  </si>
  <si>
    <t>Proposed Average Daily Trips</t>
  </si>
  <si>
    <t xml:space="preserve">Difference in Average Daily Trips </t>
  </si>
  <si>
    <t>Percent Change</t>
  </si>
  <si>
    <t>Total Net Developable Area</t>
  </si>
  <si>
    <t>a</t>
  </si>
  <si>
    <t>b</t>
  </si>
  <si>
    <t>c</t>
  </si>
  <si>
    <t>e</t>
  </si>
  <si>
    <t>d</t>
  </si>
  <si>
    <t>b x 43560</t>
  </si>
  <si>
    <t>c - (c x d)</t>
  </si>
  <si>
    <t>f</t>
  </si>
  <si>
    <t>g</t>
  </si>
  <si>
    <t>h</t>
  </si>
  <si>
    <t>i</t>
  </si>
  <si>
    <t>e x g</t>
  </si>
  <si>
    <t>Total</t>
  </si>
  <si>
    <t>Example: CMU-2</t>
  </si>
  <si>
    <t>Example: MUE</t>
  </si>
  <si>
    <t>Example: Single-Family Detached Housing</t>
  </si>
  <si>
    <t>Single-Family Attached housing</t>
  </si>
  <si>
    <t>Example: Mixed-Use Employment Center (MUE)</t>
  </si>
  <si>
    <t>Example: Commercial Mixed-Use (CMU)-2</t>
  </si>
  <si>
    <t>210 Single-Family Detached Housing</t>
  </si>
  <si>
    <t>220 Single-Family Attached Housing</t>
  </si>
  <si>
    <t>Existing rights-of-way</t>
  </si>
  <si>
    <t>Land area set aside to protect natural resources or to prevent natural hazards as specified by land use rule or statute (e.g., Goal 7 or Goal 5 protected areas)</t>
  </si>
  <si>
    <t xml:space="preserve">Land area planned for public uses, such as parks or open space areas </t>
  </si>
  <si>
    <t>Number of Dwelling Units</t>
  </si>
  <si>
    <t>sq ft per unit</t>
  </si>
  <si>
    <t>Total sq ft</t>
  </si>
  <si>
    <t>j</t>
  </si>
  <si>
    <t>h - (h x i)</t>
  </si>
  <si>
    <t>Development Capacity 
(Sq Ft)</t>
  </si>
  <si>
    <t>Net 
Developable 
Area 
(sq ft)</t>
  </si>
  <si>
    <t>Total Net Developable 
Area</t>
  </si>
  <si>
    <t>b - a</t>
  </si>
  <si>
    <t>Net Develop-
able Area (acres)</t>
  </si>
  <si>
    <t>Date</t>
  </si>
  <si>
    <t>Time</t>
  </si>
  <si>
    <t>Crash ID</t>
  </si>
  <si>
    <t>Road &amp; Intersecting Road</t>
  </si>
  <si>
    <t>Crash Type Desc</t>
  </si>
  <si>
    <t>Collision Type Desc</t>
  </si>
  <si>
    <t>Weather &amp; Road Surface Description</t>
  </si>
  <si>
    <t>Traffic Control Device Description</t>
  </si>
  <si>
    <t>Highest Injury Severity Description</t>
  </si>
  <si>
    <t>Hide</t>
  </si>
  <si>
    <t>Crash Date</t>
  </si>
  <si>
    <t>Crash Hour Description</t>
  </si>
  <si>
    <t xml:space="preserve">Road Description &amp; Intersecting Road Description </t>
  </si>
  <si>
    <t>Weather Desc &amp; Road Surface Condition Desc</t>
  </si>
  <si>
    <t>HWY 99W/TWIN OAK CIR</t>
  </si>
  <si>
    <t>From opposite direction-one left turn, one straight</t>
  </si>
  <si>
    <t>Turning movement</t>
  </si>
  <si>
    <t>Cloudy &amp; wet</t>
  </si>
  <si>
    <t>Stop Sign</t>
  </si>
  <si>
    <t>Did not yield right-of-way</t>
  </si>
  <si>
    <t xml:space="preserve">Suspected Serious Injury (A) </t>
  </si>
  <si>
    <t>HWY 99W/CHAPMAN PL</t>
  </si>
  <si>
    <t>Pedalcyclist</t>
  </si>
  <si>
    <t>Angle</t>
  </si>
  <si>
    <t>Rain &amp; wet</t>
  </si>
  <si>
    <t>Special Pedestrian Signal</t>
  </si>
  <si>
    <t>Inattention; did not yield right-of-way</t>
  </si>
  <si>
    <t>Fatal Injury (K)</t>
  </si>
  <si>
    <t>Pedestrian</t>
  </si>
  <si>
    <t>Unknown</t>
  </si>
  <si>
    <t>Crash Cause</t>
  </si>
  <si>
    <t>Crash Cause 1-3 Desc</t>
  </si>
  <si>
    <t>CFA or Metro Region 2040 center</t>
  </si>
  <si>
    <t>Percent Residential based on Existing Dwelling Units</t>
  </si>
  <si>
    <t>(existing residential units x 900)/sum of h</t>
  </si>
  <si>
    <t>Data Source</t>
  </si>
  <si>
    <t>Existing number of dwelling units</t>
  </si>
  <si>
    <r>
      <t>CFA ODOT Impacted Areas map</t>
    </r>
    <r>
      <rPr>
        <sz val="11"/>
        <rFont val="Calibri"/>
        <family val="2"/>
        <scheme val="minor"/>
      </rPr>
      <t>; Layer: Crashes 2016-2021</t>
    </r>
  </si>
  <si>
    <r>
      <t>CFA ODOT Impacted Areas map</t>
    </r>
    <r>
      <rPr>
        <sz val="11"/>
        <rFont val="Calibri"/>
        <family val="2"/>
        <scheme val="minor"/>
      </rPr>
      <t>; Layers: SPIS 2018-2022 (listed separately by year)</t>
    </r>
  </si>
  <si>
    <t>ODOT Highway Number</t>
  </si>
  <si>
    <t>Milepoint</t>
  </si>
  <si>
    <t>Effective Date</t>
  </si>
  <si>
    <t>Crash Data Years</t>
  </si>
  <si>
    <t>SPIS Percentile</t>
  </si>
  <si>
    <t>SPIS Score</t>
  </si>
  <si>
    <t>Record ID</t>
  </si>
  <si>
    <t>2016-2018</t>
  </si>
  <si>
    <t>90% - 94.99%</t>
  </si>
  <si>
    <t>2018-2020</t>
  </si>
  <si>
    <t>95% - 100%</t>
  </si>
  <si>
    <t>2019-2021</t>
  </si>
  <si>
    <t>2017-2019</t>
  </si>
  <si>
    <t>Percent (5% or 10%)</t>
  </si>
  <si>
    <t>(b-a)/a x100</t>
  </si>
  <si>
    <r>
      <t>Development Standards Reduction</t>
    </r>
    <r>
      <rPr>
        <sz val="11"/>
        <color theme="1"/>
        <rFont val="Calibri"/>
        <family val="2"/>
        <scheme val="minor"/>
      </rPr>
      <t xml:space="preserve"> 
</t>
    </r>
    <r>
      <rPr>
        <b/>
        <sz val="11"/>
        <color theme="1"/>
        <rFont val="Calibri"/>
        <family val="2"/>
        <scheme val="minor"/>
      </rPr>
      <t>Factor</t>
    </r>
  </si>
  <si>
    <t>Example: Residential </t>
  </si>
  <si>
    <t>Data Geography/
Organization</t>
  </si>
  <si>
    <t>Land use zone</t>
  </si>
  <si>
    <t>CFA or Metro Region 2040 Center</t>
  </si>
  <si>
    <t>CFA or Metro Region 2040 center area by land use zone, excluding:</t>
  </si>
  <si>
    <t>Allowed building height by land use zone (both existing and proposed)</t>
  </si>
  <si>
    <r>
      <t>(If available and/or calculated in the CFA Study)</t>
    </r>
    <r>
      <rPr>
        <sz val="11"/>
        <color theme="1"/>
        <rFont val="Calibri"/>
        <family val="2"/>
        <scheme val="minor"/>
      </rPr>
      <t xml:space="preserve"> Development standards reduction factor applied by land use zone for non-buildable portions of parcels, such as setbacks, required landscaping and open space, and parking</t>
    </r>
  </si>
  <si>
    <t>City or County</t>
  </si>
  <si>
    <t>Land Use Zone</t>
  </si>
  <si>
    <t>Institute of Transportation Engineers (ITE) Codes &amp; trip generation rates</t>
  </si>
  <si>
    <t>ITE, Trip Generation Manual, 11th Edition
(Region Traffic staff)</t>
  </si>
  <si>
    <t>Development Capacity without Dwelling Units 
(Sq Ft) </t>
  </si>
  <si>
    <t>Development Capacity without Proposed Dwelling Units (Sq Ft) </t>
  </si>
  <si>
    <t>Formula (data input by column letter)</t>
  </si>
  <si>
    <t>Maximum Number of Floors </t>
  </si>
  <si>
    <t>(projected residential units x 900)/sum of h</t>
  </si>
  <si>
    <t>Percent Residential Dwelling Units</t>
  </si>
  <si>
    <t>221 Multifamily Housing (Mid-Rise)  Not Close to Rail Transit</t>
  </si>
  <si>
    <t>Net Develop-able Area (acres)</t>
  </si>
  <si>
    <r>
      <t>Develop-ment Standards Reduction</t>
    </r>
    <r>
      <rPr>
        <sz val="11"/>
        <color theme="1"/>
        <rFont val="Calibri"/>
        <family val="2"/>
        <scheme val="minor"/>
      </rPr>
      <t xml:space="preserve"> 
</t>
    </r>
    <r>
      <rPr>
        <b/>
        <sz val="11"/>
        <color theme="1"/>
        <rFont val="Calibri"/>
        <family val="2"/>
        <scheme val="minor"/>
      </rPr>
      <t>Factor</t>
    </r>
  </si>
  <si>
    <t>Develop-ment Capacity 
(Sq Ft)</t>
  </si>
  <si>
    <t>Fatal &amp; serious injury crashes</t>
  </si>
  <si>
    <t>Data Required for Each CFA or Metro Region 2040 Center 
Triggering a Highway Impacts Summary</t>
  </si>
  <si>
    <t>Projected housing capacity (percent residential or number of dwelling units)</t>
  </si>
  <si>
    <t>b x 43,560</t>
  </si>
  <si>
    <t>(Optional) Rail crossings within 500 ft of the CFA or Metro Region 2040 center</t>
  </si>
  <si>
    <t>(Optional) Safety Priority Index System (SPIS)</t>
  </si>
  <si>
    <t>ODOT TransGIS</t>
  </si>
  <si>
    <t>Average Daily Trip Generation Rate</t>
  </si>
  <si>
    <t>Development Capacity (sq ft) or Number of Dwelling Units</t>
  </si>
  <si>
    <t>(f/12)*
(*result is rounded down)</t>
  </si>
  <si>
    <t>151 Mini-Warehouse</t>
  </si>
  <si>
    <t>930 Fast Casual Restaurant</t>
  </si>
  <si>
    <t>850 Supermarket</t>
  </si>
  <si>
    <t>Percentage</t>
  </si>
  <si>
    <t>f - (f x 0.1)</t>
  </si>
  <si>
    <t>non-residential: 
(c/1,000) x e [or as dictated by ITE Code];
residential: c x e</t>
  </si>
  <si>
    <t>CMU-2</t>
  </si>
  <si>
    <t>MUE</t>
  </si>
  <si>
    <t>Total Average Daily Trips Including 
10% Internal Capture Reduction</t>
  </si>
  <si>
    <t>Total Check</t>
  </si>
  <si>
    <t>822 Strip Retail Plaza (&lt;40k)</t>
  </si>
  <si>
    <t>710 General Office Building</t>
  </si>
  <si>
    <t>Table 1. Existing Development Capacity (sq ft)</t>
  </si>
  <si>
    <t>Table 2. Proposed Development Capacity (sq ft)</t>
  </si>
  <si>
    <t>Table 3. Existing Trip Generation (weekday average daily trips)</t>
  </si>
  <si>
    <t>Table 4. Proposed Trip Generation (weekday average daily trips)</t>
  </si>
  <si>
    <t>Table 5. Difference Between Existing and Proposed Trip Generation (weekday average daily trips)</t>
  </si>
  <si>
    <t>Table 6. Fatal &amp; Serious Injury Crashes</t>
  </si>
  <si>
    <t>Table 7. SPIS Data</t>
  </si>
  <si>
    <t>(Optional) Freight routes within the CFA or Metro Region 2040 center</t>
  </si>
  <si>
    <t>(Table 3, Column f total)</t>
  </si>
  <si>
    <t>(Table 4, Column g total)</t>
  </si>
  <si>
    <t>(Optional) List of financially constrained Transportation System Plan (TSP), Regional Transporation Plan (RTP), State Transportation Improvement Plan (STIP), and locally adopted plans projects within or abutting the CFA or Metro Region 2040 Center boundary</t>
  </si>
  <si>
    <t>TSP, RTP, STIP, and locally adopted plans</t>
  </si>
  <si>
    <t>Boundaries of the final CFAs or Metro Region 2040 center proposed for adoption in shapefile (zipped) format</t>
  </si>
  <si>
    <t>CFA Data Category</t>
  </si>
  <si>
    <t>Example Data</t>
  </si>
  <si>
    <t>CFA 1</t>
  </si>
  <si>
    <t>CFA 2</t>
  </si>
  <si>
    <t>CFA 3</t>
  </si>
  <si>
    <t>CFA 4</t>
  </si>
  <si>
    <t>CFA 5</t>
  </si>
  <si>
    <t>CFA name</t>
  </si>
  <si>
    <t>Site A, Downtown</t>
  </si>
  <si>
    <t>Gross area</t>
  </si>
  <si>
    <t>79.4 acres</t>
  </si>
  <si>
    <t>Net developable area by land use zone
(if proposing a zone change, detail by existing and proposed)</t>
  </si>
  <si>
    <t>Central Business (CB): 15.51 acres
Historic District (HD): 6.11 acres
Lyons Ellsworth (LE): 4.49 acres</t>
  </si>
  <si>
    <t>Development standards reduction factor applied by land use zone for non-buildable portions of parcels, such as setbacks, required landscaping and open space, and parking 
(If available and/or calculated in the CFA Study)</t>
  </si>
  <si>
    <t>Existing allowed building height by land use zone</t>
  </si>
  <si>
    <t>CB: 65 ft
HD: 85 ft
LE: 60 ft</t>
  </si>
  <si>
    <t>Proposed allowed building height by land use zone</t>
  </si>
  <si>
    <t>Existing number of dwelling units 
(if available, list by land use zone)</t>
  </si>
  <si>
    <t>Total: 107
CB: 80
HD: 26
LE: 1</t>
  </si>
  <si>
    <t>Projected number of dwelling units
(high and low, if calculated as such; if available, list by land use zone)</t>
  </si>
  <si>
    <t>Proposed zoning changes</t>
  </si>
  <si>
    <t>Detail changes to allowed uses and/or density requirements</t>
  </si>
  <si>
    <t>Final CFA boundary proposed for adoption in shapefile format (provide each in separate zipped file)</t>
  </si>
  <si>
    <t>Provide boundary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</si>
</sst>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
    <numFmt numFmtId="166"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8"/>
      <name val="Calibri"/>
      <family val="2"/>
      <scheme val="minor"/>
    </font>
    <font>
      <b/>
      <i/>
      <sz val="11"/>
      <color theme="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63">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0" xfId="0" applyFont="1" applyAlignment="1">
      <alignment horizontal="center" vertical="center"/>
    </xf>
    <xf numFmtId="0" fontId="0" fillId="0" borderId="0" xfId="0" applyAlignment="1">
      <alignment wrapText="1"/>
    </xf>
    <xf numFmtId="0" fontId="2" fillId="0" borderId="1" xfId="0" applyFont="1" applyBorder="1" applyAlignment="1">
      <alignment wrapText="1"/>
    </xf>
    <xf numFmtId="0" fontId="0" fillId="0" borderId="1" xfId="0" applyBorder="1" applyAlignment="1">
      <alignment wrapText="1"/>
    </xf>
    <xf numFmtId="0" fontId="0" fillId="0" borderId="6" xfId="0" applyBorder="1" applyAlignment="1">
      <alignment wrapText="1"/>
    </xf>
    <xf numFmtId="0" fontId="0" fillId="0" borderId="2" xfId="0" applyBorder="1" applyAlignment="1">
      <alignment wrapText="1"/>
    </xf>
    <xf numFmtId="0" fontId="2" fillId="0" borderId="0" xfId="0" applyFont="1" applyAlignment="1">
      <alignment vertical="center"/>
    </xf>
    <xf numFmtId="0" fontId="2" fillId="4" borderId="0" xfId="0" applyFont="1" applyFill="1"/>
    <xf numFmtId="14" fontId="0" fillId="0" borderId="1" xfId="0" applyNumberFormat="1" applyBorder="1" applyAlignment="1">
      <alignment wrapText="1"/>
    </xf>
    <xf numFmtId="18" fontId="0" fillId="0" borderId="1" xfId="0" applyNumberFormat="1" applyBorder="1" applyAlignment="1">
      <alignment wrapText="1"/>
    </xf>
    <xf numFmtId="0" fontId="0" fillId="3" borderId="1" xfId="0" applyFill="1" applyBorder="1" applyAlignment="1">
      <alignment wrapText="1"/>
    </xf>
    <xf numFmtId="0" fontId="2" fillId="0" borderId="1" xfId="0" applyFont="1" applyBorder="1"/>
    <xf numFmtId="0" fontId="0" fillId="0" borderId="1" xfId="0" applyBorder="1"/>
    <xf numFmtId="0" fontId="0" fillId="0" borderId="3" xfId="0" applyBorder="1" applyAlignment="1">
      <alignment horizontal="left"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0" fillId="0" borderId="5"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8" xfId="0" applyBorder="1" applyAlignment="1">
      <alignment wrapText="1"/>
    </xf>
    <xf numFmtId="0" fontId="4" fillId="0" borderId="1" xfId="3" applyBorder="1" applyAlignment="1">
      <alignment wrapText="1"/>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4" fontId="3" fillId="0" borderId="1" xfId="1"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2" fillId="3" borderId="1" xfId="1" applyNumberFormat="1" applyFont="1" applyFill="1" applyBorder="1" applyAlignment="1">
      <alignment horizontal="center" vertical="center" wrapText="1"/>
    </xf>
    <xf numFmtId="164" fontId="0" fillId="0" borderId="1" xfId="1" applyNumberFormat="1" applyFont="1" applyBorder="1" applyAlignment="1">
      <alignment horizontal="center" vertical="center" wrapText="1"/>
    </xf>
    <xf numFmtId="164" fontId="0" fillId="0" borderId="1" xfId="1"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6" fontId="0" fillId="0" borderId="1" xfId="2" applyNumberFormat="1" applyFont="1" applyBorder="1" applyAlignment="1">
      <alignment horizontal="center" vertical="center" wrapText="1"/>
    </xf>
    <xf numFmtId="9" fontId="0" fillId="0" borderId="1" xfId="0" applyNumberFormat="1" applyBorder="1"/>
    <xf numFmtId="3" fontId="0" fillId="0" borderId="1" xfId="0" applyNumberFormat="1" applyBorder="1"/>
    <xf numFmtId="0" fontId="3" fillId="0" borderId="3" xfId="0" applyFont="1" applyBorder="1" applyAlignment="1">
      <alignment horizontal="left" vertical="center" wrapText="1" indent="2"/>
    </xf>
    <xf numFmtId="0" fontId="3" fillId="0" borderId="4" xfId="0" applyFont="1" applyBorder="1" applyAlignment="1">
      <alignment horizontal="left" vertical="center" wrapText="1" indent="2"/>
    </xf>
    <xf numFmtId="165" fontId="3" fillId="0" borderId="0" xfId="2" applyNumberFormat="1" applyFont="1" applyBorder="1" applyAlignment="1">
      <alignment horizontal="center" vertical="center" wrapText="1"/>
    </xf>
    <xf numFmtId="164" fontId="0" fillId="0" borderId="1" xfId="1" applyNumberFormat="1" applyFont="1" applyBorder="1"/>
    <xf numFmtId="0" fontId="3" fillId="0" borderId="0" xfId="0" applyFont="1" applyAlignment="1">
      <alignment vertical="center" wrapText="1"/>
    </xf>
    <xf numFmtId="0" fontId="3" fillId="0" borderId="0" xfId="0" applyFont="1" applyAlignment="1">
      <alignment horizontal="center" vertical="center" wrapText="1"/>
    </xf>
    <xf numFmtId="164" fontId="3" fillId="0" borderId="0" xfId="1" applyNumberFormat="1" applyFont="1" applyBorder="1" applyAlignment="1">
      <alignment horizontal="center" vertical="center" wrapText="1"/>
    </xf>
    <xf numFmtId="3" fontId="3" fillId="0" borderId="0" xfId="0" applyNumberFormat="1" applyFont="1" applyAlignment="1">
      <alignment horizontal="center" vertical="center" wrapText="1"/>
    </xf>
    <xf numFmtId="0" fontId="4" fillId="0" borderId="9" xfId="3" applyBorder="1" applyAlignment="1">
      <alignment wrapText="1"/>
    </xf>
    <xf numFmtId="10" fontId="3" fillId="0" borderId="1" xfId="2" applyNumberFormat="1" applyFont="1" applyBorder="1" applyAlignment="1">
      <alignment horizontal="center" vertical="center" wrapText="1"/>
    </xf>
    <xf numFmtId="9" fontId="3" fillId="0" borderId="1" xfId="2" applyFont="1" applyBorder="1" applyAlignment="1">
      <alignment vertical="center" wrapText="1"/>
    </xf>
    <xf numFmtId="9" fontId="3" fillId="3" borderId="1" xfId="2" applyFont="1" applyFill="1" applyBorder="1" applyAlignment="1">
      <alignment horizontal="left" vertical="center" wrapText="1"/>
    </xf>
    <xf numFmtId="9" fontId="3" fillId="0" borderId="1" xfId="2" applyFont="1" applyBorder="1" applyAlignment="1">
      <alignment horizontal="right" vertical="center" wrapText="1"/>
    </xf>
    <xf numFmtId="0" fontId="0" fillId="3" borderId="0" xfId="0" applyFill="1"/>
    <xf numFmtId="9" fontId="0" fillId="3" borderId="0" xfId="0" applyNumberFormat="1" applyFill="1"/>
    <xf numFmtId="0" fontId="6" fillId="3" borderId="1" xfId="0" applyFont="1" applyFill="1" applyBorder="1" applyAlignment="1">
      <alignment horizontal="center" vertical="center" wrapText="1"/>
    </xf>
    <xf numFmtId="2" fontId="3" fillId="0" borderId="10" xfId="0" applyNumberFormat="1" applyFont="1" applyBorder="1" applyAlignment="1">
      <alignment horizontal="center"/>
    </xf>
    <xf numFmtId="0" fontId="8" fillId="3" borderId="1" xfId="0" applyFont="1" applyFill="1" applyBorder="1" applyAlignment="1">
      <alignment wrapText="1"/>
    </xf>
    <xf numFmtId="0" fontId="3" fillId="3" borderId="1" xfId="0" applyFont="1" applyFill="1" applyBorder="1"/>
    <xf numFmtId="0" fontId="3" fillId="3" borderId="1" xfId="0" applyFont="1" applyFill="1" applyBorder="1" applyAlignment="1">
      <alignment horizontal="left" vertical="center" wrapText="1"/>
    </xf>
    <xf numFmtId="0" fontId="3" fillId="3" borderId="1" xfId="0" applyFont="1" applyFill="1" applyBorder="1" applyAlignment="1">
      <alignment horizontal="left" wrapText="1"/>
    </xf>
  </cellXfs>
  <cellStyles count="4">
    <cellStyle name="Comma" xfId="1" builtinId="3"/>
    <cellStyle name="Hyperlink" xfId="3" builtinId="8"/>
    <cellStyle name="Normal" xfId="0" builtinId="0"/>
    <cellStyle name="Percent" xfId="2" builtinId="5"/>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UNNINGHAM Eileen" id="{E800A62C-AEC6-45E6-A156-F24934F32ACF}" userId="S::Eileen.CUNNINGHAM@odot.oregon.gov::911588ad-9123-4cfb-a070-445b7e716ae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4-06-28T20:32:12.67" personId="{E800A62C-AEC6-45E6-A156-F24934F32ACF}" id="{3A8FD73A-E131-439B-A44D-EBF0B71C03A9}">
    <text xml:space="preserve">Adopted land use zone or district as defined in the city or county's comprehensive plan &amp; local development code. </text>
  </threadedComment>
  <threadedComment ref="D3" dT="2024-06-28T20:55:34.05" personId="{E800A62C-AEC6-45E6-A156-F24934F32ACF}" id="{5AFC0357-4350-4518-8F5B-C046A78286E7}">
    <text>Unbuildable lot area by land use zone based on development standards such as required setbacks, on-site parking or vehicular access, pedestrian circulation, landscaping, or open space requirements.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4-06-28T20:34:56.28" personId="{E800A62C-AEC6-45E6-A156-F24934F32ACF}" id="{261FADE8-5FCB-491D-881A-2C1039976C8C}">
    <text xml:space="preserve">Adopted land use zone or district as defined in the city or county's comprehensive plan &amp; local development code. </text>
  </threadedComment>
  <threadedComment ref="D3" dT="2024-06-28T20:55:16.92" personId="{E800A62C-AEC6-45E6-A156-F24934F32ACF}" id="{EE2A66BD-B7B1-4E23-9E11-6014260C250B}">
    <text>Unbuildable lot area by land use zone based on development standards such as required setbacks, on-site parking or vehicular access, pedestrian circulation, landscaping, or open space requirements.</text>
  </threadedComment>
</ThreadedComments>
</file>

<file path=xl/threadedComments/threadedComment3.xml><?xml version="1.0" encoding="utf-8"?>
<ThreadedComments xmlns="http://schemas.microsoft.com/office/spreadsheetml/2018/threadedcomments" xmlns:x="http://schemas.openxmlformats.org/spreadsheetml/2006/main">
  <threadedComment ref="B3" dT="2024-07-10T18:36:40.57" personId="{E800A62C-AEC6-45E6-A156-F24934F32ACF}" id="{B4D902D5-73F6-417D-B9BC-BE7BF47C6D3F}">
    <text>High-level estimate of percentage of CFA or Metro Region 2040 center for non-residential land uses only.</text>
  </threadedComment>
  <threadedComment ref="C3" dT="2024-06-28T21:30:17.45" personId="{E800A62C-AEC6-45E6-A156-F24934F32ACF}" id="{1148074D-78B1-4BD2-B78B-6D17A99FAC2D}">
    <text>Non-residential development capacity should be listed in square footage; dwelling units should be listed by number of dwelling units.</text>
  </threadedComment>
  <threadedComment ref="B17" dT="2024-07-15T22:44:22.13" personId="{E800A62C-AEC6-45E6-A156-F24934F32ACF}" id="{8A1CE1FC-0D83-4271-BEB6-5CCC0307DC01}">
    <text>Verify that percentages by land use zone total 100.</text>
  </threadedComment>
</ThreadedComments>
</file>

<file path=xl/threadedComments/threadedComment4.xml><?xml version="1.0" encoding="utf-8"?>
<ThreadedComments xmlns="http://schemas.microsoft.com/office/spreadsheetml/2018/threadedcomments" xmlns:x="http://schemas.openxmlformats.org/spreadsheetml/2006/main">
  <threadedComment ref="B3" dT="2024-07-10T18:50:28.41" personId="{E800A62C-AEC6-45E6-A156-F24934F32ACF}" id="{8DE21745-C1F7-48F5-B1DC-55E3C2674DAA}">
    <text>High-level estimate of percentage of CFA or Metro Region 2040 center for non-residential land uses only.</text>
  </threadedComment>
  <threadedComment ref="C3" dT="2024-06-28T21:29:59.95" personId="{E800A62C-AEC6-45E6-A156-F24934F32ACF}" id="{84D72CFF-CB86-45F7-B9CB-74E711D4246D}">
    <text>Non-residential development capacity should be listed in square footage; dwelling units should be listed by number of dwelling units.</text>
  </threadedComment>
  <threadedComment ref="B13" dT="2024-07-15T22:44:07.08" personId="{E800A62C-AEC6-45E6-A156-F24934F32ACF}" id="{4A841030-04A1-4F34-8286-2659C94E69B3}">
    <text>Verify that percentages by land use zone total 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gisintra.odot.state.or.us/TransGIS/" TargetMode="External"/><Relationship Id="rId2" Type="http://schemas.openxmlformats.org/officeDocument/2006/relationships/hyperlink" Target="https://geo.maps.arcgis.com/apps/webappviewer/index.html?id=24b01c0355ca438080758fe2b00a795b" TargetMode="External"/><Relationship Id="rId1" Type="http://schemas.openxmlformats.org/officeDocument/2006/relationships/hyperlink" Target="https://geo.maps.arcgis.com/apps/webappviewer/index.html?id=24b01c0355ca438080758fe2b00a795b"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836E-D321-4FDD-AE2F-949BFF75B642}">
  <dimension ref="A1:C16"/>
  <sheetViews>
    <sheetView tabSelected="1" workbookViewId="0">
      <pane ySplit="1" topLeftCell="A2" activePane="bottomLeft" state="frozen"/>
      <selection pane="bottomLeft" activeCell="H7" sqref="H7"/>
    </sheetView>
  </sheetViews>
  <sheetFormatPr defaultRowHeight="14.3" x14ac:dyDescent="0.25"/>
  <cols>
    <col min="1" max="1" width="61.375" style="5" customWidth="1"/>
    <col min="2" max="2" width="16.625" style="5" customWidth="1"/>
    <col min="3" max="3" width="16.75" style="5" customWidth="1"/>
  </cols>
  <sheetData>
    <row r="1" spans="1:3" ht="30.1" x14ac:dyDescent="0.25">
      <c r="A1" s="6" t="s">
        <v>119</v>
      </c>
      <c r="B1" s="6" t="s">
        <v>98</v>
      </c>
      <c r="C1" s="6" t="s">
        <v>77</v>
      </c>
    </row>
    <row r="2" spans="1:3" ht="42.8" x14ac:dyDescent="0.25">
      <c r="A2" s="18" t="s">
        <v>152</v>
      </c>
      <c r="B2" s="7" t="s">
        <v>74</v>
      </c>
      <c r="C2" s="21" t="s">
        <v>104</v>
      </c>
    </row>
    <row r="3" spans="1:3" ht="14.95" x14ac:dyDescent="0.25">
      <c r="A3" s="17" t="s">
        <v>101</v>
      </c>
      <c r="B3" s="20" t="s">
        <v>99</v>
      </c>
      <c r="C3" s="21" t="s">
        <v>104</v>
      </c>
    </row>
    <row r="4" spans="1:3" ht="14.95" x14ac:dyDescent="0.25">
      <c r="A4" s="42" t="s">
        <v>29</v>
      </c>
      <c r="B4" s="8"/>
      <c r="C4" s="22"/>
    </row>
    <row r="5" spans="1:3" ht="45" customHeight="1" x14ac:dyDescent="0.25">
      <c r="A5" s="42" t="s">
        <v>30</v>
      </c>
      <c r="B5" s="8"/>
      <c r="C5" s="22"/>
    </row>
    <row r="6" spans="1:3" ht="30.1" customHeight="1" x14ac:dyDescent="0.25">
      <c r="A6" s="43" t="s">
        <v>31</v>
      </c>
      <c r="B6" s="9"/>
      <c r="C6" s="23"/>
    </row>
    <row r="7" spans="1:3" ht="30.1" x14ac:dyDescent="0.25">
      <c r="A7" s="18" t="s">
        <v>102</v>
      </c>
      <c r="B7" s="20" t="s">
        <v>99</v>
      </c>
      <c r="C7" s="21" t="s">
        <v>104</v>
      </c>
    </row>
    <row r="8" spans="1:3" ht="59.95" x14ac:dyDescent="0.25">
      <c r="A8" s="19" t="s">
        <v>103</v>
      </c>
      <c r="B8" s="20" t="s">
        <v>99</v>
      </c>
      <c r="C8" s="21" t="s">
        <v>104</v>
      </c>
    </row>
    <row r="9" spans="1:3" ht="45" x14ac:dyDescent="0.25">
      <c r="A9" s="18" t="s">
        <v>122</v>
      </c>
      <c r="B9" s="7" t="s">
        <v>100</v>
      </c>
      <c r="C9" s="50" t="s">
        <v>124</v>
      </c>
    </row>
    <row r="10" spans="1:3" ht="45" x14ac:dyDescent="0.25">
      <c r="A10" s="18" t="s">
        <v>147</v>
      </c>
      <c r="B10" s="7" t="s">
        <v>100</v>
      </c>
      <c r="C10" s="50" t="s">
        <v>124</v>
      </c>
    </row>
    <row r="11" spans="1:3" ht="45" x14ac:dyDescent="0.25">
      <c r="A11" s="18" t="s">
        <v>78</v>
      </c>
      <c r="B11" s="7" t="s">
        <v>100</v>
      </c>
      <c r="C11" s="21" t="s">
        <v>104</v>
      </c>
    </row>
    <row r="12" spans="1:3" ht="45" x14ac:dyDescent="0.25">
      <c r="A12" s="7" t="s">
        <v>120</v>
      </c>
      <c r="B12" s="7" t="s">
        <v>100</v>
      </c>
      <c r="C12" s="21" t="s">
        <v>104</v>
      </c>
    </row>
    <row r="13" spans="1:3" ht="45" x14ac:dyDescent="0.25">
      <c r="A13" s="7" t="s">
        <v>106</v>
      </c>
      <c r="B13" s="7" t="s">
        <v>100</v>
      </c>
      <c r="C13" s="7" t="s">
        <v>107</v>
      </c>
    </row>
    <row r="14" spans="1:3" ht="45" x14ac:dyDescent="0.25">
      <c r="A14" s="7" t="s">
        <v>118</v>
      </c>
      <c r="B14" s="7" t="s">
        <v>100</v>
      </c>
      <c r="C14" s="24" t="s">
        <v>79</v>
      </c>
    </row>
    <row r="15" spans="1:3" ht="71.349999999999994" x14ac:dyDescent="0.25">
      <c r="A15" s="7" t="s">
        <v>123</v>
      </c>
      <c r="B15" s="7" t="s">
        <v>100</v>
      </c>
      <c r="C15" s="24" t="s">
        <v>80</v>
      </c>
    </row>
    <row r="16" spans="1:3" ht="57.1" x14ac:dyDescent="0.25">
      <c r="A16" s="18" t="s">
        <v>150</v>
      </c>
      <c r="B16" s="7" t="s">
        <v>100</v>
      </c>
      <c r="C16" s="7" t="s">
        <v>151</v>
      </c>
    </row>
  </sheetData>
  <autoFilter ref="A1:C16" xr:uid="{2F1C836E-D321-4FDD-AE2F-949BFF75B642}"/>
  <hyperlinks>
    <hyperlink ref="C14" r:id="rId1" display="https://geo.maps.arcgis.com/apps/webappviewer/index.html?id=24b01c0355ca438080758fe2b00a795b" xr:uid="{846C8099-7FA6-43F8-8CC3-38DF0F5EB851}"/>
    <hyperlink ref="C15" r:id="rId2" display="https://geo.maps.arcgis.com/apps/webappviewer/index.html?id=24b01c0355ca438080758fe2b00a795b" xr:uid="{CAA8ADFC-840A-411F-97E7-FCE57B776479}"/>
    <hyperlink ref="C9" r:id="rId3" xr:uid="{83592613-CB4E-498C-98C4-34EA78D8E2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87AA-95F2-4432-A3EC-6D319BDCEBC7}">
  <dimension ref="A1:G11"/>
  <sheetViews>
    <sheetView workbookViewId="0">
      <selection activeCell="C8" sqref="C8"/>
    </sheetView>
  </sheetViews>
  <sheetFormatPr defaultColWidth="39.125" defaultRowHeight="14.3" x14ac:dyDescent="0.25"/>
  <cols>
    <col min="1" max="1" width="37.75" bestFit="1" customWidth="1"/>
    <col min="2" max="2" width="37.75" customWidth="1"/>
    <col min="3" max="7" width="30.625" customWidth="1"/>
  </cols>
  <sheetData>
    <row r="1" spans="1:7" x14ac:dyDescent="0.25">
      <c r="A1" s="6" t="s">
        <v>153</v>
      </c>
      <c r="B1" s="59" t="s">
        <v>154</v>
      </c>
      <c r="C1" s="6" t="s">
        <v>155</v>
      </c>
      <c r="D1" s="6" t="s">
        <v>156</v>
      </c>
      <c r="E1" s="6" t="s">
        <v>157</v>
      </c>
      <c r="F1" s="6" t="s">
        <v>158</v>
      </c>
      <c r="G1" s="6" t="s">
        <v>159</v>
      </c>
    </row>
    <row r="2" spans="1:7" x14ac:dyDescent="0.25">
      <c r="A2" s="16" t="s">
        <v>160</v>
      </c>
      <c r="B2" s="60" t="s">
        <v>161</v>
      </c>
      <c r="C2" s="6"/>
      <c r="D2" s="6"/>
      <c r="E2" s="16"/>
      <c r="F2" s="16"/>
      <c r="G2" s="16"/>
    </row>
    <row r="3" spans="1:7" x14ac:dyDescent="0.25">
      <c r="A3" s="18" t="s">
        <v>162</v>
      </c>
      <c r="B3" s="60" t="s">
        <v>163</v>
      </c>
      <c r="C3" s="6"/>
      <c r="D3" s="6"/>
      <c r="E3" s="16"/>
      <c r="F3" s="16"/>
      <c r="G3" s="16"/>
    </row>
    <row r="4" spans="1:7" ht="42.8" x14ac:dyDescent="0.25">
      <c r="A4" s="18" t="s">
        <v>164</v>
      </c>
      <c r="B4" s="61" t="s">
        <v>165</v>
      </c>
      <c r="C4" s="7"/>
      <c r="D4" s="7"/>
      <c r="E4" s="16"/>
      <c r="F4" s="16"/>
      <c r="G4" s="16"/>
    </row>
    <row r="5" spans="1:7" ht="99.85" x14ac:dyDescent="0.25">
      <c r="A5" s="18" t="s">
        <v>166</v>
      </c>
      <c r="B5" s="62">
        <v>0.1</v>
      </c>
      <c r="C5" s="7"/>
      <c r="D5" s="16"/>
      <c r="E5" s="16"/>
      <c r="F5" s="16"/>
      <c r="G5" s="16"/>
    </row>
    <row r="6" spans="1:7" ht="42.8" x14ac:dyDescent="0.25">
      <c r="A6" s="18" t="s">
        <v>167</v>
      </c>
      <c r="B6" s="61" t="s">
        <v>168</v>
      </c>
      <c r="C6" s="7"/>
      <c r="D6" s="7"/>
      <c r="E6" s="16"/>
      <c r="F6" s="16"/>
      <c r="G6" s="16"/>
    </row>
    <row r="7" spans="1:7" ht="42.8" x14ac:dyDescent="0.25">
      <c r="A7" s="18" t="s">
        <v>169</v>
      </c>
      <c r="B7" s="61" t="s">
        <v>168</v>
      </c>
      <c r="C7" s="7"/>
      <c r="D7" s="7"/>
      <c r="E7" s="16"/>
      <c r="F7" s="16"/>
      <c r="G7" s="16"/>
    </row>
    <row r="8" spans="1:7" ht="57.1" x14ac:dyDescent="0.25">
      <c r="A8" s="18" t="s">
        <v>170</v>
      </c>
      <c r="B8" s="61" t="s">
        <v>171</v>
      </c>
      <c r="C8" s="7"/>
      <c r="D8" s="7"/>
      <c r="E8" s="16"/>
      <c r="F8" s="16"/>
      <c r="G8" s="16"/>
    </row>
    <row r="9" spans="1:7" ht="57.1" x14ac:dyDescent="0.25">
      <c r="A9" s="7" t="s">
        <v>172</v>
      </c>
      <c r="B9" s="61" t="s">
        <v>171</v>
      </c>
      <c r="C9" s="7"/>
      <c r="D9" s="7"/>
      <c r="E9" s="16"/>
      <c r="F9" s="16"/>
      <c r="G9" s="16"/>
    </row>
    <row r="10" spans="1:7" ht="28.55" x14ac:dyDescent="0.25">
      <c r="A10" s="18" t="s">
        <v>173</v>
      </c>
      <c r="B10" s="61" t="s">
        <v>174</v>
      </c>
      <c r="C10" s="16"/>
      <c r="D10" s="16"/>
      <c r="E10" s="16"/>
      <c r="F10" s="16"/>
      <c r="G10" s="16"/>
    </row>
    <row r="11" spans="1:7" ht="42.8" x14ac:dyDescent="0.25">
      <c r="A11" s="18" t="s">
        <v>175</v>
      </c>
      <c r="B11" s="61" t="s">
        <v>176</v>
      </c>
      <c r="C11" s="16"/>
      <c r="D11" s="16"/>
      <c r="E11" s="16"/>
      <c r="F11" s="16"/>
      <c r="G11"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B7098-A112-499B-9ADF-7E5DEB5E5642}">
  <dimension ref="A1:J11"/>
  <sheetViews>
    <sheetView zoomScaleNormal="100" workbookViewId="0">
      <pane ySplit="1" topLeftCell="A2" activePane="bottomLeft" state="frozen"/>
      <selection pane="bottomLeft" activeCell="C21" sqref="C21"/>
    </sheetView>
  </sheetViews>
  <sheetFormatPr defaultColWidth="18.125" defaultRowHeight="14.3" x14ac:dyDescent="0.25"/>
  <cols>
    <col min="1" max="1" width="24.375" customWidth="1"/>
    <col min="2" max="2" width="15" customWidth="1"/>
    <col min="3" max="3" width="16.75" customWidth="1"/>
    <col min="4" max="4" width="13.625" customWidth="1"/>
    <col min="5" max="5" width="12.375" customWidth="1"/>
    <col min="6" max="6" width="14.25" customWidth="1"/>
    <col min="7" max="7" width="15.125" customWidth="1"/>
    <col min="8" max="8" width="14.75" customWidth="1"/>
    <col min="10" max="10" width="16.625" customWidth="1"/>
  </cols>
  <sheetData>
    <row r="1" spans="1:10" ht="14.95" x14ac:dyDescent="0.25">
      <c r="A1" s="1" t="s">
        <v>140</v>
      </c>
      <c r="B1" s="1"/>
      <c r="C1" s="1"/>
    </row>
    <row r="2" spans="1:10" ht="14.95" x14ac:dyDescent="0.25">
      <c r="A2" s="3" t="s">
        <v>8</v>
      </c>
      <c r="B2" s="2" t="s">
        <v>9</v>
      </c>
      <c r="C2" s="2" t="s">
        <v>10</v>
      </c>
      <c r="D2" s="2" t="s">
        <v>12</v>
      </c>
      <c r="E2" s="2" t="s">
        <v>11</v>
      </c>
      <c r="F2" s="2" t="s">
        <v>15</v>
      </c>
      <c r="G2" s="2" t="s">
        <v>16</v>
      </c>
      <c r="H2" s="2" t="s">
        <v>17</v>
      </c>
      <c r="I2" s="2" t="s">
        <v>18</v>
      </c>
      <c r="J2" s="2" t="s">
        <v>35</v>
      </c>
    </row>
    <row r="3" spans="1:10" ht="57.1" x14ac:dyDescent="0.25">
      <c r="A3" s="25" t="s">
        <v>105</v>
      </c>
      <c r="B3" s="25" t="s">
        <v>41</v>
      </c>
      <c r="C3" s="25" t="s">
        <v>0</v>
      </c>
      <c r="D3" s="25" t="s">
        <v>96</v>
      </c>
      <c r="E3" s="25" t="s">
        <v>7</v>
      </c>
      <c r="F3" s="25" t="s">
        <v>1</v>
      </c>
      <c r="G3" s="25" t="s">
        <v>111</v>
      </c>
      <c r="H3" s="25" t="s">
        <v>37</v>
      </c>
      <c r="I3" s="25" t="s">
        <v>75</v>
      </c>
      <c r="J3" s="25" t="s">
        <v>108</v>
      </c>
    </row>
    <row r="4" spans="1:10" ht="45" x14ac:dyDescent="0.25">
      <c r="A4" s="26" t="s">
        <v>110</v>
      </c>
      <c r="B4" s="27"/>
      <c r="C4" s="26" t="s">
        <v>121</v>
      </c>
      <c r="D4" s="27"/>
      <c r="E4" s="26" t="s">
        <v>14</v>
      </c>
      <c r="F4" s="27"/>
      <c r="G4" s="26" t="s">
        <v>127</v>
      </c>
      <c r="H4" s="26" t="s">
        <v>19</v>
      </c>
      <c r="I4" s="26" t="s">
        <v>76</v>
      </c>
      <c r="J4" s="26" t="s">
        <v>36</v>
      </c>
    </row>
    <row r="5" spans="1:10" ht="30.1" x14ac:dyDescent="0.25">
      <c r="A5" s="28" t="s">
        <v>26</v>
      </c>
      <c r="B5" s="29">
        <v>6.64</v>
      </c>
      <c r="C5" s="30">
        <f>B5*43560</f>
        <v>289238.39999999997</v>
      </c>
      <c r="D5" s="29">
        <v>0.3</v>
      </c>
      <c r="E5" s="31">
        <f>C5-(C5*D5)</f>
        <v>202466.87999999998</v>
      </c>
      <c r="F5" s="29">
        <v>75</v>
      </c>
      <c r="G5" s="29">
        <f>ROUNDDOWN(F5/12,0)</f>
        <v>6</v>
      </c>
      <c r="H5" s="31">
        <f>E5*G5</f>
        <v>1214801.2799999998</v>
      </c>
      <c r="I5" s="51">
        <f>(A11*B11)/SUM(H5:H6)</f>
        <v>3.4573555931715848E-3</v>
      </c>
      <c r="J5" s="31">
        <f>H5-(H5*I5)</f>
        <v>1210601.2799999998</v>
      </c>
    </row>
    <row r="6" spans="1:10" ht="30.1" x14ac:dyDescent="0.25">
      <c r="A6" s="28" t="s">
        <v>25</v>
      </c>
      <c r="B6" s="29">
        <f>6.64*4</f>
        <v>26.56</v>
      </c>
      <c r="C6" s="30">
        <f>B6*43560</f>
        <v>1156953.5999999999</v>
      </c>
      <c r="D6" s="29">
        <v>0.3</v>
      </c>
      <c r="E6" s="31">
        <f>C6-(C6*D6)</f>
        <v>809867.5199999999</v>
      </c>
      <c r="F6" s="29">
        <v>45</v>
      </c>
      <c r="G6" s="29">
        <f>ROUNDDOWN(F6/12,0)</f>
        <v>3</v>
      </c>
      <c r="H6" s="31">
        <f>E6*G6</f>
        <v>2429602.5599999996</v>
      </c>
      <c r="I6" s="51">
        <f>(A11*B11)/SUM(H5:H6)</f>
        <v>3.4573555931715848E-3</v>
      </c>
      <c r="J6" s="31">
        <f>H6-(H6*I6)</f>
        <v>2421202.5599999996</v>
      </c>
    </row>
    <row r="7" spans="1:10" ht="14.95" x14ac:dyDescent="0.25">
      <c r="A7" s="46"/>
      <c r="B7" s="47"/>
      <c r="C7" s="48"/>
      <c r="D7" s="47"/>
      <c r="E7" s="49"/>
      <c r="F7" s="47"/>
      <c r="G7" s="47"/>
      <c r="H7" s="49"/>
      <c r="I7" s="44"/>
      <c r="J7" s="49"/>
    </row>
    <row r="8" spans="1:10" ht="14.95" x14ac:dyDescent="0.25">
      <c r="A8" s="46"/>
    </row>
    <row r="10" spans="1:10" ht="14.95" x14ac:dyDescent="0.25">
      <c r="A10" s="15" t="s">
        <v>32</v>
      </c>
      <c r="B10" s="15" t="s">
        <v>33</v>
      </c>
      <c r="C10" s="15" t="s">
        <v>34</v>
      </c>
      <c r="F10" s="4"/>
    </row>
    <row r="11" spans="1:10" ht="14.95" x14ac:dyDescent="0.25">
      <c r="A11" s="16">
        <v>14</v>
      </c>
      <c r="B11" s="16">
        <v>900</v>
      </c>
      <c r="C11" s="45">
        <f>A11*B11</f>
        <v>12600</v>
      </c>
      <c r="F11" s="32"/>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AD36-CCB9-49F5-83A8-3B10E96C8C2D}">
  <dimension ref="A1:J10"/>
  <sheetViews>
    <sheetView zoomScaleNormal="100" workbookViewId="0">
      <pane ySplit="1" topLeftCell="A2" activePane="bottomLeft" state="frozen"/>
      <selection pane="bottomLeft" activeCell="E14" sqref="E14"/>
    </sheetView>
  </sheetViews>
  <sheetFormatPr defaultRowHeight="14.3" x14ac:dyDescent="0.25"/>
  <cols>
    <col min="1" max="1" width="27.125" customWidth="1"/>
    <col min="2" max="2" width="12.875" customWidth="1"/>
    <col min="3" max="3" width="13.25" customWidth="1"/>
    <col min="4" max="4" width="12" customWidth="1"/>
    <col min="5" max="5" width="13.375" customWidth="1"/>
    <col min="6" max="6" width="10.125" customWidth="1"/>
    <col min="7" max="7" width="10.625" bestFit="1" customWidth="1"/>
    <col min="8" max="8" width="9.75" bestFit="1" customWidth="1"/>
    <col min="9" max="9" width="17" bestFit="1" customWidth="1"/>
    <col min="10" max="10" width="18" customWidth="1"/>
  </cols>
  <sheetData>
    <row r="1" spans="1:10" ht="14.95" x14ac:dyDescent="0.25">
      <c r="A1" s="1" t="s">
        <v>141</v>
      </c>
    </row>
    <row r="2" spans="1:10" ht="14.95" x14ac:dyDescent="0.25">
      <c r="A2" s="3" t="s">
        <v>8</v>
      </c>
      <c r="B2" s="2" t="s">
        <v>9</v>
      </c>
      <c r="C2" s="2" t="s">
        <v>10</v>
      </c>
      <c r="D2" s="2" t="s">
        <v>12</v>
      </c>
      <c r="E2" s="2" t="s">
        <v>11</v>
      </c>
      <c r="F2" s="2" t="s">
        <v>15</v>
      </c>
      <c r="G2" s="2" t="s">
        <v>16</v>
      </c>
      <c r="H2" s="2" t="s">
        <v>17</v>
      </c>
      <c r="I2" s="2" t="s">
        <v>18</v>
      </c>
      <c r="J2" s="2" t="s">
        <v>35</v>
      </c>
    </row>
    <row r="3" spans="1:10" ht="71.349999999999994" x14ac:dyDescent="0.25">
      <c r="A3" s="25" t="s">
        <v>105</v>
      </c>
      <c r="B3" s="25" t="s">
        <v>115</v>
      </c>
      <c r="C3" s="25" t="s">
        <v>38</v>
      </c>
      <c r="D3" s="25" t="s">
        <v>116</v>
      </c>
      <c r="E3" s="25" t="s">
        <v>39</v>
      </c>
      <c r="F3" s="25" t="s">
        <v>1</v>
      </c>
      <c r="G3" s="25" t="s">
        <v>111</v>
      </c>
      <c r="H3" s="25" t="s">
        <v>117</v>
      </c>
      <c r="I3" s="25" t="s">
        <v>113</v>
      </c>
      <c r="J3" s="25" t="s">
        <v>109</v>
      </c>
    </row>
    <row r="4" spans="1:10" ht="59.95" x14ac:dyDescent="0.25">
      <c r="A4" s="26" t="s">
        <v>110</v>
      </c>
      <c r="B4" s="27"/>
      <c r="C4" s="26" t="s">
        <v>13</v>
      </c>
      <c r="D4" s="27"/>
      <c r="E4" s="26" t="s">
        <v>14</v>
      </c>
      <c r="F4" s="27"/>
      <c r="G4" s="26" t="s">
        <v>127</v>
      </c>
      <c r="H4" s="26" t="s">
        <v>19</v>
      </c>
      <c r="I4" s="26" t="s">
        <v>112</v>
      </c>
      <c r="J4" s="26" t="s">
        <v>36</v>
      </c>
    </row>
    <row r="5" spans="1:10" ht="30.1" x14ac:dyDescent="0.25">
      <c r="A5" s="28" t="s">
        <v>26</v>
      </c>
      <c r="B5" s="29">
        <v>33.200000000000003</v>
      </c>
      <c r="C5" s="31">
        <f>B5*43560</f>
        <v>1446192.0000000002</v>
      </c>
      <c r="D5" s="29">
        <v>0.3</v>
      </c>
      <c r="E5" s="31">
        <f>C5-(C5*D5)</f>
        <v>1012334.4000000001</v>
      </c>
      <c r="F5" s="29">
        <v>75</v>
      </c>
      <c r="G5" s="29">
        <f>ROUNDDOWN(F5/12,0)</f>
        <v>6</v>
      </c>
      <c r="H5" s="31">
        <f>E5*G5</f>
        <v>6074006.4000000004</v>
      </c>
      <c r="I5" s="51">
        <f>(A10*B10)/SUM(H5)</f>
        <v>0.27886042398638233</v>
      </c>
      <c r="J5" s="31">
        <f>H5-(H5*I5)</f>
        <v>4380206.4000000004</v>
      </c>
    </row>
    <row r="6" spans="1:10" ht="14.95" x14ac:dyDescent="0.25">
      <c r="A6" s="46"/>
      <c r="B6" s="47"/>
      <c r="C6" s="49"/>
      <c r="D6" s="47"/>
      <c r="E6" s="49"/>
      <c r="F6" s="47"/>
      <c r="G6" s="47"/>
      <c r="H6" s="49"/>
      <c r="I6" s="44"/>
      <c r="J6" s="49"/>
    </row>
    <row r="7" spans="1:10" ht="14.95" x14ac:dyDescent="0.25">
      <c r="I7" s="44"/>
    </row>
    <row r="9" spans="1:10" ht="14.95" x14ac:dyDescent="0.25">
      <c r="A9" s="15" t="s">
        <v>32</v>
      </c>
      <c r="B9" s="15" t="s">
        <v>33</v>
      </c>
      <c r="C9" s="15" t="s">
        <v>34</v>
      </c>
    </row>
    <row r="10" spans="1:10" ht="14.95" x14ac:dyDescent="0.25">
      <c r="A10" s="31">
        <v>1882</v>
      </c>
      <c r="B10" s="16">
        <v>900</v>
      </c>
      <c r="C10" s="45">
        <f>A10*B10</f>
        <v>1693800</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11CB1-DB7F-42A0-8287-F67EFB06B972}">
  <dimension ref="A1:F19"/>
  <sheetViews>
    <sheetView zoomScaleNormal="100" workbookViewId="0">
      <selection activeCell="I12" sqref="I12"/>
    </sheetView>
  </sheetViews>
  <sheetFormatPr defaultRowHeight="14.3" x14ac:dyDescent="0.25"/>
  <cols>
    <col min="1" max="1" width="24" customWidth="1"/>
    <col min="2" max="2" width="17.625" bestFit="1" customWidth="1"/>
    <col min="3" max="3" width="15.125" bestFit="1" customWidth="1"/>
    <col min="4" max="4" width="17.25" customWidth="1"/>
    <col min="5" max="5" width="11.125" bestFit="1" customWidth="1"/>
    <col min="6" max="6" width="15.875" customWidth="1"/>
  </cols>
  <sheetData>
    <row r="1" spans="1:6" ht="14.95" x14ac:dyDescent="0.25">
      <c r="A1" s="10" t="s">
        <v>142</v>
      </c>
      <c r="B1" s="10"/>
    </row>
    <row r="2" spans="1:6" ht="14.95" x14ac:dyDescent="0.25">
      <c r="A2" s="3" t="s">
        <v>8</v>
      </c>
      <c r="B2" s="3" t="s">
        <v>9</v>
      </c>
      <c r="C2" s="2" t="s">
        <v>10</v>
      </c>
      <c r="D2" s="2" t="s">
        <v>12</v>
      </c>
      <c r="E2" s="2" t="s">
        <v>11</v>
      </c>
      <c r="F2" s="2" t="s">
        <v>15</v>
      </c>
    </row>
    <row r="3" spans="1:6" ht="59.95" x14ac:dyDescent="0.25">
      <c r="A3" s="25" t="s">
        <v>105</v>
      </c>
      <c r="B3" s="25" t="s">
        <v>131</v>
      </c>
      <c r="C3" s="25" t="s">
        <v>126</v>
      </c>
      <c r="D3" s="25" t="s">
        <v>2</v>
      </c>
      <c r="E3" s="25" t="s">
        <v>125</v>
      </c>
      <c r="F3" s="25" t="s">
        <v>3</v>
      </c>
    </row>
    <row r="4" spans="1:6" ht="75.099999999999994" x14ac:dyDescent="0.25">
      <c r="A4" s="26" t="s">
        <v>110</v>
      </c>
      <c r="B4" s="57"/>
      <c r="C4" s="33"/>
      <c r="D4" s="33"/>
      <c r="E4" s="33"/>
      <c r="F4" s="34" t="s">
        <v>133</v>
      </c>
    </row>
    <row r="5" spans="1:6" ht="30.1" x14ac:dyDescent="0.25">
      <c r="A5" s="19" t="s">
        <v>21</v>
      </c>
      <c r="B5" s="54">
        <v>0.55000000000000004</v>
      </c>
      <c r="C5" s="31">
        <f>'Table 1. Existing_DevCap'!J5*B5</f>
        <v>665830.70399999991</v>
      </c>
      <c r="D5" s="19" t="s">
        <v>138</v>
      </c>
      <c r="E5" s="58">
        <v>54.45</v>
      </c>
      <c r="F5" s="30">
        <f>(C5/1000)*E5</f>
        <v>36254.481832799996</v>
      </c>
    </row>
    <row r="6" spans="1:6" ht="30.1" x14ac:dyDescent="0.25">
      <c r="A6" s="19" t="s">
        <v>21</v>
      </c>
      <c r="B6" s="54">
        <v>0.1</v>
      </c>
      <c r="C6" s="31">
        <f>'Table 1. Existing_DevCap'!J5*B6</f>
        <v>121060.12799999998</v>
      </c>
      <c r="D6" s="19" t="s">
        <v>139</v>
      </c>
      <c r="E6" s="29">
        <v>10.84</v>
      </c>
      <c r="F6" s="30">
        <f>(C6/1000)*E6</f>
        <v>1312.2917875199998</v>
      </c>
    </row>
    <row r="7" spans="1:6" ht="30.1" x14ac:dyDescent="0.25">
      <c r="A7" s="19" t="s">
        <v>21</v>
      </c>
      <c r="B7" s="54">
        <v>0.1</v>
      </c>
      <c r="C7" s="31">
        <f>'Table 1. Existing_DevCap'!J5*B7</f>
        <v>121060.12799999998</v>
      </c>
      <c r="D7" s="19" t="s">
        <v>128</v>
      </c>
      <c r="E7" s="29">
        <v>1.45</v>
      </c>
      <c r="F7" s="30">
        <f t="shared" ref="F7:F9" si="0">(C7/1000)*E7</f>
        <v>175.53718559999996</v>
      </c>
    </row>
    <row r="8" spans="1:6" ht="30.1" x14ac:dyDescent="0.25">
      <c r="A8" s="19" t="s">
        <v>21</v>
      </c>
      <c r="B8" s="54">
        <v>0.23</v>
      </c>
      <c r="C8" s="31">
        <f>'Table 1. Existing_DevCap'!J5*B8</f>
        <v>278438.29439999996</v>
      </c>
      <c r="D8" s="19" t="s">
        <v>129</v>
      </c>
      <c r="E8" s="29">
        <v>97.14</v>
      </c>
      <c r="F8" s="30">
        <f t="shared" si="0"/>
        <v>27047.495918015997</v>
      </c>
    </row>
    <row r="9" spans="1:6" ht="14.95" x14ac:dyDescent="0.25">
      <c r="A9" s="19" t="s">
        <v>21</v>
      </c>
      <c r="B9" s="54">
        <v>0.02</v>
      </c>
      <c r="C9" s="31">
        <f>'Table 1. Existing_DevCap'!J5*B9</f>
        <v>24212.025599999997</v>
      </c>
      <c r="D9" s="19" t="s">
        <v>130</v>
      </c>
      <c r="E9" s="29">
        <v>93.84</v>
      </c>
      <c r="F9" s="30">
        <f t="shared" si="0"/>
        <v>2272.0564823039999</v>
      </c>
    </row>
    <row r="10" spans="1:6" ht="30.1" x14ac:dyDescent="0.25">
      <c r="A10" s="28" t="s">
        <v>22</v>
      </c>
      <c r="B10" s="52">
        <v>0.6</v>
      </c>
      <c r="C10" s="31">
        <f>'Table 1. Existing_DevCap'!J6*B10</f>
        <v>1452721.5359999996</v>
      </c>
      <c r="D10" s="19" t="s">
        <v>138</v>
      </c>
      <c r="E10" s="58">
        <v>54.45</v>
      </c>
      <c r="F10" s="30">
        <f>(C10/1000)*E10</f>
        <v>79100.687635199982</v>
      </c>
    </row>
    <row r="11" spans="1:6" ht="30.1" x14ac:dyDescent="0.25">
      <c r="A11" s="28" t="s">
        <v>22</v>
      </c>
      <c r="B11" s="52">
        <v>0.2</v>
      </c>
      <c r="C11" s="31">
        <f>'Table 1. Existing_DevCap'!J6*B11</f>
        <v>484240.51199999993</v>
      </c>
      <c r="D11" s="19" t="s">
        <v>128</v>
      </c>
      <c r="E11" s="29">
        <v>1.45</v>
      </c>
      <c r="F11" s="30">
        <f t="shared" ref="F11:F12" si="1">(C11/1000)*E11</f>
        <v>702.14874239999983</v>
      </c>
    </row>
    <row r="12" spans="1:6" ht="30.1" x14ac:dyDescent="0.25">
      <c r="A12" s="28" t="s">
        <v>22</v>
      </c>
      <c r="B12" s="52">
        <v>0.2</v>
      </c>
      <c r="C12" s="31">
        <f>'Table 1. Existing_DevCap'!J6*B11</f>
        <v>484240.51199999993</v>
      </c>
      <c r="D12" s="19" t="s">
        <v>129</v>
      </c>
      <c r="E12" s="29">
        <v>97.14</v>
      </c>
      <c r="F12" s="30">
        <f t="shared" si="1"/>
        <v>47039.123335679993</v>
      </c>
    </row>
    <row r="13" spans="1:6" ht="45" x14ac:dyDescent="0.25">
      <c r="A13" s="19" t="s">
        <v>23</v>
      </c>
      <c r="B13" s="53"/>
      <c r="C13" s="29">
        <v>12</v>
      </c>
      <c r="D13" s="19" t="s">
        <v>27</v>
      </c>
      <c r="E13" s="29">
        <v>9.43</v>
      </c>
      <c r="F13" s="30">
        <f>C13*E13</f>
        <v>113.16</v>
      </c>
    </row>
    <row r="14" spans="1:6" ht="30.1" x14ac:dyDescent="0.25">
      <c r="A14" s="19" t="s">
        <v>24</v>
      </c>
      <c r="B14" s="53"/>
      <c r="C14" s="29">
        <v>2</v>
      </c>
      <c r="D14" s="19" t="s">
        <v>28</v>
      </c>
      <c r="E14" s="29">
        <v>7.2</v>
      </c>
      <c r="F14" s="30">
        <f>C14*E14</f>
        <v>14.4</v>
      </c>
    </row>
    <row r="15" spans="1:6" ht="14.95" x14ac:dyDescent="0.25">
      <c r="A15" s="33"/>
      <c r="B15" s="33"/>
      <c r="C15" s="33"/>
      <c r="D15" s="33"/>
      <c r="E15" s="33" t="s">
        <v>20</v>
      </c>
      <c r="F15" s="35">
        <f>SUM(F5:F14)</f>
        <v>194031.38291951997</v>
      </c>
    </row>
    <row r="17" spans="1:2" x14ac:dyDescent="0.25">
      <c r="A17" s="55"/>
      <c r="B17" s="55" t="s">
        <v>137</v>
      </c>
    </row>
    <row r="18" spans="1:2" x14ac:dyDescent="0.25">
      <c r="A18" s="55" t="s">
        <v>134</v>
      </c>
      <c r="B18" s="56">
        <f>SUM(B10:B13)</f>
        <v>1</v>
      </c>
    </row>
    <row r="19" spans="1:2" x14ac:dyDescent="0.25">
      <c r="A19" s="55" t="s">
        <v>135</v>
      </c>
      <c r="B19" s="56">
        <f>SUM(B10:B12)</f>
        <v>1</v>
      </c>
    </row>
  </sheetData>
  <phoneticPr fontId="7" type="noConversion"/>
  <conditionalFormatting sqref="E5">
    <cfRule type="cellIs" dxfId="1" priority="2" stopIfTrue="1" operator="equal">
      <formula>"RATE?"</formula>
    </cfRule>
  </conditionalFormatting>
  <conditionalFormatting sqref="E10">
    <cfRule type="cellIs" dxfId="0" priority="1" stopIfTrue="1" operator="equal">
      <formula>"RATE?"</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5CFE5-6314-4D0D-89CA-4FC8C2FEFF33}">
  <dimension ref="A1:G14"/>
  <sheetViews>
    <sheetView zoomScaleNormal="100" workbookViewId="0">
      <selection activeCell="A3" sqref="A3"/>
    </sheetView>
  </sheetViews>
  <sheetFormatPr defaultColWidth="18.25" defaultRowHeight="14.3" x14ac:dyDescent="0.25"/>
  <cols>
    <col min="2" max="2" width="17.625" bestFit="1" customWidth="1"/>
  </cols>
  <sheetData>
    <row r="1" spans="1:7" ht="14.95" x14ac:dyDescent="0.25">
      <c r="A1" s="10" t="s">
        <v>143</v>
      </c>
      <c r="B1" s="10"/>
    </row>
    <row r="2" spans="1:7" ht="14.95" x14ac:dyDescent="0.25">
      <c r="A2" s="3" t="s">
        <v>8</v>
      </c>
      <c r="B2" s="3" t="s">
        <v>9</v>
      </c>
      <c r="C2" s="2" t="s">
        <v>10</v>
      </c>
      <c r="D2" s="2" t="s">
        <v>12</v>
      </c>
      <c r="E2" s="2" t="s">
        <v>11</v>
      </c>
      <c r="F2" s="2" t="s">
        <v>15</v>
      </c>
      <c r="G2" s="2" t="s">
        <v>16</v>
      </c>
    </row>
    <row r="3" spans="1:7" ht="59.95" x14ac:dyDescent="0.25">
      <c r="A3" s="25" t="s">
        <v>105</v>
      </c>
      <c r="B3" s="25" t="s">
        <v>131</v>
      </c>
      <c r="C3" s="25" t="s">
        <v>126</v>
      </c>
      <c r="D3" s="25" t="s">
        <v>2</v>
      </c>
      <c r="E3" s="25" t="s">
        <v>125</v>
      </c>
      <c r="F3" s="25" t="s">
        <v>4</v>
      </c>
      <c r="G3" s="25" t="s">
        <v>136</v>
      </c>
    </row>
    <row r="4" spans="1:7" ht="75.099999999999994" x14ac:dyDescent="0.25">
      <c r="A4" s="26" t="s">
        <v>110</v>
      </c>
      <c r="B4" s="57"/>
      <c r="C4" s="33"/>
      <c r="D4" s="33"/>
      <c r="E4" s="33"/>
      <c r="F4" s="34" t="s">
        <v>133</v>
      </c>
      <c r="G4" s="34" t="s">
        <v>132</v>
      </c>
    </row>
    <row r="5" spans="1:7" ht="45" x14ac:dyDescent="0.25">
      <c r="A5" s="28" t="s">
        <v>26</v>
      </c>
      <c r="B5" s="52">
        <v>0.5</v>
      </c>
      <c r="C5" s="31">
        <f>'Table 2. Proposed_DevCap'!J5*B5</f>
        <v>2190103.2000000002</v>
      </c>
      <c r="D5" s="19" t="s">
        <v>138</v>
      </c>
      <c r="E5" s="29">
        <v>54.45</v>
      </c>
      <c r="F5" s="30">
        <f>(C5/1000)*E5</f>
        <v>119251.11924</v>
      </c>
      <c r="G5" s="30">
        <f>F5-(F5*0.1)</f>
        <v>107326.007316</v>
      </c>
    </row>
    <row r="6" spans="1:7" ht="45" x14ac:dyDescent="0.25">
      <c r="A6" s="28" t="s">
        <v>26</v>
      </c>
      <c r="B6" s="52">
        <v>0.2</v>
      </c>
      <c r="C6" s="31">
        <f>'Table 2. Proposed_DevCap'!J5*B6</f>
        <v>876041.28000000014</v>
      </c>
      <c r="D6" s="19" t="s">
        <v>139</v>
      </c>
      <c r="E6" s="29">
        <v>10.84</v>
      </c>
      <c r="F6" s="30">
        <f>(C6/1000)*E6</f>
        <v>9496.2874752000007</v>
      </c>
      <c r="G6" s="30">
        <f>F6-(F6*0.1)</f>
        <v>8546.6587276800001</v>
      </c>
    </row>
    <row r="7" spans="1:7" ht="45" x14ac:dyDescent="0.25">
      <c r="A7" s="28" t="s">
        <v>26</v>
      </c>
      <c r="B7" s="52">
        <v>0.1</v>
      </c>
      <c r="C7" s="31">
        <f>'Table 2. Proposed_DevCap'!J5*B7</f>
        <v>438020.64000000007</v>
      </c>
      <c r="D7" s="19" t="s">
        <v>128</v>
      </c>
      <c r="E7" s="29">
        <v>1.45</v>
      </c>
      <c r="F7" s="30">
        <f t="shared" ref="F7:F9" si="0">(C7/1000)*E7</f>
        <v>635.12992800000006</v>
      </c>
      <c r="G7" s="30">
        <f t="shared" ref="G7:G9" si="1">F7-(F7*0.1)</f>
        <v>571.61693520000006</v>
      </c>
    </row>
    <row r="8" spans="1:7" ht="45" x14ac:dyDescent="0.25">
      <c r="A8" s="28" t="s">
        <v>26</v>
      </c>
      <c r="B8" s="52">
        <v>0.18</v>
      </c>
      <c r="C8" s="31">
        <f>'Table 2. Proposed_DevCap'!J5*B8</f>
        <v>788437.152</v>
      </c>
      <c r="D8" s="19" t="s">
        <v>129</v>
      </c>
      <c r="E8" s="29">
        <v>97.14</v>
      </c>
      <c r="F8" s="30">
        <f t="shared" si="0"/>
        <v>76588.78494528</v>
      </c>
      <c r="G8" s="30">
        <f t="shared" si="1"/>
        <v>68929.906450751994</v>
      </c>
    </row>
    <row r="9" spans="1:7" ht="45" x14ac:dyDescent="0.25">
      <c r="A9" s="28" t="s">
        <v>26</v>
      </c>
      <c r="B9" s="52">
        <v>0.02</v>
      </c>
      <c r="C9" s="31">
        <f>'Table 2. Proposed_DevCap'!J5*B9</f>
        <v>87604.128000000012</v>
      </c>
      <c r="D9" s="19" t="s">
        <v>130</v>
      </c>
      <c r="E9" s="29">
        <v>93.84</v>
      </c>
      <c r="F9" s="30">
        <f t="shared" si="0"/>
        <v>8220.7713715200025</v>
      </c>
      <c r="G9" s="30">
        <f t="shared" si="1"/>
        <v>7398.6942343680021</v>
      </c>
    </row>
    <row r="10" spans="1:7" ht="57.1" x14ac:dyDescent="0.25">
      <c r="A10" s="19" t="s">
        <v>97</v>
      </c>
      <c r="B10" s="53"/>
      <c r="C10" s="31">
        <f>'Table 2. Proposed_DevCap'!A10</f>
        <v>1882</v>
      </c>
      <c r="D10" s="19" t="s">
        <v>114</v>
      </c>
      <c r="E10" s="29">
        <v>4.54</v>
      </c>
      <c r="F10" s="30">
        <f>C10*E10</f>
        <v>8544.2800000000007</v>
      </c>
      <c r="G10" s="30">
        <f>F10-(F10*0.1)</f>
        <v>7689.8520000000008</v>
      </c>
    </row>
    <row r="11" spans="1:7" ht="14.95" x14ac:dyDescent="0.25">
      <c r="A11" s="33"/>
      <c r="B11" s="33"/>
      <c r="C11" s="33"/>
      <c r="D11" s="33"/>
      <c r="E11" s="33"/>
      <c r="F11" s="33" t="s">
        <v>20</v>
      </c>
      <c r="G11" s="35">
        <f>SUM(G5:G10)</f>
        <v>200462.73566400001</v>
      </c>
    </row>
    <row r="13" spans="1:7" ht="14.95" x14ac:dyDescent="0.25">
      <c r="A13" s="55"/>
      <c r="B13" s="55" t="s">
        <v>137</v>
      </c>
    </row>
    <row r="14" spans="1:7" x14ac:dyDescent="0.25">
      <c r="A14" s="55" t="s">
        <v>134</v>
      </c>
      <c r="B14" s="56">
        <f>SUM(B5:B9)</f>
        <v>1</v>
      </c>
    </row>
  </sheetData>
  <phoneticPr fontId="7"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8EB1-34CE-41AC-8EDE-F37EFBFA5212}">
  <dimension ref="A1:E5"/>
  <sheetViews>
    <sheetView zoomScaleNormal="100" workbookViewId="0">
      <selection activeCell="B12" sqref="B12"/>
    </sheetView>
  </sheetViews>
  <sheetFormatPr defaultRowHeight="14.3" x14ac:dyDescent="0.25"/>
  <cols>
    <col min="1" max="1" width="13.875" customWidth="1"/>
    <col min="2" max="2" width="18.125" customWidth="1"/>
    <col min="3" max="3" width="16.25" customWidth="1"/>
    <col min="4" max="4" width="15" bestFit="1" customWidth="1"/>
    <col min="5" max="5" width="32.25" customWidth="1"/>
    <col min="6" max="6" width="10" bestFit="1" customWidth="1"/>
  </cols>
  <sheetData>
    <row r="1" spans="1:5" ht="14.95" x14ac:dyDescent="0.25">
      <c r="A1" s="1" t="s">
        <v>144</v>
      </c>
    </row>
    <row r="2" spans="1:5" ht="14.95" x14ac:dyDescent="0.25">
      <c r="A2" s="3" t="s">
        <v>8</v>
      </c>
      <c r="B2" s="3" t="s">
        <v>9</v>
      </c>
      <c r="C2" s="3" t="s">
        <v>10</v>
      </c>
      <c r="D2" s="3" t="s">
        <v>12</v>
      </c>
    </row>
    <row r="3" spans="1:5" ht="45" x14ac:dyDescent="0.25">
      <c r="A3" s="25" t="s">
        <v>3</v>
      </c>
      <c r="B3" s="25" t="s">
        <v>4</v>
      </c>
      <c r="C3" s="25" t="s">
        <v>5</v>
      </c>
      <c r="D3" s="25" t="s">
        <v>6</v>
      </c>
    </row>
    <row r="4" spans="1:5" ht="45" x14ac:dyDescent="0.25">
      <c r="A4" s="34" t="s">
        <v>148</v>
      </c>
      <c r="B4" s="34" t="s">
        <v>149</v>
      </c>
      <c r="C4" s="34" t="s">
        <v>40</v>
      </c>
      <c r="D4" s="34" t="s">
        <v>95</v>
      </c>
      <c r="E4" s="26" t="s">
        <v>110</v>
      </c>
    </row>
    <row r="5" spans="1:5" ht="14.95" x14ac:dyDescent="0.25">
      <c r="A5" s="36">
        <f>'Table 3. Existing_TripGen'!F15</f>
        <v>194031.38291951997</v>
      </c>
      <c r="B5" s="37">
        <f>'Table 4. Proposed_TripGen'!G11</f>
        <v>200462.73566400001</v>
      </c>
      <c r="C5" s="38">
        <f>B5-A5</f>
        <v>6431.352744480042</v>
      </c>
      <c r="D5" s="39">
        <f>(B5-A5)/A5</f>
        <v>3.3145940866419678E-2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3170-119C-4573-8371-658B91253750}">
  <dimension ref="A1:J6"/>
  <sheetViews>
    <sheetView topLeftCell="B1" workbookViewId="0">
      <selection activeCell="C4" sqref="C4"/>
    </sheetView>
  </sheetViews>
  <sheetFormatPr defaultRowHeight="14.3" x14ac:dyDescent="0.25"/>
  <cols>
    <col min="1" max="1" width="8.125" hidden="1" customWidth="1"/>
    <col min="2" max="2" width="9.75" bestFit="1" customWidth="1"/>
    <col min="3" max="3" width="12" customWidth="1"/>
    <col min="4" max="4" width="24.375" customWidth="1"/>
    <col min="5" max="5" width="13.75" customWidth="1"/>
    <col min="6" max="6" width="10.75" bestFit="1" customWidth="1"/>
    <col min="7" max="7" width="20.125" customWidth="1"/>
    <col min="8" max="8" width="20.625" customWidth="1"/>
    <col min="9" max="9" width="19.75" customWidth="1"/>
    <col min="10" max="10" width="25.625" customWidth="1"/>
  </cols>
  <sheetData>
    <row r="1" spans="1:10" ht="14.95" x14ac:dyDescent="0.25">
      <c r="B1" s="1" t="s">
        <v>145</v>
      </c>
    </row>
    <row r="2" spans="1:10" ht="30.1" x14ac:dyDescent="0.25">
      <c r="A2" s="11" t="s">
        <v>44</v>
      </c>
      <c r="B2" s="6" t="s">
        <v>42</v>
      </c>
      <c r="C2" s="6" t="s">
        <v>43</v>
      </c>
      <c r="D2" s="6" t="s">
        <v>45</v>
      </c>
      <c r="E2" s="6" t="s">
        <v>46</v>
      </c>
      <c r="F2" s="6" t="s">
        <v>47</v>
      </c>
      <c r="G2" s="6" t="s">
        <v>48</v>
      </c>
      <c r="H2" s="6" t="s">
        <v>49</v>
      </c>
      <c r="I2" s="6" t="s">
        <v>72</v>
      </c>
      <c r="J2" s="6" t="s">
        <v>50</v>
      </c>
    </row>
    <row r="3" spans="1:10" ht="45" x14ac:dyDescent="0.25">
      <c r="A3" s="11" t="s">
        <v>51</v>
      </c>
      <c r="B3" s="14" t="s">
        <v>52</v>
      </c>
      <c r="C3" s="14" t="s">
        <v>53</v>
      </c>
      <c r="D3" s="14" t="s">
        <v>54</v>
      </c>
      <c r="E3" s="14" t="s">
        <v>46</v>
      </c>
      <c r="F3" s="14" t="s">
        <v>47</v>
      </c>
      <c r="G3" s="14" t="s">
        <v>55</v>
      </c>
      <c r="H3" s="14" t="s">
        <v>49</v>
      </c>
      <c r="I3" s="14" t="s">
        <v>73</v>
      </c>
      <c r="J3" s="14" t="s">
        <v>50</v>
      </c>
    </row>
    <row r="4" spans="1:10" ht="75.099999999999994" x14ac:dyDescent="0.25">
      <c r="A4">
        <v>1682238</v>
      </c>
      <c r="B4" s="12">
        <v>42648</v>
      </c>
      <c r="C4" s="13">
        <v>0.75</v>
      </c>
      <c r="D4" s="7" t="s">
        <v>56</v>
      </c>
      <c r="E4" s="7" t="s">
        <v>57</v>
      </c>
      <c r="F4" s="7" t="s">
        <v>58</v>
      </c>
      <c r="G4" s="7" t="s">
        <v>59</v>
      </c>
      <c r="H4" s="7" t="s">
        <v>60</v>
      </c>
      <c r="I4" s="7" t="s">
        <v>61</v>
      </c>
      <c r="J4" s="7" t="s">
        <v>62</v>
      </c>
    </row>
    <row r="5" spans="1:10" ht="30.1" x14ac:dyDescent="0.25">
      <c r="A5">
        <v>1781322</v>
      </c>
      <c r="B5" s="12">
        <v>43278</v>
      </c>
      <c r="C5" s="13">
        <v>0.79166666666666663</v>
      </c>
      <c r="D5" s="7" t="s">
        <v>63</v>
      </c>
      <c r="E5" s="7" t="s">
        <v>64</v>
      </c>
      <c r="F5" s="7" t="s">
        <v>65</v>
      </c>
      <c r="G5" s="7" t="s">
        <v>66</v>
      </c>
      <c r="H5" s="7" t="s">
        <v>67</v>
      </c>
      <c r="I5" s="7" t="s">
        <v>68</v>
      </c>
      <c r="J5" s="7" t="s">
        <v>69</v>
      </c>
    </row>
    <row r="6" spans="1:10" ht="30.1" x14ac:dyDescent="0.25">
      <c r="A6">
        <v>1881734</v>
      </c>
      <c r="B6" s="12">
        <v>43838</v>
      </c>
      <c r="C6" s="13">
        <v>0.75</v>
      </c>
      <c r="D6" s="7" t="s">
        <v>56</v>
      </c>
      <c r="E6" s="7" t="s">
        <v>70</v>
      </c>
      <c r="F6" s="7" t="s">
        <v>70</v>
      </c>
      <c r="G6" s="7" t="s">
        <v>71</v>
      </c>
      <c r="H6" s="7" t="s">
        <v>67</v>
      </c>
      <c r="I6" s="7" t="s">
        <v>61</v>
      </c>
      <c r="J6" s="7" t="s">
        <v>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0E41-2CF4-4170-B6B7-E26D60DCD936}">
  <dimension ref="A1:H24"/>
  <sheetViews>
    <sheetView workbookViewId="0">
      <selection activeCell="L18" sqref="L18"/>
    </sheetView>
  </sheetViews>
  <sheetFormatPr defaultRowHeight="14.3" x14ac:dyDescent="0.25"/>
  <cols>
    <col min="1" max="1" width="22.25" customWidth="1"/>
    <col min="2" max="2" width="9.75" bestFit="1" customWidth="1"/>
    <col min="3" max="3" width="13.625" bestFit="1" customWidth="1"/>
    <col min="4" max="4" width="15.625" bestFit="1" customWidth="1"/>
    <col min="5" max="5" width="14.375" bestFit="1" customWidth="1"/>
    <col min="6" max="6" width="18.875" bestFit="1" customWidth="1"/>
    <col min="7" max="7" width="10" bestFit="1" customWidth="1"/>
    <col min="8" max="8" width="9.375" bestFit="1" customWidth="1"/>
  </cols>
  <sheetData>
    <row r="1" spans="1:8" x14ac:dyDescent="0.25">
      <c r="A1" s="1" t="s">
        <v>146</v>
      </c>
    </row>
    <row r="2" spans="1:8" s="1" customFormat="1" x14ac:dyDescent="0.25">
      <c r="A2" s="15" t="s">
        <v>81</v>
      </c>
      <c r="B2" s="15" t="s">
        <v>82</v>
      </c>
      <c r="C2" s="15" t="s">
        <v>83</v>
      </c>
      <c r="D2" s="15" t="s">
        <v>84</v>
      </c>
      <c r="E2" s="15" t="s">
        <v>85</v>
      </c>
      <c r="F2" s="15" t="s">
        <v>94</v>
      </c>
      <c r="G2" s="15" t="s">
        <v>86</v>
      </c>
      <c r="H2" s="15" t="s">
        <v>87</v>
      </c>
    </row>
    <row r="3" spans="1:8" x14ac:dyDescent="0.25">
      <c r="A3" s="16">
        <v>91</v>
      </c>
      <c r="B3" s="16">
        <v>84.34</v>
      </c>
      <c r="C3" s="16">
        <v>2022</v>
      </c>
      <c r="D3" s="16" t="s">
        <v>92</v>
      </c>
      <c r="E3" s="16" t="s">
        <v>91</v>
      </c>
      <c r="F3" s="40">
        <v>0.05</v>
      </c>
      <c r="G3" s="16">
        <v>66.81</v>
      </c>
      <c r="H3" s="41">
        <v>73174</v>
      </c>
    </row>
    <row r="4" spans="1:8" x14ac:dyDescent="0.25">
      <c r="A4" s="16">
        <v>91</v>
      </c>
      <c r="B4" s="16">
        <v>84.35</v>
      </c>
      <c r="C4" s="16">
        <v>2022</v>
      </c>
      <c r="D4" s="16" t="s">
        <v>92</v>
      </c>
      <c r="E4" s="16" t="s">
        <v>91</v>
      </c>
      <c r="F4" s="40">
        <v>0.05</v>
      </c>
      <c r="G4" s="16">
        <v>66.569999999999993</v>
      </c>
      <c r="H4" s="41">
        <v>73175</v>
      </c>
    </row>
    <row r="5" spans="1:8" x14ac:dyDescent="0.25">
      <c r="A5" s="16">
        <v>91</v>
      </c>
      <c r="B5" s="16">
        <v>84.36</v>
      </c>
      <c r="C5" s="16">
        <v>2022</v>
      </c>
      <c r="D5" s="16" t="s">
        <v>92</v>
      </c>
      <c r="E5" s="16" t="s">
        <v>91</v>
      </c>
      <c r="F5" s="40">
        <v>0.05</v>
      </c>
      <c r="G5" s="16">
        <v>66.37</v>
      </c>
      <c r="H5" s="41">
        <v>73176</v>
      </c>
    </row>
    <row r="6" spans="1:8" x14ac:dyDescent="0.25">
      <c r="A6" s="16">
        <v>91</v>
      </c>
      <c r="B6" s="16">
        <v>84.37</v>
      </c>
      <c r="C6" s="16">
        <v>2022</v>
      </c>
      <c r="D6" s="16" t="s">
        <v>92</v>
      </c>
      <c r="E6" s="16" t="s">
        <v>91</v>
      </c>
      <c r="F6" s="40">
        <v>0.05</v>
      </c>
      <c r="G6" s="16">
        <v>62.29</v>
      </c>
      <c r="H6" s="41">
        <v>73177</v>
      </c>
    </row>
    <row r="7" spans="1:8" x14ac:dyDescent="0.25">
      <c r="A7" s="16">
        <v>91</v>
      </c>
      <c r="B7" s="16">
        <v>84.34</v>
      </c>
      <c r="C7" s="16">
        <v>2021</v>
      </c>
      <c r="D7" s="16" t="s">
        <v>90</v>
      </c>
      <c r="E7" s="16" t="s">
        <v>91</v>
      </c>
      <c r="F7" s="40">
        <v>0.05</v>
      </c>
      <c r="G7" s="16">
        <v>66.48</v>
      </c>
      <c r="H7" s="41">
        <v>83661</v>
      </c>
    </row>
    <row r="8" spans="1:8" x14ac:dyDescent="0.25">
      <c r="A8" s="16">
        <v>91</v>
      </c>
      <c r="B8" s="16">
        <v>84.35</v>
      </c>
      <c r="C8" s="16">
        <v>2021</v>
      </c>
      <c r="D8" s="16" t="s">
        <v>90</v>
      </c>
      <c r="E8" s="16" t="s">
        <v>91</v>
      </c>
      <c r="F8" s="40">
        <v>0.05</v>
      </c>
      <c r="G8" s="16">
        <v>66.25</v>
      </c>
      <c r="H8" s="41">
        <v>83662</v>
      </c>
    </row>
    <row r="9" spans="1:8" x14ac:dyDescent="0.25">
      <c r="A9" s="16">
        <v>91</v>
      </c>
      <c r="B9" s="16">
        <v>84.36</v>
      </c>
      <c r="C9" s="16">
        <v>2021</v>
      </c>
      <c r="D9" s="16" t="s">
        <v>90</v>
      </c>
      <c r="E9" s="16" t="s">
        <v>91</v>
      </c>
      <c r="F9" s="40">
        <v>0.05</v>
      </c>
      <c r="G9" s="16">
        <v>66.03</v>
      </c>
      <c r="H9" s="41">
        <v>83663</v>
      </c>
    </row>
    <row r="10" spans="1:8" x14ac:dyDescent="0.25">
      <c r="A10" s="16">
        <v>91</v>
      </c>
      <c r="B10" s="16">
        <v>84.37</v>
      </c>
      <c r="C10" s="16">
        <v>2021</v>
      </c>
      <c r="D10" s="16" t="s">
        <v>90</v>
      </c>
      <c r="E10" s="16" t="s">
        <v>91</v>
      </c>
      <c r="F10" s="40">
        <v>0.05</v>
      </c>
      <c r="G10" s="16">
        <v>65.209999999999994</v>
      </c>
      <c r="H10" s="41">
        <v>83664</v>
      </c>
    </row>
    <row r="11" spans="1:8" x14ac:dyDescent="0.25">
      <c r="A11" s="16">
        <v>91</v>
      </c>
      <c r="B11" s="16">
        <v>84.38</v>
      </c>
      <c r="C11" s="16">
        <v>2021</v>
      </c>
      <c r="D11" s="16" t="s">
        <v>90</v>
      </c>
      <c r="E11" s="16" t="s">
        <v>89</v>
      </c>
      <c r="F11" s="40">
        <v>0.1</v>
      </c>
      <c r="G11" s="16">
        <v>52.31</v>
      </c>
      <c r="H11" s="41">
        <v>77981</v>
      </c>
    </row>
    <row r="12" spans="1:8" x14ac:dyDescent="0.25">
      <c r="A12" s="16">
        <v>91</v>
      </c>
      <c r="B12" s="16">
        <v>84.39</v>
      </c>
      <c r="C12" s="16">
        <v>2021</v>
      </c>
      <c r="D12" s="16" t="s">
        <v>90</v>
      </c>
      <c r="E12" s="16" t="s">
        <v>89</v>
      </c>
      <c r="F12" s="40">
        <v>0.1</v>
      </c>
      <c r="G12" s="16">
        <v>55.02</v>
      </c>
      <c r="H12" s="41">
        <v>77982</v>
      </c>
    </row>
    <row r="13" spans="1:8" x14ac:dyDescent="0.25">
      <c r="A13" s="16">
        <v>91</v>
      </c>
      <c r="B13" s="16">
        <v>84.4</v>
      </c>
      <c r="C13" s="16">
        <v>2021</v>
      </c>
      <c r="D13" s="16" t="s">
        <v>90</v>
      </c>
      <c r="E13" s="16" t="s">
        <v>89</v>
      </c>
      <c r="F13" s="40">
        <v>0.1</v>
      </c>
      <c r="G13" s="16">
        <v>52.31</v>
      </c>
      <c r="H13" s="41">
        <v>77983</v>
      </c>
    </row>
    <row r="14" spans="1:8" x14ac:dyDescent="0.25">
      <c r="A14" s="16">
        <v>91</v>
      </c>
      <c r="B14" s="16">
        <v>84.34</v>
      </c>
      <c r="C14" s="16">
        <v>2020</v>
      </c>
      <c r="D14" s="16" t="s">
        <v>93</v>
      </c>
      <c r="E14" s="16" t="s">
        <v>91</v>
      </c>
      <c r="F14" s="40">
        <v>0.05</v>
      </c>
      <c r="G14" s="16">
        <v>64.819999999999993</v>
      </c>
      <c r="H14" s="41">
        <v>143217</v>
      </c>
    </row>
    <row r="15" spans="1:8" x14ac:dyDescent="0.25">
      <c r="A15" s="16">
        <v>91</v>
      </c>
      <c r="B15" s="16">
        <v>84.35</v>
      </c>
      <c r="C15" s="16">
        <v>2020</v>
      </c>
      <c r="D15" s="16" t="s">
        <v>93</v>
      </c>
      <c r="E15" s="16" t="s">
        <v>91</v>
      </c>
      <c r="F15" s="40">
        <v>0.05</v>
      </c>
      <c r="G15" s="16">
        <v>64.819999999999993</v>
      </c>
      <c r="H15" s="41">
        <v>143218</v>
      </c>
    </row>
    <row r="16" spans="1:8" x14ac:dyDescent="0.25">
      <c r="A16" s="16">
        <v>91</v>
      </c>
      <c r="B16" s="16">
        <v>84.36</v>
      </c>
      <c r="C16" s="16">
        <v>2020</v>
      </c>
      <c r="D16" s="16" t="s">
        <v>93</v>
      </c>
      <c r="E16" s="16" t="s">
        <v>91</v>
      </c>
      <c r="F16" s="40">
        <v>0.05</v>
      </c>
      <c r="G16" s="16">
        <v>64.819999999999993</v>
      </c>
      <c r="H16" s="41">
        <v>143219</v>
      </c>
    </row>
    <row r="17" spans="1:8" x14ac:dyDescent="0.25">
      <c r="A17" s="16">
        <v>91</v>
      </c>
      <c r="B17" s="16">
        <v>84.37</v>
      </c>
      <c r="C17" s="16">
        <v>2020</v>
      </c>
      <c r="D17" s="16" t="s">
        <v>93</v>
      </c>
      <c r="E17" s="16" t="s">
        <v>91</v>
      </c>
      <c r="F17" s="40">
        <v>0.05</v>
      </c>
      <c r="G17" s="16">
        <v>57.3</v>
      </c>
      <c r="H17" s="41">
        <v>143220</v>
      </c>
    </row>
    <row r="18" spans="1:8" x14ac:dyDescent="0.25">
      <c r="A18" s="16">
        <v>91</v>
      </c>
      <c r="B18" s="16">
        <v>84.34</v>
      </c>
      <c r="C18" s="16">
        <v>2019</v>
      </c>
      <c r="D18" s="16" t="s">
        <v>88</v>
      </c>
      <c r="E18" s="16" t="s">
        <v>89</v>
      </c>
      <c r="F18" s="40">
        <v>0.1</v>
      </c>
      <c r="G18" s="16">
        <v>49.48</v>
      </c>
      <c r="H18" s="41">
        <v>61771</v>
      </c>
    </row>
    <row r="19" spans="1:8" x14ac:dyDescent="0.25">
      <c r="A19" s="16">
        <v>91</v>
      </c>
      <c r="B19" s="16">
        <v>84.35</v>
      </c>
      <c r="C19" s="16">
        <v>2019</v>
      </c>
      <c r="D19" s="16" t="s">
        <v>88</v>
      </c>
      <c r="E19" s="16" t="s">
        <v>89</v>
      </c>
      <c r="F19" s="40">
        <v>0.1</v>
      </c>
      <c r="G19" s="16">
        <v>49.37</v>
      </c>
      <c r="H19" s="41">
        <v>61772</v>
      </c>
    </row>
    <row r="20" spans="1:8" x14ac:dyDescent="0.25">
      <c r="A20" s="16">
        <v>91</v>
      </c>
      <c r="B20" s="16">
        <v>84.36</v>
      </c>
      <c r="C20" s="16">
        <v>2019</v>
      </c>
      <c r="D20" s="16" t="s">
        <v>88</v>
      </c>
      <c r="E20" s="16" t="s">
        <v>89</v>
      </c>
      <c r="F20" s="40">
        <v>0.1</v>
      </c>
      <c r="G20" s="16">
        <v>49.26</v>
      </c>
      <c r="H20" s="41">
        <v>61773</v>
      </c>
    </row>
    <row r="21" spans="1:8" x14ac:dyDescent="0.25">
      <c r="A21" s="16">
        <v>91</v>
      </c>
      <c r="B21" s="16">
        <v>84.37</v>
      </c>
      <c r="C21" s="16">
        <v>2019</v>
      </c>
      <c r="D21" s="16" t="s">
        <v>88</v>
      </c>
      <c r="E21" s="16" t="s">
        <v>89</v>
      </c>
      <c r="F21" s="40">
        <v>0.1</v>
      </c>
      <c r="G21" s="16">
        <v>46.31</v>
      </c>
      <c r="H21" s="41">
        <v>61774</v>
      </c>
    </row>
    <row r="22" spans="1:8" x14ac:dyDescent="0.25">
      <c r="A22" s="16">
        <v>91</v>
      </c>
      <c r="B22" s="16">
        <v>84.39</v>
      </c>
      <c r="C22" s="16">
        <v>2019</v>
      </c>
      <c r="D22" s="16" t="s">
        <v>88</v>
      </c>
      <c r="E22" s="16" t="s">
        <v>89</v>
      </c>
      <c r="F22" s="40">
        <v>0.1</v>
      </c>
      <c r="G22" s="16">
        <v>49.26</v>
      </c>
      <c r="H22" s="41">
        <v>61775</v>
      </c>
    </row>
    <row r="23" spans="1:8" x14ac:dyDescent="0.25">
      <c r="A23" s="16">
        <v>91</v>
      </c>
      <c r="B23" s="16">
        <v>84.39</v>
      </c>
      <c r="C23" s="16">
        <v>2019</v>
      </c>
      <c r="D23" s="16" t="s">
        <v>88</v>
      </c>
      <c r="E23" s="16" t="s">
        <v>89</v>
      </c>
      <c r="F23" s="40">
        <v>0.1</v>
      </c>
      <c r="G23" s="16">
        <v>49.26</v>
      </c>
      <c r="H23" s="41">
        <v>61776</v>
      </c>
    </row>
    <row r="24" spans="1:8" x14ac:dyDescent="0.25">
      <c r="A24" s="16">
        <v>91</v>
      </c>
      <c r="B24" s="16">
        <v>84.4</v>
      </c>
      <c r="C24" s="16">
        <v>2019</v>
      </c>
      <c r="D24" s="16" t="s">
        <v>88</v>
      </c>
      <c r="E24" s="16" t="s">
        <v>89</v>
      </c>
      <c r="F24" s="40">
        <v>0.1</v>
      </c>
      <c r="G24" s="16">
        <v>49.26</v>
      </c>
      <c r="H24" s="41">
        <v>78857</v>
      </c>
    </row>
  </sheetData>
  <sortState xmlns:xlrd2="http://schemas.microsoft.com/office/spreadsheetml/2017/richdata2" ref="A3:P26">
    <sortCondition descending="1" ref="C3:C26"/>
    <sortCondition ref="F3:F2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A92307567CCF4FBD156DA109C9B099" ma:contentTypeVersion="21" ma:contentTypeDescription="Create a new document." ma:contentTypeScope="" ma:versionID="3763d3aa3e83144e4af1ac2f9e98e6f6">
  <xsd:schema xmlns:xsd="http://www.w3.org/2001/XMLSchema" xmlns:xs="http://www.w3.org/2001/XMLSchema" xmlns:p="http://schemas.microsoft.com/office/2006/metadata/properties" xmlns:ns1="http://schemas.microsoft.com/sharepoint/v3" xmlns:ns2="17ab12db-09d3-44a5-b815-ed4f85c533e0" xmlns:ns3="6ec60af1-6d1e-4575-bf73-1b6e791fcd10" targetNamespace="http://schemas.microsoft.com/office/2006/metadata/properties" ma:root="true" ma:fieldsID="858846af4959d37e8cddbb985da44917" ns1:_="" ns2:_="" ns3:_="">
    <xsd:import namespace="http://schemas.microsoft.com/sharepoint/v3"/>
    <xsd:import namespace="17ab12db-09d3-44a5-b815-ed4f85c533e0"/>
    <xsd:import namespace="6ec60af1-6d1e-4575-bf73-1b6e791fcd10"/>
    <xsd:element name="properties">
      <xsd:complexType>
        <xsd:sequence>
          <xsd:element name="documentManagement">
            <xsd:complexType>
              <xsd:all>
                <xsd:element ref="ns1:PublishingStartDate" minOccurs="0"/>
                <xsd:element ref="ns1:PublishingExpirationDate" minOccurs="0"/>
                <xsd:element ref="ns2:Category" minOccurs="0"/>
                <xsd:element ref="ns2:Sub_x002d_Category" minOccurs="0"/>
                <xsd:element ref="ns2:Meeting_x0020_Date" minOccurs="0"/>
                <xsd:element ref="ns2:Order0" minOccurs="0"/>
                <xsd:element ref="ns2:Reviewed_x0020_for_x0020_URLs" minOccurs="0"/>
                <xsd:element ref="ns3:SharedWithUsers" minOccurs="0"/>
                <xsd:element ref="ns2:Retention_x0020_Review_x0020_Date" minOccurs="0"/>
                <xsd:element ref="ns2:Retention_x0020_Notes" minOccurs="0"/>
                <xsd:element ref="ns2:Retention_x0020_Contact" minOccurs="0"/>
                <xsd:element ref="ns2:Just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ab12db-09d3-44a5-b815-ed4f85c533e0" elementFormDefault="qualified">
    <xsd:import namespace="http://schemas.microsoft.com/office/2006/documentManagement/types"/>
    <xsd:import namespace="http://schemas.microsoft.com/office/infopath/2007/PartnerControls"/>
    <xsd:element name="Category" ma:index="10" nillable="true" ma:displayName="Category" ma:internalName="Category" ma:readOnly="false">
      <xsd:simpleType>
        <xsd:restriction base="dms:Text">
          <xsd:maxLength value="255"/>
        </xsd:restriction>
      </xsd:simpleType>
    </xsd:element>
    <xsd:element name="Sub_x002d_Category" ma:index="11" nillable="true" ma:displayName="Sub-Category" ma:description="Document sub-category (e.g. type of guidance)" ma:internalName="Sub_x002d_Category" ma:readOnly="false">
      <xsd:simpleType>
        <xsd:restriction base="dms:Text">
          <xsd:maxLength value="255"/>
        </xsd:restriction>
      </xsd:simpleType>
    </xsd:element>
    <xsd:element name="Meeting_x0020_Date" ma:index="13" nillable="true" ma:displayName="Meeting Date" ma:description="For Plan PAC meeting materials" ma:format="DateOnly" ma:internalName="Meeting_x0020_Date" ma:readOnly="false">
      <xsd:simpleType>
        <xsd:restriction base="dms:DateTime"/>
      </xsd:simpleType>
    </xsd:element>
    <xsd:element name="Order0" ma:index="15" nillable="true" ma:displayName="Order" ma:internalName="Order0" ma:readOnly="false">
      <xsd:simpleType>
        <xsd:restriction base="dms:Text">
          <xsd:maxLength value="255"/>
        </xsd:restriction>
      </xsd:simpleType>
    </xsd:element>
    <xsd:element name="Reviewed_x0020_for_x0020_URLs" ma:index="16" nillable="true" ma:displayName="Reviewed for URLs" ma:default="0" ma:internalName="Reviewed_x0020_for_x0020_URLs" ma:readOnly="false">
      <xsd:simpleType>
        <xsd:restriction base="dms:Boolean"/>
      </xsd:simpleType>
    </xsd:element>
    <xsd:element name="Retention_x0020_Review_x0020_Date" ma:index="18" nillable="true" ma:displayName="Retention Review Date" ma:description="Enter the date for retention review. Date should be 12 months from date of upload, and every 12 months after. This is not required for Plans, Guidance or items required by federal or state rules, but ARE required for documents that are supplementary to these document types (for example, meeting documents related to plan updates)." ma:format="DateOnly" ma:internalName="Retention_x0020_Review_x0020_Date">
      <xsd:simpleType>
        <xsd:restriction base="dms:DateTime"/>
      </xsd:simpleType>
    </xsd:element>
    <xsd:element name="Retention_x0020_Notes" ma:index="19" nillable="true" ma:displayName="Retention Notes" ma:description="Retention  details" ma:internalName="Retention_x0020_Notes">
      <xsd:simpleType>
        <xsd:restriction base="dms:Note">
          <xsd:maxLength value="255"/>
        </xsd:restriction>
      </xsd:simpleType>
    </xsd:element>
    <xsd:element name="Retention_x0020_Contact" ma:index="20" nillable="true" ma:displayName="Retention Contact" ma:internalName="Retention_x0020_Contact">
      <xsd:simpleType>
        <xsd:restriction base="dms:Text">
          <xsd:maxLength value="255"/>
        </xsd:restriction>
      </xsd:simpleType>
    </xsd:element>
    <xsd:element name="Justification" ma:index="21" nillable="true" ma:displayName="Justification" ma:default="Guidance" ma:internalName="Justification">
      <xsd:complexType>
        <xsd:complexContent>
          <xsd:extension base="dms:MultiChoice">
            <xsd:sequence>
              <xsd:element name="Value" maxOccurs="unbounded" minOccurs="0" nillable="true">
                <xsd:simpleType>
                  <xsd:restriction base="dms:Choice">
                    <xsd:enumeration value="Guidance"/>
                    <xsd:enumeration value="Plan"/>
                    <xsd:enumeration value="Tool"/>
                    <xsd:enumeration value="Required by federal rule"/>
                    <xsd:enumeration value="Required by state rule"/>
                    <xsd:enumeration value="Supports current or recent project"/>
                    <xsd:enumeration value="Data"/>
                    <xsd:enumeration value="Technical Report"/>
                    <xsd:enumeration value="Technical Tools and Documentation"/>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eting_x0020_Date xmlns="17ab12db-09d3-44a5-b815-ed4f85c533e0" xsi:nil="true"/>
    <Order0 xmlns="17ab12db-09d3-44a5-b815-ed4f85c533e0" xsi:nil="true"/>
    <Reviewed_x0020_for_x0020_URLs xmlns="17ab12db-09d3-44a5-b815-ed4f85c533e0">false</Reviewed_x0020_for_x0020_URLs>
    <Sub_x002d_Category xmlns="17ab12db-09d3-44a5-b815-ed4f85c533e0">Documents</Sub_x002d_Category>
    <Retention_x0020_Review_x0020_Date xmlns="17ab12db-09d3-44a5-b815-ed4f85c533e0" xsi:nil="true"/>
    <Retention_x0020_Notes xmlns="17ab12db-09d3-44a5-b815-ed4f85c533e0" xsi:nil="true"/>
    <Justification xmlns="17ab12db-09d3-44a5-b815-ed4f85c533e0">
      <Value>Tool</Value>
    </Justification>
    <Category xmlns="17ab12db-09d3-44a5-b815-ed4f85c533e0">CFEC</Category>
    <PublishingExpirationDate xmlns="http://schemas.microsoft.com/sharepoint/v3" xsi:nil="true"/>
    <Retention_x0020_Contact xmlns="17ab12db-09d3-44a5-b815-ed4f85c533e0">Theresa Conley</Retention_x0020_Contact>
    <PublishingStartDate xmlns="http://schemas.microsoft.com/sharepoint/v3" xsi:nil="true"/>
  </documentManagement>
</p:properties>
</file>

<file path=customXml/itemProps1.xml><?xml version="1.0" encoding="utf-8"?>
<ds:datastoreItem xmlns:ds="http://schemas.openxmlformats.org/officeDocument/2006/customXml" ds:itemID="{A2E4BA1E-9228-4DC9-A1BF-63B31147A49C}">
  <ds:schemaRefs>
    <ds:schemaRef ds:uri="http://schemas.microsoft.com/sharepoint/v3/contenttype/forms"/>
  </ds:schemaRefs>
</ds:datastoreItem>
</file>

<file path=customXml/itemProps2.xml><?xml version="1.0" encoding="utf-8"?>
<ds:datastoreItem xmlns:ds="http://schemas.openxmlformats.org/officeDocument/2006/customXml" ds:itemID="{1922885D-1DDF-4D2B-9BE7-72B28C71B6AB}"/>
</file>

<file path=customXml/itemProps3.xml><?xml version="1.0" encoding="utf-8"?>
<ds:datastoreItem xmlns:ds="http://schemas.openxmlformats.org/officeDocument/2006/customXml" ds:itemID="{72752CFD-23FE-407D-9432-0814DB7EA7CD}">
  <ds:schemaRef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f1f250ee-7635-4e69-bac9-0110241c483c"/>
    <ds:schemaRef ds:uri="a1126246-f992-4e41-ab2b-fee7b3947a82"/>
    <ds:schemaRef ds:uri="http://purl.org/dc/dcmitype/"/>
  </ds:schemaRefs>
</ds:datastoreItem>
</file>

<file path=docMetadata/LabelInfo.xml><?xml version="1.0" encoding="utf-8"?>
<clbl:labelList xmlns:clbl="http://schemas.microsoft.com/office/2020/mipLabelMetadata">
  <clbl:label id="{c9cf6fe3-5bce-446b-ad70-bd306593eea0}" enabled="1" method="Privileged" siteId="{28b0d013-46bc-4a64-8d86-1c8a31cf590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Data_Sources</vt:lpstr>
      <vt:lpstr>Local_Data_Gathering_Worksheet</vt:lpstr>
      <vt:lpstr>Table 1. Existing_DevCap</vt:lpstr>
      <vt:lpstr>Table 2. Proposed_DevCap</vt:lpstr>
      <vt:lpstr>Table 3. Existing_TripGen</vt:lpstr>
      <vt:lpstr>Table 4. Proposed_TripGen</vt:lpstr>
      <vt:lpstr>Table 5. Difference_TripGen</vt:lpstr>
      <vt:lpstr>Table 6. Crashes</vt:lpstr>
      <vt:lpstr>Table 7. SPIS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Highway_Impacts_Summary_Worksheet</dc:title>
  <dc:creator>CUNNINGHAM Eileen</dc:creator>
  <cp:keywords/>
  <cp:lastModifiedBy>CUNNINGHAM Eileen</cp:lastModifiedBy>
  <dcterms:created xsi:type="dcterms:W3CDTF">2024-04-16T19:01:48Z</dcterms:created>
  <dcterms:modified xsi:type="dcterms:W3CDTF">2025-06-26T19:05:27Z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0x01010090A92307567CCF4FBD156DA109C9B099</vt:lpwstr>
  </property>
  <property fmtid="{D5CDD505-2E9C-101B-9397-08002B2CF9AE}" pid="3" name="MSIP_Label_d7e3d0d1-450a-4004-b486-33007ae0f22e_Enabled">
    <vt:lpwstr>true</vt:lpwstr>
  </property>
  <property fmtid="{D5CDD505-2E9C-101B-9397-08002B2CF9AE}" pid="4" name="MSIP_Label_d7e3d0d1-450a-4004-b486-33007ae0f22e_SetDate">
    <vt:lpwstr>2024-04-16T22:43:07Z</vt:lpwstr>
  </property>
  <property fmtid="{D5CDD505-2E9C-101B-9397-08002B2CF9AE}" pid="5" name="MSIP_Label_d7e3d0d1-450a-4004-b486-33007ae0f22e_Method">
    <vt:lpwstr>Privileged</vt:lpwstr>
  </property>
  <property fmtid="{D5CDD505-2E9C-101B-9397-08002B2CF9AE}" pid="6" name="MSIP_Label_d7e3d0d1-450a-4004-b486-33007ae0f22e_Name">
    <vt:lpwstr>Level 3 - Restricted (Items)</vt:lpwstr>
  </property>
  <property fmtid="{D5CDD505-2E9C-101B-9397-08002B2CF9AE}" pid="7" name="MSIP_Label_d7e3d0d1-450a-4004-b486-33007ae0f22e_SiteId">
    <vt:lpwstr>28b0d013-46bc-4a64-8d86-1c8a31cf590d</vt:lpwstr>
  </property>
  <property fmtid="{D5CDD505-2E9C-101B-9397-08002B2CF9AE}" pid="8" name="MSIP_Label_d7e3d0d1-450a-4004-b486-33007ae0f22e_ActionId">
    <vt:lpwstr>7ffa943b-4e9d-4b07-9958-3adae033ac07</vt:lpwstr>
  </property>
  <property fmtid="{D5CDD505-2E9C-101B-9397-08002B2CF9AE}" pid="9" name="MSIP_Label_d7e3d0d1-450a-4004-b486-33007ae0f22e_ContentBits">
    <vt:lpwstr>2</vt:lpwstr>
  </property>
</Properties>
</file>